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66925"/>
  <mc:AlternateContent xmlns:mc="http://schemas.openxmlformats.org/markup-compatibility/2006">
    <mc:Choice Requires="x15">
      <x15ac:absPath xmlns:x15ac="http://schemas.microsoft.com/office/spreadsheetml/2010/11/ac" url="C:\Users\Bohra\Desktop\ボーラほむぺ\Bohra2017\example\"/>
    </mc:Choice>
  </mc:AlternateContent>
  <bookViews>
    <workbookView xWindow="0" yWindow="0" windowWidth="13365" windowHeight="7395"/>
  </bookViews>
  <sheets>
    <sheet name="表紙" sheetId="25" r:id="rId1"/>
    <sheet name="外界条件" sheetId="1" r:id="rId2"/>
    <sheet name="位置情報" sheetId="2" r:id="rId3"/>
    <sheet name="外気温度等" sheetId="3" r:id="rId4"/>
    <sheet name="ETD(OW1)" sheetId="4" r:id="rId5"/>
    <sheet name="ETD(OW2)" sheetId="5" r:id="rId6"/>
    <sheet name="ETD(OR1)" sheetId="6" r:id="rId7"/>
    <sheet name="ETD(OR2)" sheetId="7" r:id="rId8"/>
    <sheet name="非空調室温度" sheetId="8" r:id="rId9"/>
    <sheet name="ガラス日射（標準）" sheetId="9" r:id="rId10"/>
    <sheet name="ガラス日射（2F-E）" sheetId="10" r:id="rId11"/>
    <sheet name="熱貫流率" sheetId="11" r:id="rId12"/>
    <sheet name="熱貫流率表" sheetId="12" r:id="rId13"/>
    <sheet name="各室熱負荷" sheetId="13" r:id="rId14"/>
    <sheet name="201" sheetId="14" r:id="rId15"/>
    <sheet name="204" sheetId="15" r:id="rId16"/>
    <sheet name="205" sheetId="16" r:id="rId17"/>
    <sheet name="208" sheetId="17" r:id="rId18"/>
    <sheet name="系統別集計" sheetId="18" r:id="rId19"/>
    <sheet name="AC-2系統集計表" sheetId="19" r:id="rId20"/>
    <sheet name="AC-2系統空気線図" sheetId="20" r:id="rId21"/>
    <sheet name="熱源集計" sheetId="21" r:id="rId22"/>
    <sheet name="R-1系統冷熱源" sheetId="22" r:id="rId23"/>
    <sheet name="R-1系統温熱源" sheetId="23" r:id="rId24"/>
    <sheet name="市水系統加湿源" sheetId="24" r:id="rId25"/>
  </sheets>
  <definedNames>
    <definedName name="ID" localSheetId="14">'201'!$HH$1</definedName>
    <definedName name="ID" localSheetId="15">'204'!$HH$1</definedName>
    <definedName name="ID" localSheetId="16">'205'!$HH$1</definedName>
    <definedName name="ID" localSheetId="17">'208'!$HH$1</definedName>
    <definedName name="ID" localSheetId="1">外界条件!$D$1</definedName>
    <definedName name="ID" localSheetId="13">各室熱負荷!$D$1</definedName>
    <definedName name="ID" localSheetId="18">系統別集計!$D$1</definedName>
    <definedName name="ID" localSheetId="11">熱貫流率!$D$1</definedName>
    <definedName name="ID" localSheetId="21">熱源集計!$D$1</definedName>
    <definedName name="ID" localSheetId="0">表紙!$K$1</definedName>
    <definedName name="_xlnm.Print_Area" localSheetId="14">'201'!$A$1:$HC$69</definedName>
    <definedName name="_xlnm.Print_Area" localSheetId="15">'204'!$A$1:$HC$69</definedName>
    <definedName name="_xlnm.Print_Area" localSheetId="16">'205'!$A$1:$HC$69</definedName>
    <definedName name="_xlnm.Print_Area" localSheetId="17">'208'!$A$1:$HC$69</definedName>
    <definedName name="_xlnm.Print_Area" localSheetId="19">'AC-2系統集計表'!$A$7:$Y$48</definedName>
    <definedName name="_xlnm.Print_Area" localSheetId="23">'R-1系統温熱源'!$A$6:$G$41</definedName>
    <definedName name="_xlnm.Print_Area" localSheetId="22">'R-1系統冷熱源'!$A$6:$AC$58</definedName>
    <definedName name="_xlnm.Print_Area" localSheetId="10">'ガラス日射（2F-E）'!$A$1:$AB$96</definedName>
    <definedName name="_xlnm.Print_Area" localSheetId="9">'ガラス日射（標準）'!$A$1:$AB$96</definedName>
    <definedName name="_xlnm.Print_Area" localSheetId="2">位置情報!$A$1:$AA$40</definedName>
    <definedName name="_xlnm.Print_Area" localSheetId="1">外界条件!$A$1:$A$16</definedName>
    <definedName name="_xlnm.Print_Area" localSheetId="13">各室熱負荷!$A$1:$A$16</definedName>
    <definedName name="_xlnm.Print_Area" localSheetId="18">系統別集計!$A$1:$A$16</definedName>
    <definedName name="_xlnm.Print_Area" localSheetId="24">市水系統加湿源!$A$7:$R$40</definedName>
    <definedName name="_xlnm.Print_Area" localSheetId="11">熱貫流率!$A$1:$A$16</definedName>
    <definedName name="_xlnm.Print_Area" localSheetId="12">熱貫流率表!$A$6:$L$141</definedName>
    <definedName name="_xlnm.Print_Area" localSheetId="21">熱源集計!$A$1:$A$16</definedName>
    <definedName name="_xlnm.Print_Area" localSheetId="8">非空調室温度!$A$1:$E$29</definedName>
    <definedName name="_xlnm.Print_Area" localSheetId="0">表紙!$A$1:$E$13</definedName>
    <definedName name="_xlnm.Print_Titles" localSheetId="19">'AC-2系統集計表'!$1:$6</definedName>
    <definedName name="_xlnm.Print_Titles" localSheetId="23">'R-1系統温熱源'!$1:$5</definedName>
    <definedName name="_xlnm.Print_Titles" localSheetId="22">'R-1系統冷熱源'!$1:$5</definedName>
    <definedName name="_xlnm.Print_Titles" localSheetId="10">'ガラス日射（2F-E）'!$1:$9</definedName>
    <definedName name="_xlnm.Print_Titles" localSheetId="9">'ガラス日射（標準）'!$1:$9</definedName>
    <definedName name="_xlnm.Print_Titles" localSheetId="24">市水系統加湿源!$1:$6</definedName>
    <definedName name="_xlnm.Print_Titles" localSheetId="12">熱貫流率表!$1:$5</definedName>
    <definedName name="会社名" localSheetId="0">表紙!$A$10</definedName>
    <definedName name="顧客名" localSheetId="0">表紙!$A$1</definedName>
    <definedName name="室NO" localSheetId="14">'201'!$B$3</definedName>
    <definedName name="室NO" localSheetId="15">'204'!$B$3</definedName>
    <definedName name="室NO" localSheetId="16">'205'!$B$3</definedName>
    <definedName name="室NO" localSheetId="17">'208'!$B$3</definedName>
    <definedName name="日付" localSheetId="0">表紙!$A$8</definedName>
    <definedName name="面積" localSheetId="14">'201'!$D$5</definedName>
    <definedName name="面積" localSheetId="15">'204'!$D$5</definedName>
    <definedName name="面積" localSheetId="16">'205'!$D$5</definedName>
    <definedName name="面積" localSheetId="17">'208'!$D$5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U23" i="17" l="1"/>
  <c r="FR23" i="17"/>
  <c r="FH23" i="17"/>
  <c r="FF23" i="17"/>
  <c r="FD23" i="17"/>
  <c r="FB23" i="17"/>
  <c r="EZ23" i="17"/>
  <c r="EX23" i="17"/>
  <c r="EV23" i="17"/>
  <c r="ET23" i="17"/>
  <c r="ER23" i="17"/>
  <c r="EP23" i="17"/>
  <c r="EN23" i="17"/>
  <c r="EL23" i="17"/>
  <c r="EJ23" i="17"/>
  <c r="EH23" i="17"/>
  <c r="EF23" i="17"/>
  <c r="ED23" i="17"/>
  <c r="EB23" i="17"/>
  <c r="DZ23" i="17"/>
  <c r="DX23" i="17"/>
  <c r="DV23" i="17"/>
  <c r="DT23" i="17"/>
  <c r="DR23" i="17"/>
  <c r="DP23" i="17"/>
  <c r="DN23" i="17"/>
  <c r="DE23" i="17"/>
  <c r="DC23" i="17"/>
  <c r="DA23" i="17"/>
  <c r="CY23" i="17"/>
  <c r="CW23" i="17"/>
  <c r="CU23" i="17"/>
  <c r="CS23" i="17"/>
  <c r="CQ23" i="17"/>
  <c r="CO23" i="17"/>
  <c r="CM23" i="17"/>
  <c r="CK23" i="17"/>
  <c r="CI23" i="17"/>
  <c r="CG23" i="17"/>
  <c r="CE23" i="17"/>
  <c r="CC23" i="17"/>
  <c r="CA23" i="17"/>
  <c r="BY23" i="17"/>
  <c r="BW23" i="17"/>
  <c r="BU23" i="17"/>
  <c r="BS23" i="17"/>
  <c r="BQ23" i="17"/>
  <c r="BO23" i="17"/>
  <c r="BM23" i="17"/>
  <c r="BK23" i="17"/>
  <c r="BB23" i="17"/>
  <c r="AZ23" i="17"/>
  <c r="AX23" i="17"/>
  <c r="AV23" i="17"/>
  <c r="AT23" i="17"/>
  <c r="AR23" i="17"/>
  <c r="AP23" i="17"/>
  <c r="AN23" i="17"/>
  <c r="AL23" i="17"/>
  <c r="AJ23" i="17"/>
  <c r="AH23" i="17"/>
  <c r="AF23" i="17"/>
  <c r="AD23" i="17"/>
  <c r="AB23" i="17"/>
  <c r="Z23" i="17"/>
  <c r="X23" i="17"/>
  <c r="V23" i="17"/>
  <c r="T23" i="17"/>
  <c r="R23" i="17"/>
  <c r="P23" i="17"/>
  <c r="N23" i="17"/>
  <c r="L23" i="17"/>
  <c r="J23" i="17"/>
  <c r="H23" i="17"/>
  <c r="FU22" i="17"/>
  <c r="FR22" i="17"/>
  <c r="FH22" i="17"/>
  <c r="FF22" i="17"/>
  <c r="FD22" i="17"/>
  <c r="FB22" i="17"/>
  <c r="EZ22" i="17"/>
  <c r="EX22" i="17"/>
  <c r="EV22" i="17"/>
  <c r="ET22" i="17"/>
  <c r="ER22" i="17"/>
  <c r="EP22" i="17"/>
  <c r="EN22" i="17"/>
  <c r="EL22" i="17"/>
  <c r="EL26" i="17" s="1"/>
  <c r="EJ22" i="17"/>
  <c r="EH22" i="17"/>
  <c r="EF22" i="17"/>
  <c r="ED22" i="17"/>
  <c r="EB22" i="17"/>
  <c r="DZ22" i="17"/>
  <c r="DX22" i="17"/>
  <c r="DV22" i="17"/>
  <c r="DV26" i="17" s="1"/>
  <c r="DT22" i="17"/>
  <c r="DR22" i="17"/>
  <c r="DP22" i="17"/>
  <c r="DN22" i="17"/>
  <c r="DE22" i="17"/>
  <c r="DC22" i="17"/>
  <c r="DA22" i="17"/>
  <c r="CY22" i="17"/>
  <c r="CY26" i="17" s="1"/>
  <c r="CW22" i="17"/>
  <c r="CU22" i="17"/>
  <c r="CS22" i="17"/>
  <c r="CQ22" i="17"/>
  <c r="CO22" i="17"/>
  <c r="CM22" i="17"/>
  <c r="CK22" i="17"/>
  <c r="CI22" i="17"/>
  <c r="CG22" i="17"/>
  <c r="CE22" i="17"/>
  <c r="CC22" i="17"/>
  <c r="CA22" i="17"/>
  <c r="BY22" i="17"/>
  <c r="BW22" i="17"/>
  <c r="BU22" i="17"/>
  <c r="BS22" i="17"/>
  <c r="BS26" i="17" s="1"/>
  <c r="BQ22" i="17"/>
  <c r="BO22" i="17"/>
  <c r="BM22" i="17"/>
  <c r="BK22" i="17"/>
  <c r="BB22" i="17"/>
  <c r="AZ22" i="17"/>
  <c r="AX22" i="17"/>
  <c r="AV22" i="17"/>
  <c r="AV26" i="17" s="1"/>
  <c r="AT22" i="17"/>
  <c r="AR22" i="17"/>
  <c r="AP22" i="17"/>
  <c r="AN22" i="17"/>
  <c r="AL22" i="17"/>
  <c r="AJ22" i="17"/>
  <c r="AH22" i="17"/>
  <c r="AF22" i="17"/>
  <c r="AF26" i="17" s="1"/>
  <c r="AD22" i="17"/>
  <c r="AB22" i="17"/>
  <c r="Z22" i="17"/>
  <c r="X22" i="17"/>
  <c r="V22" i="17"/>
  <c r="T22" i="17"/>
  <c r="R22" i="17"/>
  <c r="P22" i="17"/>
  <c r="N22" i="17"/>
  <c r="L22" i="17"/>
  <c r="J22" i="17"/>
  <c r="H22" i="17"/>
  <c r="FU21" i="17"/>
  <c r="FR21" i="17"/>
  <c r="FH21" i="17"/>
  <c r="FF21" i="17"/>
  <c r="FD21" i="17"/>
  <c r="FB21" i="17"/>
  <c r="EZ21" i="17"/>
  <c r="EX21" i="17"/>
  <c r="EV21" i="17"/>
  <c r="ET21" i="17"/>
  <c r="ER21" i="17"/>
  <c r="EP21" i="17"/>
  <c r="EP26" i="17" s="1"/>
  <c r="EN21" i="17"/>
  <c r="EL21" i="17"/>
  <c r="EJ21" i="17"/>
  <c r="EH21" i="17"/>
  <c r="EF21" i="17"/>
  <c r="ED21" i="17"/>
  <c r="EB21" i="17"/>
  <c r="DZ21" i="17"/>
  <c r="DZ26" i="17" s="1"/>
  <c r="DX21" i="17"/>
  <c r="DV21" i="17"/>
  <c r="DT21" i="17"/>
  <c r="DR21" i="17"/>
  <c r="DP21" i="17"/>
  <c r="DN21" i="17"/>
  <c r="DE21" i="17"/>
  <c r="DC21" i="17"/>
  <c r="DA21" i="17"/>
  <c r="CY21" i="17"/>
  <c r="CW21" i="17"/>
  <c r="CU21" i="17"/>
  <c r="CS21" i="17"/>
  <c r="CQ21" i="17"/>
  <c r="CO21" i="17"/>
  <c r="CM21" i="17"/>
  <c r="CK21" i="17"/>
  <c r="CI21" i="17"/>
  <c r="CG21" i="17"/>
  <c r="CE21" i="17"/>
  <c r="CC21" i="17"/>
  <c r="CA21" i="17"/>
  <c r="BY21" i="17"/>
  <c r="BW21" i="17"/>
  <c r="BW26" i="17" s="1"/>
  <c r="BU21" i="17"/>
  <c r="BS21" i="17"/>
  <c r="BQ21" i="17"/>
  <c r="BO21" i="17"/>
  <c r="BM21" i="17"/>
  <c r="BK21" i="17"/>
  <c r="BB21" i="17"/>
  <c r="AZ21" i="17"/>
  <c r="AZ26" i="17" s="1"/>
  <c r="AX21" i="17"/>
  <c r="AV21" i="17"/>
  <c r="AT21" i="17"/>
  <c r="AR21" i="17"/>
  <c r="AP21" i="17"/>
  <c r="AN21" i="17"/>
  <c r="AL21" i="17"/>
  <c r="AJ21" i="17"/>
  <c r="AH21" i="17"/>
  <c r="AF21" i="17"/>
  <c r="AD21" i="17"/>
  <c r="AB21" i="17"/>
  <c r="Z21" i="17"/>
  <c r="X21" i="17"/>
  <c r="V21" i="17"/>
  <c r="T21" i="17"/>
  <c r="R21" i="17"/>
  <c r="P21" i="17"/>
  <c r="N21" i="17"/>
  <c r="L21" i="17"/>
  <c r="J21" i="17"/>
  <c r="H21" i="17"/>
  <c r="FU20" i="17"/>
  <c r="FR20" i="17"/>
  <c r="FR26" i="17" s="1"/>
  <c r="FH20" i="17"/>
  <c r="FF20" i="17"/>
  <c r="FD20" i="17"/>
  <c r="FB20" i="17"/>
  <c r="EZ20" i="17"/>
  <c r="EX20" i="17"/>
  <c r="EV20" i="17"/>
  <c r="ET20" i="17"/>
  <c r="ET26" i="17" s="1"/>
  <c r="ER20" i="17"/>
  <c r="EP20" i="17"/>
  <c r="EN20" i="17"/>
  <c r="EL20" i="17"/>
  <c r="EJ20" i="17"/>
  <c r="EH20" i="17"/>
  <c r="EF20" i="17"/>
  <c r="ED20" i="17"/>
  <c r="EB20" i="17"/>
  <c r="DZ20" i="17"/>
  <c r="DX20" i="17"/>
  <c r="DV20" i="17"/>
  <c r="DT20" i="17"/>
  <c r="DR20" i="17"/>
  <c r="DP20" i="17"/>
  <c r="DN20" i="17"/>
  <c r="DE20" i="17"/>
  <c r="DC20" i="17"/>
  <c r="DA20" i="17"/>
  <c r="CY20" i="17"/>
  <c r="CW20" i="17"/>
  <c r="CU20" i="17"/>
  <c r="CS20" i="17"/>
  <c r="CQ20" i="17"/>
  <c r="CQ26" i="17" s="1"/>
  <c r="CO20" i="17"/>
  <c r="CM20" i="17"/>
  <c r="CK20" i="17"/>
  <c r="CI20" i="17"/>
  <c r="CG20" i="17"/>
  <c r="CE20" i="17"/>
  <c r="CC20" i="17"/>
  <c r="CA20" i="17"/>
  <c r="CA26" i="17" s="1"/>
  <c r="BY20" i="17"/>
  <c r="BW20" i="17"/>
  <c r="BU20" i="17"/>
  <c r="BS20" i="17"/>
  <c r="BQ20" i="17"/>
  <c r="BO20" i="17"/>
  <c r="BM20" i="17"/>
  <c r="BK20" i="17"/>
  <c r="BB20" i="17"/>
  <c r="AZ20" i="17"/>
  <c r="AX20" i="17"/>
  <c r="AV20" i="17"/>
  <c r="AT20" i="17"/>
  <c r="AR20" i="17"/>
  <c r="AP20" i="17"/>
  <c r="AN20" i="17"/>
  <c r="AL20" i="17"/>
  <c r="AJ20" i="17"/>
  <c r="AH20" i="17"/>
  <c r="AF20" i="17"/>
  <c r="AD20" i="17"/>
  <c r="AB20" i="17"/>
  <c r="Z20" i="17"/>
  <c r="X20" i="17"/>
  <c r="X26" i="17" s="1"/>
  <c r="V20" i="17"/>
  <c r="T20" i="17"/>
  <c r="R20" i="17"/>
  <c r="P20" i="17"/>
  <c r="N20" i="17"/>
  <c r="L20" i="17"/>
  <c r="J20" i="17"/>
  <c r="H20" i="17"/>
  <c r="H26" i="17" s="1"/>
  <c r="FU19" i="17"/>
  <c r="FR19" i="17"/>
  <c r="FH19" i="17"/>
  <c r="FF19" i="17"/>
  <c r="FD19" i="17"/>
  <c r="FB19" i="17"/>
  <c r="EZ19" i="17"/>
  <c r="EX19" i="17"/>
  <c r="EX26" i="17" s="1"/>
  <c r="EV19" i="17"/>
  <c r="ET19" i="17"/>
  <c r="ER19" i="17"/>
  <c r="EP19" i="17"/>
  <c r="EN19" i="17"/>
  <c r="EL19" i="17"/>
  <c r="EJ19" i="17"/>
  <c r="EH19" i="17"/>
  <c r="EH26" i="17" s="1"/>
  <c r="EF19" i="17"/>
  <c r="ED19" i="17"/>
  <c r="EB19" i="17"/>
  <c r="DZ19" i="17"/>
  <c r="DX19" i="17"/>
  <c r="DV19" i="17"/>
  <c r="DT19" i="17"/>
  <c r="DR19" i="17"/>
  <c r="DR26" i="17" s="1"/>
  <c r="DP19" i="17"/>
  <c r="DN19" i="17"/>
  <c r="DE19" i="17"/>
  <c r="DC19" i="17"/>
  <c r="DA19" i="17"/>
  <c r="CY19" i="17"/>
  <c r="CW19" i="17"/>
  <c r="CU19" i="17"/>
  <c r="CU26" i="17" s="1"/>
  <c r="CS19" i="17"/>
  <c r="CQ19" i="17"/>
  <c r="CO19" i="17"/>
  <c r="CM19" i="17"/>
  <c r="CK19" i="17"/>
  <c r="CI19" i="17"/>
  <c r="CG19" i="17"/>
  <c r="CE19" i="17"/>
  <c r="CE26" i="17" s="1"/>
  <c r="CC19" i="17"/>
  <c r="CA19" i="17"/>
  <c r="BY19" i="17"/>
  <c r="BW19" i="17"/>
  <c r="BU19" i="17"/>
  <c r="BS19" i="17"/>
  <c r="BQ19" i="17"/>
  <c r="BO19" i="17"/>
  <c r="BO26" i="17" s="1"/>
  <c r="BM19" i="17"/>
  <c r="BK19" i="17"/>
  <c r="BB19" i="17"/>
  <c r="AZ19" i="17"/>
  <c r="AX19" i="17"/>
  <c r="AV19" i="17"/>
  <c r="AT19" i="17"/>
  <c r="AR19" i="17"/>
  <c r="AR26" i="17" s="1"/>
  <c r="AP19" i="17"/>
  <c r="AN19" i="17"/>
  <c r="AL19" i="17"/>
  <c r="AJ19" i="17"/>
  <c r="AH19" i="17"/>
  <c r="AF19" i="17"/>
  <c r="AD19" i="17"/>
  <c r="AB19" i="17"/>
  <c r="AB26" i="17" s="1"/>
  <c r="Z19" i="17"/>
  <c r="X19" i="17"/>
  <c r="V19" i="17"/>
  <c r="T19" i="17"/>
  <c r="R19" i="17"/>
  <c r="P19" i="17"/>
  <c r="N19" i="17"/>
  <c r="L19" i="17"/>
  <c r="L26" i="17" s="1"/>
  <c r="J19" i="17"/>
  <c r="H19" i="17"/>
  <c r="FH10" i="17"/>
  <c r="FF10" i="17"/>
  <c r="FD10" i="17"/>
  <c r="FB10" i="17"/>
  <c r="EZ10" i="17"/>
  <c r="EX10" i="17"/>
  <c r="EX14" i="17" s="1"/>
  <c r="EV10" i="17"/>
  <c r="ET10" i="17"/>
  <c r="ER10" i="17"/>
  <c r="EP10" i="17"/>
  <c r="EN10" i="17"/>
  <c r="EL10" i="17"/>
  <c r="EJ10" i="17"/>
  <c r="EH10" i="17"/>
  <c r="EH14" i="17" s="1"/>
  <c r="EF10" i="17"/>
  <c r="ED10" i="17"/>
  <c r="EB10" i="17"/>
  <c r="DZ10" i="17"/>
  <c r="DX10" i="17"/>
  <c r="DV10" i="17"/>
  <c r="DT10" i="17"/>
  <c r="DR10" i="17"/>
  <c r="DR14" i="17" s="1"/>
  <c r="DP10" i="17"/>
  <c r="DN10" i="17"/>
  <c r="DE10" i="17"/>
  <c r="DC10" i="17"/>
  <c r="DA10" i="17"/>
  <c r="CY10" i="17"/>
  <c r="CW10" i="17"/>
  <c r="CU10" i="17"/>
  <c r="CU14" i="17" s="1"/>
  <c r="CS10" i="17"/>
  <c r="CQ10" i="17"/>
  <c r="CO10" i="17"/>
  <c r="CM10" i="17"/>
  <c r="CK10" i="17"/>
  <c r="CI10" i="17"/>
  <c r="CG10" i="17"/>
  <c r="CE10" i="17"/>
  <c r="CE14" i="17" s="1"/>
  <c r="CC10" i="17"/>
  <c r="CA10" i="17"/>
  <c r="BY10" i="17"/>
  <c r="BW10" i="17"/>
  <c r="BU10" i="17"/>
  <c r="BS10" i="17"/>
  <c r="BQ10" i="17"/>
  <c r="BO10" i="17"/>
  <c r="BO14" i="17" s="1"/>
  <c r="BM10" i="17"/>
  <c r="BK10" i="17"/>
  <c r="BB10" i="17"/>
  <c r="AZ10" i="17"/>
  <c r="AX10" i="17"/>
  <c r="AV10" i="17"/>
  <c r="AT10" i="17"/>
  <c r="AR10" i="17"/>
  <c r="AR14" i="17" s="1"/>
  <c r="AP10" i="17"/>
  <c r="AN10" i="17"/>
  <c r="AL10" i="17"/>
  <c r="AJ10" i="17"/>
  <c r="AH10" i="17"/>
  <c r="AF10" i="17"/>
  <c r="AD10" i="17"/>
  <c r="AB10" i="17"/>
  <c r="AB14" i="17" s="1"/>
  <c r="Z10" i="17"/>
  <c r="X10" i="17"/>
  <c r="V10" i="17"/>
  <c r="T10" i="17"/>
  <c r="R10" i="17"/>
  <c r="P10" i="17"/>
  <c r="N10" i="17"/>
  <c r="L10" i="17"/>
  <c r="L14" i="17" s="1"/>
  <c r="J10" i="17"/>
  <c r="H10" i="17"/>
  <c r="D10" i="17"/>
  <c r="FU18" i="17"/>
  <c r="FR18" i="17"/>
  <c r="FH18" i="17"/>
  <c r="FF18" i="17"/>
  <c r="FD18" i="17"/>
  <c r="FB18" i="17"/>
  <c r="EZ18" i="17"/>
  <c r="EX18" i="17"/>
  <c r="EV18" i="17"/>
  <c r="ET18" i="17"/>
  <c r="ER18" i="17"/>
  <c r="EP18" i="17"/>
  <c r="EN18" i="17"/>
  <c r="EL18" i="17"/>
  <c r="EJ18" i="17"/>
  <c r="EH18" i="17"/>
  <c r="EF18" i="17"/>
  <c r="ED18" i="17"/>
  <c r="EB18" i="17"/>
  <c r="DZ18" i="17"/>
  <c r="DX18" i="17"/>
  <c r="DV18" i="17"/>
  <c r="DT18" i="17"/>
  <c r="DR18" i="17"/>
  <c r="DP18" i="17"/>
  <c r="DN18" i="17"/>
  <c r="DE18" i="17"/>
  <c r="DC18" i="17"/>
  <c r="DA18" i="17"/>
  <c r="CY18" i="17"/>
  <c r="CW18" i="17"/>
  <c r="CU18" i="17"/>
  <c r="CS18" i="17"/>
  <c r="CQ18" i="17"/>
  <c r="CO18" i="17"/>
  <c r="CM18" i="17"/>
  <c r="CK18" i="17"/>
  <c r="CI18" i="17"/>
  <c r="CG18" i="17"/>
  <c r="CE18" i="17"/>
  <c r="CC18" i="17"/>
  <c r="CA18" i="17"/>
  <c r="BY18" i="17"/>
  <c r="BW18" i="17"/>
  <c r="BU18" i="17"/>
  <c r="BS18" i="17"/>
  <c r="BQ18" i="17"/>
  <c r="BO18" i="17"/>
  <c r="BM18" i="17"/>
  <c r="BK18" i="17"/>
  <c r="BB18" i="17"/>
  <c r="AZ18" i="17"/>
  <c r="AX18" i="17"/>
  <c r="AV18" i="17"/>
  <c r="AT18" i="17"/>
  <c r="AR18" i="17"/>
  <c r="AP18" i="17"/>
  <c r="AN18" i="17"/>
  <c r="AL18" i="17"/>
  <c r="AJ18" i="17"/>
  <c r="AH18" i="17"/>
  <c r="AF18" i="17"/>
  <c r="AD18" i="17"/>
  <c r="AB18" i="17"/>
  <c r="Z18" i="17"/>
  <c r="X18" i="17"/>
  <c r="V18" i="17"/>
  <c r="T18" i="17"/>
  <c r="R18" i="17"/>
  <c r="P18" i="17"/>
  <c r="N18" i="17"/>
  <c r="L18" i="17"/>
  <c r="J18" i="17"/>
  <c r="H18" i="17"/>
  <c r="FU17" i="17"/>
  <c r="FR17" i="17"/>
  <c r="FH17" i="17"/>
  <c r="FH26" i="17" s="1"/>
  <c r="FF17" i="17"/>
  <c r="FD17" i="17"/>
  <c r="FB17" i="17"/>
  <c r="EZ17" i="17"/>
  <c r="EX17" i="17"/>
  <c r="EV17" i="17"/>
  <c r="ET17" i="17"/>
  <c r="ER17" i="17"/>
  <c r="ER26" i="17" s="1"/>
  <c r="EP17" i="17"/>
  <c r="EN17" i="17"/>
  <c r="EL17" i="17"/>
  <c r="EJ17" i="17"/>
  <c r="EH17" i="17"/>
  <c r="EF17" i="17"/>
  <c r="ED17" i="17"/>
  <c r="EB17" i="17"/>
  <c r="EB26" i="17" s="1"/>
  <c r="DZ17" i="17"/>
  <c r="DX17" i="17"/>
  <c r="DV17" i="17"/>
  <c r="DT17" i="17"/>
  <c r="DR17" i="17"/>
  <c r="DP17" i="17"/>
  <c r="DN17" i="17"/>
  <c r="DE17" i="17"/>
  <c r="DC17" i="17"/>
  <c r="DA17" i="17"/>
  <c r="CY17" i="17"/>
  <c r="CW17" i="17"/>
  <c r="CU17" i="17"/>
  <c r="CS17" i="17"/>
  <c r="CQ17" i="17"/>
  <c r="CO17" i="17"/>
  <c r="CO26" i="17" s="1"/>
  <c r="CM17" i="17"/>
  <c r="CK17" i="17"/>
  <c r="CI17" i="17"/>
  <c r="CG17" i="17"/>
  <c r="CE17" i="17"/>
  <c r="CC17" i="17"/>
  <c r="CA17" i="17"/>
  <c r="BY17" i="17"/>
  <c r="BY26" i="17" s="1"/>
  <c r="BW17" i="17"/>
  <c r="BU17" i="17"/>
  <c r="BS17" i="17"/>
  <c r="BQ17" i="17"/>
  <c r="BO17" i="17"/>
  <c r="BM17" i="17"/>
  <c r="BK17" i="17"/>
  <c r="BB17" i="17"/>
  <c r="BB26" i="17" s="1"/>
  <c r="AZ17" i="17"/>
  <c r="AX17" i="17"/>
  <c r="AV17" i="17"/>
  <c r="AT17" i="17"/>
  <c r="AR17" i="17"/>
  <c r="AP17" i="17"/>
  <c r="AN17" i="17"/>
  <c r="AL17" i="17"/>
  <c r="AJ17" i="17"/>
  <c r="AH17" i="17"/>
  <c r="AF17" i="17"/>
  <c r="AD17" i="17"/>
  <c r="AB17" i="17"/>
  <c r="Z17" i="17"/>
  <c r="X17" i="17"/>
  <c r="V17" i="17"/>
  <c r="V26" i="17" s="1"/>
  <c r="T17" i="17"/>
  <c r="R17" i="17"/>
  <c r="P17" i="17"/>
  <c r="N17" i="17"/>
  <c r="L17" i="17"/>
  <c r="J17" i="17"/>
  <c r="H17" i="17"/>
  <c r="FU16" i="17"/>
  <c r="FR16" i="17"/>
  <c r="FH16" i="17"/>
  <c r="FF16" i="17"/>
  <c r="FD16" i="17"/>
  <c r="FB16" i="17"/>
  <c r="FB26" i="17" s="1"/>
  <c r="EZ16" i="17"/>
  <c r="EX16" i="17"/>
  <c r="EV16" i="17"/>
  <c r="ET16" i="17"/>
  <c r="ER16" i="17"/>
  <c r="EP16" i="17"/>
  <c r="EN16" i="17"/>
  <c r="EL16" i="17"/>
  <c r="EJ16" i="17"/>
  <c r="EH16" i="17"/>
  <c r="EF16" i="17"/>
  <c r="ED16" i="17"/>
  <c r="EB16" i="17"/>
  <c r="DZ16" i="17"/>
  <c r="DX16" i="17"/>
  <c r="DV16" i="17"/>
  <c r="DT16" i="17"/>
  <c r="DT26" i="17" s="1"/>
  <c r="DR16" i="17"/>
  <c r="DP16" i="17"/>
  <c r="DN16" i="17"/>
  <c r="DE16" i="17"/>
  <c r="DE26" i="17" s="1"/>
  <c r="DC16" i="17"/>
  <c r="DA16" i="17"/>
  <c r="CY16" i="17"/>
  <c r="CW16" i="17"/>
  <c r="CW26" i="17" s="1"/>
  <c r="CU16" i="17"/>
  <c r="CS16" i="17"/>
  <c r="CQ16" i="17"/>
  <c r="CO16" i="17"/>
  <c r="CM16" i="17"/>
  <c r="CK16" i="17"/>
  <c r="CI16" i="17"/>
  <c r="CI26" i="17" s="1"/>
  <c r="CG16" i="17"/>
  <c r="CE16" i="17"/>
  <c r="CC16" i="17"/>
  <c r="CA16" i="17"/>
  <c r="BY16" i="17"/>
  <c r="BW16" i="17"/>
  <c r="BU16" i="17"/>
  <c r="BS16" i="17"/>
  <c r="BQ16" i="17"/>
  <c r="BO16" i="17"/>
  <c r="BM16" i="17"/>
  <c r="BK16" i="17"/>
  <c r="BB16" i="17"/>
  <c r="AZ16" i="17"/>
  <c r="AX16" i="17"/>
  <c r="AV16" i="17"/>
  <c r="AT16" i="17"/>
  <c r="AT26" i="17" s="1"/>
  <c r="AR16" i="17"/>
  <c r="AP16" i="17"/>
  <c r="AN16" i="17"/>
  <c r="AL16" i="17"/>
  <c r="AL26" i="17" s="1"/>
  <c r="AJ16" i="17"/>
  <c r="AH16" i="17"/>
  <c r="AF16" i="17"/>
  <c r="AD16" i="17"/>
  <c r="AD26" i="17" s="1"/>
  <c r="AB16" i="17"/>
  <c r="Z16" i="17"/>
  <c r="X16" i="17"/>
  <c r="V16" i="17"/>
  <c r="T16" i="17"/>
  <c r="R16" i="17"/>
  <c r="P16" i="17"/>
  <c r="P26" i="17" s="1"/>
  <c r="N16" i="17"/>
  <c r="L16" i="17"/>
  <c r="J16" i="17"/>
  <c r="H16" i="17"/>
  <c r="DM68" i="17"/>
  <c r="BJ68" i="17"/>
  <c r="FF26" i="17"/>
  <c r="EZ26" i="17"/>
  <c r="EJ26" i="17"/>
  <c r="ED26" i="17"/>
  <c r="DN26" i="17"/>
  <c r="DC26" i="17"/>
  <c r="CM26" i="17"/>
  <c r="CG26" i="17"/>
  <c r="BQ26" i="17"/>
  <c r="BK26" i="17"/>
  <c r="AN26" i="17"/>
  <c r="AJ26" i="17"/>
  <c r="T26" i="17"/>
  <c r="N26" i="17"/>
  <c r="FU14" i="17"/>
  <c r="FR14" i="17"/>
  <c r="FH14" i="17"/>
  <c r="FF14" i="17"/>
  <c r="FD14" i="17"/>
  <c r="FB14" i="17"/>
  <c r="EZ14" i="17"/>
  <c r="EV14" i="17"/>
  <c r="ET14" i="17"/>
  <c r="ER14" i="17"/>
  <c r="EP14" i="17"/>
  <c r="EN14" i="17"/>
  <c r="EL14" i="17"/>
  <c r="EJ14" i="17"/>
  <c r="EF14" i="17"/>
  <c r="ED14" i="17"/>
  <c r="EB14" i="17"/>
  <c r="DZ14" i="17"/>
  <c r="DX14" i="17"/>
  <c r="DV14" i="17"/>
  <c r="DT14" i="17"/>
  <c r="DP14" i="17"/>
  <c r="DN14" i="17"/>
  <c r="DE14" i="17"/>
  <c r="DC14" i="17"/>
  <c r="DA14" i="17"/>
  <c r="CY14" i="17"/>
  <c r="CW14" i="17"/>
  <c r="CS14" i="17"/>
  <c r="CQ14" i="17"/>
  <c r="CO14" i="17"/>
  <c r="CM14" i="17"/>
  <c r="CK14" i="17"/>
  <c r="CI14" i="17"/>
  <c r="CG14" i="17"/>
  <c r="CC14" i="17"/>
  <c r="CA14" i="17"/>
  <c r="BY14" i="17"/>
  <c r="BW14" i="17"/>
  <c r="BU14" i="17"/>
  <c r="BS14" i="17"/>
  <c r="BQ14" i="17"/>
  <c r="BM14" i="17"/>
  <c r="BK14" i="17"/>
  <c r="BB14" i="17"/>
  <c r="AZ14" i="17"/>
  <c r="AX14" i="17"/>
  <c r="AV14" i="17"/>
  <c r="AT14" i="17"/>
  <c r="AP14" i="17"/>
  <c r="AN14" i="17"/>
  <c r="AL14" i="17"/>
  <c r="AJ14" i="17"/>
  <c r="AH14" i="17"/>
  <c r="AF14" i="17"/>
  <c r="AD14" i="17"/>
  <c r="Z14" i="17"/>
  <c r="X14" i="17"/>
  <c r="V14" i="17"/>
  <c r="T14" i="17"/>
  <c r="R14" i="17"/>
  <c r="P14" i="17"/>
  <c r="N14" i="17"/>
  <c r="J14" i="17"/>
  <c r="H14" i="17"/>
  <c r="FE1" i="17"/>
  <c r="DB1" i="17"/>
  <c r="FU20" i="16"/>
  <c r="FR20" i="16"/>
  <c r="FH20" i="16"/>
  <c r="FF20" i="16"/>
  <c r="FD20" i="16"/>
  <c r="FB20" i="16"/>
  <c r="EZ20" i="16"/>
  <c r="EX20" i="16"/>
  <c r="EV20" i="16"/>
  <c r="ET20" i="16"/>
  <c r="ER20" i="16"/>
  <c r="EP20" i="16"/>
  <c r="EN20" i="16"/>
  <c r="EL20" i="16"/>
  <c r="EJ20" i="16"/>
  <c r="EH20" i="16"/>
  <c r="EF20" i="16"/>
  <c r="ED20" i="16"/>
  <c r="EB20" i="16"/>
  <c r="DZ20" i="16"/>
  <c r="DX20" i="16"/>
  <c r="DV20" i="16"/>
  <c r="DT20" i="16"/>
  <c r="DR20" i="16"/>
  <c r="DP20" i="16"/>
  <c r="DN20" i="16"/>
  <c r="DE20" i="16"/>
  <c r="DC20" i="16"/>
  <c r="DA20" i="16"/>
  <c r="CY20" i="16"/>
  <c r="CW20" i="16"/>
  <c r="CU20" i="16"/>
  <c r="CS20" i="16"/>
  <c r="CQ20" i="16"/>
  <c r="CO20" i="16"/>
  <c r="CM20" i="16"/>
  <c r="CK20" i="16"/>
  <c r="CI20" i="16"/>
  <c r="CG20" i="16"/>
  <c r="CE20" i="16"/>
  <c r="CC20" i="16"/>
  <c r="CA20" i="16"/>
  <c r="BY20" i="16"/>
  <c r="BW20" i="16"/>
  <c r="BU20" i="16"/>
  <c r="BS20" i="16"/>
  <c r="BQ20" i="16"/>
  <c r="BO20" i="16"/>
  <c r="BM20" i="16"/>
  <c r="BK20" i="16"/>
  <c r="BB20" i="16"/>
  <c r="AZ20" i="16"/>
  <c r="AX20" i="16"/>
  <c r="AV20" i="16"/>
  <c r="AT20" i="16"/>
  <c r="AR20" i="16"/>
  <c r="AP20" i="16"/>
  <c r="AN20" i="16"/>
  <c r="AL20" i="16"/>
  <c r="AJ20" i="16"/>
  <c r="AH20" i="16"/>
  <c r="AF20" i="16"/>
  <c r="AD20" i="16"/>
  <c r="AB20" i="16"/>
  <c r="Z20" i="16"/>
  <c r="X20" i="16"/>
  <c r="V20" i="16"/>
  <c r="T20" i="16"/>
  <c r="R20" i="16"/>
  <c r="P20" i="16"/>
  <c r="N20" i="16"/>
  <c r="L20" i="16"/>
  <c r="J20" i="16"/>
  <c r="H20" i="16"/>
  <c r="FU19" i="16"/>
  <c r="FR19" i="16"/>
  <c r="FH19" i="16"/>
  <c r="FF19" i="16"/>
  <c r="FD19" i="16"/>
  <c r="FB19" i="16"/>
  <c r="EZ19" i="16"/>
  <c r="EX19" i="16"/>
  <c r="EV19" i="16"/>
  <c r="ET19" i="16"/>
  <c r="ER19" i="16"/>
  <c r="ER26" i="16" s="1"/>
  <c r="EP19" i="16"/>
  <c r="EN19" i="16"/>
  <c r="EL19" i="16"/>
  <c r="EJ19" i="16"/>
  <c r="EH19" i="16"/>
  <c r="EF19" i="16"/>
  <c r="ED19" i="16"/>
  <c r="EB19" i="16"/>
  <c r="EB26" i="16" s="1"/>
  <c r="DZ19" i="16"/>
  <c r="DX19" i="16"/>
  <c r="DV19" i="16"/>
  <c r="DT19" i="16"/>
  <c r="DR19" i="16"/>
  <c r="DP19" i="16"/>
  <c r="DN19" i="16"/>
  <c r="DE19" i="16"/>
  <c r="DE26" i="16" s="1"/>
  <c r="DC19" i="16"/>
  <c r="DA19" i="16"/>
  <c r="CY19" i="16"/>
  <c r="CW19" i="16"/>
  <c r="CU19" i="16"/>
  <c r="CS19" i="16"/>
  <c r="CQ19" i="16"/>
  <c r="CO19" i="16"/>
  <c r="CO26" i="16" s="1"/>
  <c r="CM19" i="16"/>
  <c r="CK19" i="16"/>
  <c r="CI19" i="16"/>
  <c r="CG19" i="16"/>
  <c r="CE19" i="16"/>
  <c r="CC19" i="16"/>
  <c r="CA19" i="16"/>
  <c r="BY19" i="16"/>
  <c r="BY26" i="16" s="1"/>
  <c r="BW19" i="16"/>
  <c r="BU19" i="16"/>
  <c r="BS19" i="16"/>
  <c r="BQ19" i="16"/>
  <c r="BO19" i="16"/>
  <c r="BM19" i="16"/>
  <c r="BK19" i="16"/>
  <c r="BB19" i="16"/>
  <c r="BB26" i="16" s="1"/>
  <c r="AZ19" i="16"/>
  <c r="AX19" i="16"/>
  <c r="AV19" i="16"/>
  <c r="AT19" i="16"/>
  <c r="AR19" i="16"/>
  <c r="AP19" i="16"/>
  <c r="AN19" i="16"/>
  <c r="AL19" i="16"/>
  <c r="AL26" i="16" s="1"/>
  <c r="AJ19" i="16"/>
  <c r="AH19" i="16"/>
  <c r="AF19" i="16"/>
  <c r="AD19" i="16"/>
  <c r="AB19" i="16"/>
  <c r="Z19" i="16"/>
  <c r="X19" i="16"/>
  <c r="V19" i="16"/>
  <c r="V26" i="16" s="1"/>
  <c r="T19" i="16"/>
  <c r="R19" i="16"/>
  <c r="P19" i="16"/>
  <c r="N19" i="16"/>
  <c r="L19" i="16"/>
  <c r="J19" i="16"/>
  <c r="H19" i="16"/>
  <c r="FU18" i="16"/>
  <c r="FR18" i="16"/>
  <c r="FH18" i="16"/>
  <c r="FF18" i="16"/>
  <c r="FD18" i="16"/>
  <c r="FB18" i="16"/>
  <c r="FB26" i="16" s="1"/>
  <c r="EZ18" i="16"/>
  <c r="EX18" i="16"/>
  <c r="EV18" i="16"/>
  <c r="ET18" i="16"/>
  <c r="ER18" i="16"/>
  <c r="EP18" i="16"/>
  <c r="EN18" i="16"/>
  <c r="EL18" i="16"/>
  <c r="EL26" i="16" s="1"/>
  <c r="EJ18" i="16"/>
  <c r="EH18" i="16"/>
  <c r="EF18" i="16"/>
  <c r="ED18" i="16"/>
  <c r="EB18" i="16"/>
  <c r="DZ18" i="16"/>
  <c r="DX18" i="16"/>
  <c r="DV18" i="16"/>
  <c r="DV26" i="16" s="1"/>
  <c r="DT18" i="16"/>
  <c r="DR18" i="16"/>
  <c r="DP18" i="16"/>
  <c r="DN18" i="16"/>
  <c r="DE18" i="16"/>
  <c r="DC18" i="16"/>
  <c r="DA18" i="16"/>
  <c r="CY18" i="16"/>
  <c r="CY26" i="16" s="1"/>
  <c r="CW18" i="16"/>
  <c r="CU18" i="16"/>
  <c r="CS18" i="16"/>
  <c r="CQ18" i="16"/>
  <c r="CO18" i="16"/>
  <c r="CM18" i="16"/>
  <c r="CK18" i="16"/>
  <c r="CI18" i="16"/>
  <c r="CI26" i="16" s="1"/>
  <c r="CG18" i="16"/>
  <c r="CE18" i="16"/>
  <c r="CC18" i="16"/>
  <c r="CA18" i="16"/>
  <c r="BY18" i="16"/>
  <c r="BW18" i="16"/>
  <c r="BU18" i="16"/>
  <c r="BS18" i="16"/>
  <c r="BS26" i="16" s="1"/>
  <c r="BQ18" i="16"/>
  <c r="BO18" i="16"/>
  <c r="BM18" i="16"/>
  <c r="BK18" i="16"/>
  <c r="BB18" i="16"/>
  <c r="AZ18" i="16"/>
  <c r="AX18" i="16"/>
  <c r="AV18" i="16"/>
  <c r="AV26" i="16" s="1"/>
  <c r="AT18" i="16"/>
  <c r="AR18" i="16"/>
  <c r="AP18" i="16"/>
  <c r="AN18" i="16"/>
  <c r="AL18" i="16"/>
  <c r="AJ18" i="16"/>
  <c r="AH18" i="16"/>
  <c r="AF18" i="16"/>
  <c r="AF26" i="16" s="1"/>
  <c r="AD18" i="16"/>
  <c r="AB18" i="16"/>
  <c r="Z18" i="16"/>
  <c r="X18" i="16"/>
  <c r="V18" i="16"/>
  <c r="T18" i="16"/>
  <c r="R18" i="16"/>
  <c r="P18" i="16"/>
  <c r="P26" i="16" s="1"/>
  <c r="N18" i="16"/>
  <c r="L18" i="16"/>
  <c r="J18" i="16"/>
  <c r="H18" i="16"/>
  <c r="FU17" i="16"/>
  <c r="FR17" i="16"/>
  <c r="FH17" i="16"/>
  <c r="FF17" i="16"/>
  <c r="FF26" i="16" s="1"/>
  <c r="FD17" i="16"/>
  <c r="FB17" i="16"/>
  <c r="EZ17" i="16"/>
  <c r="EZ26" i="16" s="1"/>
  <c r="EX17" i="16"/>
  <c r="EV17" i="16"/>
  <c r="ET17" i="16"/>
  <c r="ER17" i="16"/>
  <c r="EP17" i="16"/>
  <c r="EP26" i="16" s="1"/>
  <c r="EN17" i="16"/>
  <c r="EL17" i="16"/>
  <c r="EJ17" i="16"/>
  <c r="EJ26" i="16" s="1"/>
  <c r="EH17" i="16"/>
  <c r="EF17" i="16"/>
  <c r="ED17" i="16"/>
  <c r="EB17" i="16"/>
  <c r="DZ17" i="16"/>
  <c r="DZ26" i="16" s="1"/>
  <c r="DX17" i="16"/>
  <c r="DV17" i="16"/>
  <c r="DT17" i="16"/>
  <c r="DT26" i="16" s="1"/>
  <c r="DR17" i="16"/>
  <c r="DP17" i="16"/>
  <c r="DN17" i="16"/>
  <c r="DE17" i="16"/>
  <c r="DC17" i="16"/>
  <c r="DC26" i="16" s="1"/>
  <c r="DA17" i="16"/>
  <c r="CY17" i="16"/>
  <c r="CW17" i="16"/>
  <c r="CW26" i="16" s="1"/>
  <c r="CU17" i="16"/>
  <c r="CS17" i="16"/>
  <c r="CQ17" i="16"/>
  <c r="CO17" i="16"/>
  <c r="CM17" i="16"/>
  <c r="CM26" i="16" s="1"/>
  <c r="CK17" i="16"/>
  <c r="CI17" i="16"/>
  <c r="CG17" i="16"/>
  <c r="CG26" i="16" s="1"/>
  <c r="CE17" i="16"/>
  <c r="CC17" i="16"/>
  <c r="CA17" i="16"/>
  <c r="BY17" i="16"/>
  <c r="BW17" i="16"/>
  <c r="BW26" i="16" s="1"/>
  <c r="BU17" i="16"/>
  <c r="BS17" i="16"/>
  <c r="BQ17" i="16"/>
  <c r="BQ26" i="16" s="1"/>
  <c r="BO17" i="16"/>
  <c r="BM17" i="16"/>
  <c r="BK17" i="16"/>
  <c r="BB17" i="16"/>
  <c r="AZ17" i="16"/>
  <c r="AZ26" i="16" s="1"/>
  <c r="AX17" i="16"/>
  <c r="AV17" i="16"/>
  <c r="AT17" i="16"/>
  <c r="AT26" i="16" s="1"/>
  <c r="AR17" i="16"/>
  <c r="AP17" i="16"/>
  <c r="AN17" i="16"/>
  <c r="AL17" i="16"/>
  <c r="AJ17" i="16"/>
  <c r="AJ26" i="16" s="1"/>
  <c r="AH17" i="16"/>
  <c r="AF17" i="16"/>
  <c r="AD17" i="16"/>
  <c r="AD26" i="16" s="1"/>
  <c r="AB17" i="16"/>
  <c r="Z17" i="16"/>
  <c r="X17" i="16"/>
  <c r="V17" i="16"/>
  <c r="T17" i="16"/>
  <c r="T26" i="16" s="1"/>
  <c r="R17" i="16"/>
  <c r="P17" i="16"/>
  <c r="N17" i="16"/>
  <c r="N26" i="16" s="1"/>
  <c r="L17" i="16"/>
  <c r="J17" i="16"/>
  <c r="H17" i="16"/>
  <c r="FU16" i="16"/>
  <c r="FR16" i="16"/>
  <c r="FR26" i="16" s="1"/>
  <c r="FH16" i="16"/>
  <c r="FF16" i="16"/>
  <c r="FD16" i="16"/>
  <c r="FD26" i="16" s="1"/>
  <c r="FB16" i="16"/>
  <c r="EZ16" i="16"/>
  <c r="EX16" i="16"/>
  <c r="EV16" i="16"/>
  <c r="ET16" i="16"/>
  <c r="ET26" i="16" s="1"/>
  <c r="ER16" i="16"/>
  <c r="EP16" i="16"/>
  <c r="EN16" i="16"/>
  <c r="EN26" i="16" s="1"/>
  <c r="EL16" i="16"/>
  <c r="EJ16" i="16"/>
  <c r="EH16" i="16"/>
  <c r="EF16" i="16"/>
  <c r="ED16" i="16"/>
  <c r="ED26" i="16" s="1"/>
  <c r="EB16" i="16"/>
  <c r="DZ16" i="16"/>
  <c r="DX16" i="16"/>
  <c r="DX26" i="16" s="1"/>
  <c r="DV16" i="16"/>
  <c r="DT16" i="16"/>
  <c r="DR16" i="16"/>
  <c r="DP16" i="16"/>
  <c r="DN16" i="16"/>
  <c r="DN26" i="16" s="1"/>
  <c r="DE16" i="16"/>
  <c r="DC16" i="16"/>
  <c r="DA16" i="16"/>
  <c r="DA26" i="16" s="1"/>
  <c r="CY16" i="16"/>
  <c r="CW16" i="16"/>
  <c r="CU16" i="16"/>
  <c r="CS16" i="16"/>
  <c r="CQ16" i="16"/>
  <c r="CQ26" i="16" s="1"/>
  <c r="CO16" i="16"/>
  <c r="CM16" i="16"/>
  <c r="CK16" i="16"/>
  <c r="CK26" i="16" s="1"/>
  <c r="CI16" i="16"/>
  <c r="CG16" i="16"/>
  <c r="CE16" i="16"/>
  <c r="CC16" i="16"/>
  <c r="CA16" i="16"/>
  <c r="CA26" i="16" s="1"/>
  <c r="BY16" i="16"/>
  <c r="BW16" i="16"/>
  <c r="BU16" i="16"/>
  <c r="BU26" i="16" s="1"/>
  <c r="BS16" i="16"/>
  <c r="BQ16" i="16"/>
  <c r="BO16" i="16"/>
  <c r="BM16" i="16"/>
  <c r="BK16" i="16"/>
  <c r="BK26" i="16" s="1"/>
  <c r="BB16" i="16"/>
  <c r="AZ16" i="16"/>
  <c r="AX16" i="16"/>
  <c r="AX26" i="16" s="1"/>
  <c r="AV16" i="16"/>
  <c r="AT16" i="16"/>
  <c r="AR16" i="16"/>
  <c r="AP16" i="16"/>
  <c r="AN16" i="16"/>
  <c r="AN26" i="16" s="1"/>
  <c r="AL16" i="16"/>
  <c r="AJ16" i="16"/>
  <c r="AH16" i="16"/>
  <c r="AH26" i="16" s="1"/>
  <c r="AF16" i="16"/>
  <c r="AD16" i="16"/>
  <c r="AB16" i="16"/>
  <c r="Z16" i="16"/>
  <c r="X16" i="16"/>
  <c r="X26" i="16" s="1"/>
  <c r="V16" i="16"/>
  <c r="T16" i="16"/>
  <c r="R16" i="16"/>
  <c r="R26" i="16" s="1"/>
  <c r="P16" i="16"/>
  <c r="N16" i="16"/>
  <c r="L16" i="16"/>
  <c r="J16" i="16"/>
  <c r="H16" i="16"/>
  <c r="H26" i="16" s="1"/>
  <c r="DM68" i="16"/>
  <c r="BJ68" i="16"/>
  <c r="FU26" i="16"/>
  <c r="FH26" i="16"/>
  <c r="EV26" i="16"/>
  <c r="EF26" i="16"/>
  <c r="DP26" i="16"/>
  <c r="CS26" i="16"/>
  <c r="CC26" i="16"/>
  <c r="BM26" i="16"/>
  <c r="AP26" i="16"/>
  <c r="Z26" i="16"/>
  <c r="J26" i="16"/>
  <c r="FU14" i="16"/>
  <c r="FR14" i="16"/>
  <c r="FH14" i="16"/>
  <c r="FF14" i="16"/>
  <c r="FD14" i="16"/>
  <c r="FB14" i="16"/>
  <c r="EZ14" i="16"/>
  <c r="EX14" i="16"/>
  <c r="EV14" i="16"/>
  <c r="ET14" i="16"/>
  <c r="ER14" i="16"/>
  <c r="EP14" i="16"/>
  <c r="EN14" i="16"/>
  <c r="EL14" i="16"/>
  <c r="EJ14" i="16"/>
  <c r="EH14" i="16"/>
  <c r="EF14" i="16"/>
  <c r="ED14" i="16"/>
  <c r="EB14" i="16"/>
  <c r="DZ14" i="16"/>
  <c r="DX14" i="16"/>
  <c r="DV14" i="16"/>
  <c r="DT14" i="16"/>
  <c r="DR14" i="16"/>
  <c r="DP14" i="16"/>
  <c r="DN14" i="16"/>
  <c r="DE14" i="16"/>
  <c r="DC14" i="16"/>
  <c r="DA14" i="16"/>
  <c r="CY14" i="16"/>
  <c r="CW14" i="16"/>
  <c r="CU14" i="16"/>
  <c r="CS14" i="16"/>
  <c r="CQ14" i="16"/>
  <c r="CO14" i="16"/>
  <c r="CM14" i="16"/>
  <c r="CK14" i="16"/>
  <c r="CI14" i="16"/>
  <c r="CG14" i="16"/>
  <c r="CE14" i="16"/>
  <c r="CC14" i="16"/>
  <c r="CA14" i="16"/>
  <c r="BY14" i="16"/>
  <c r="BW14" i="16"/>
  <c r="BU14" i="16"/>
  <c r="BS14" i="16"/>
  <c r="BQ14" i="16"/>
  <c r="BO14" i="16"/>
  <c r="BM14" i="16"/>
  <c r="BK14" i="16"/>
  <c r="BB14" i="16"/>
  <c r="AZ14" i="16"/>
  <c r="AX14" i="16"/>
  <c r="AV14" i="16"/>
  <c r="AT14" i="16"/>
  <c r="AR14" i="16"/>
  <c r="AP14" i="16"/>
  <c r="AN14" i="16"/>
  <c r="AL14" i="16"/>
  <c r="AJ14" i="16"/>
  <c r="AH14" i="16"/>
  <c r="AF14" i="16"/>
  <c r="AD14" i="16"/>
  <c r="AB14" i="16"/>
  <c r="Z14" i="16"/>
  <c r="X14" i="16"/>
  <c r="V14" i="16"/>
  <c r="T14" i="16"/>
  <c r="R14" i="16"/>
  <c r="P14" i="16"/>
  <c r="N14" i="16"/>
  <c r="L14" i="16"/>
  <c r="J14" i="16"/>
  <c r="H14" i="16"/>
  <c r="FE1" i="16"/>
  <c r="DB1" i="16"/>
  <c r="FU19" i="15"/>
  <c r="FR19" i="15"/>
  <c r="FH19" i="15"/>
  <c r="FH26" i="15" s="1"/>
  <c r="FF19" i="15"/>
  <c r="FD19" i="15"/>
  <c r="FB19" i="15"/>
  <c r="EZ19" i="15"/>
  <c r="EX19" i="15"/>
  <c r="EV19" i="15"/>
  <c r="ET19" i="15"/>
  <c r="ER19" i="15"/>
  <c r="ER26" i="15" s="1"/>
  <c r="EP19" i="15"/>
  <c r="EN19" i="15"/>
  <c r="EL19" i="15"/>
  <c r="EJ19" i="15"/>
  <c r="EH19" i="15"/>
  <c r="EF19" i="15"/>
  <c r="ED19" i="15"/>
  <c r="EB19" i="15"/>
  <c r="EB26" i="15" s="1"/>
  <c r="DZ19" i="15"/>
  <c r="DX19" i="15"/>
  <c r="DV19" i="15"/>
  <c r="DT19" i="15"/>
  <c r="DR19" i="15"/>
  <c r="DP19" i="15"/>
  <c r="DN19" i="15"/>
  <c r="DE19" i="15"/>
  <c r="DE26" i="15" s="1"/>
  <c r="DC19" i="15"/>
  <c r="DA19" i="15"/>
  <c r="CY19" i="15"/>
  <c r="CW19" i="15"/>
  <c r="CU19" i="15"/>
  <c r="CS19" i="15"/>
  <c r="CQ19" i="15"/>
  <c r="CO19" i="15"/>
  <c r="CO26" i="15" s="1"/>
  <c r="CM19" i="15"/>
  <c r="CK19" i="15"/>
  <c r="CI19" i="15"/>
  <c r="CG19" i="15"/>
  <c r="CE19" i="15"/>
  <c r="CC19" i="15"/>
  <c r="CA19" i="15"/>
  <c r="BY19" i="15"/>
  <c r="BY26" i="15" s="1"/>
  <c r="BW19" i="15"/>
  <c r="BU19" i="15"/>
  <c r="BS19" i="15"/>
  <c r="BQ19" i="15"/>
  <c r="BO19" i="15"/>
  <c r="BM19" i="15"/>
  <c r="BK19" i="15"/>
  <c r="BB19" i="15"/>
  <c r="BB26" i="15" s="1"/>
  <c r="AZ19" i="15"/>
  <c r="AX19" i="15"/>
  <c r="AV19" i="15"/>
  <c r="AT19" i="15"/>
  <c r="AR19" i="15"/>
  <c r="AP19" i="15"/>
  <c r="AN19" i="15"/>
  <c r="AL19" i="15"/>
  <c r="AL26" i="15" s="1"/>
  <c r="AJ19" i="15"/>
  <c r="AH19" i="15"/>
  <c r="AF19" i="15"/>
  <c r="AD19" i="15"/>
  <c r="AB19" i="15"/>
  <c r="Z19" i="15"/>
  <c r="X19" i="15"/>
  <c r="V19" i="15"/>
  <c r="V26" i="15" s="1"/>
  <c r="T19" i="15"/>
  <c r="R19" i="15"/>
  <c r="P19" i="15"/>
  <c r="N19" i="15"/>
  <c r="L19" i="15"/>
  <c r="J19" i="15"/>
  <c r="H19" i="15"/>
  <c r="FU18" i="15"/>
  <c r="FR18" i="15"/>
  <c r="FH18" i="15"/>
  <c r="FF18" i="15"/>
  <c r="FD18" i="15"/>
  <c r="FB18" i="15"/>
  <c r="FB26" i="15" s="1"/>
  <c r="EZ18" i="15"/>
  <c r="EX18" i="15"/>
  <c r="EV18" i="15"/>
  <c r="ET18" i="15"/>
  <c r="ER18" i="15"/>
  <c r="EP18" i="15"/>
  <c r="EN18" i="15"/>
  <c r="EL18" i="15"/>
  <c r="EJ18" i="15"/>
  <c r="EH18" i="15"/>
  <c r="EF18" i="15"/>
  <c r="ED18" i="15"/>
  <c r="EB18" i="15"/>
  <c r="DZ18" i="15"/>
  <c r="DX18" i="15"/>
  <c r="DV18" i="15"/>
  <c r="DT18" i="15"/>
  <c r="DR18" i="15"/>
  <c r="DP18" i="15"/>
  <c r="DN18" i="15"/>
  <c r="DE18" i="15"/>
  <c r="DC18" i="15"/>
  <c r="DA18" i="15"/>
  <c r="CY18" i="15"/>
  <c r="CY26" i="15" s="1"/>
  <c r="CW18" i="15"/>
  <c r="CU18" i="15"/>
  <c r="CS18" i="15"/>
  <c r="CQ18" i="15"/>
  <c r="CO18" i="15"/>
  <c r="CM18" i="15"/>
  <c r="CK18" i="15"/>
  <c r="CI18" i="15"/>
  <c r="CI26" i="15" s="1"/>
  <c r="CG18" i="15"/>
  <c r="CE18" i="15"/>
  <c r="CC18" i="15"/>
  <c r="CA18" i="15"/>
  <c r="BY18" i="15"/>
  <c r="BW18" i="15"/>
  <c r="BU18" i="15"/>
  <c r="BS18" i="15"/>
  <c r="BQ18" i="15"/>
  <c r="BO18" i="15"/>
  <c r="BM18" i="15"/>
  <c r="BK18" i="15"/>
  <c r="BB18" i="15"/>
  <c r="AZ18" i="15"/>
  <c r="AX18" i="15"/>
  <c r="AV18" i="15"/>
  <c r="AT18" i="15"/>
  <c r="AR18" i="15"/>
  <c r="AP18" i="15"/>
  <c r="AN18" i="15"/>
  <c r="AL18" i="15"/>
  <c r="AJ18" i="15"/>
  <c r="AH18" i="15"/>
  <c r="AF18" i="15"/>
  <c r="AF26" i="15" s="1"/>
  <c r="AD18" i="15"/>
  <c r="AB18" i="15"/>
  <c r="Z18" i="15"/>
  <c r="X18" i="15"/>
  <c r="V18" i="15"/>
  <c r="T18" i="15"/>
  <c r="R18" i="15"/>
  <c r="P18" i="15"/>
  <c r="P26" i="15" s="1"/>
  <c r="N18" i="15"/>
  <c r="L18" i="15"/>
  <c r="J18" i="15"/>
  <c r="H18" i="15"/>
  <c r="FU17" i="15"/>
  <c r="FR17" i="15"/>
  <c r="FH17" i="15"/>
  <c r="FF17" i="15"/>
  <c r="FF26" i="15" s="1"/>
  <c r="FD17" i="15"/>
  <c r="FB17" i="15"/>
  <c r="EZ17" i="15"/>
  <c r="EZ26" i="15" s="1"/>
  <c r="EX17" i="15"/>
  <c r="EV17" i="15"/>
  <c r="ET17" i="15"/>
  <c r="ER17" i="15"/>
  <c r="EP17" i="15"/>
  <c r="EP26" i="15" s="1"/>
  <c r="EN17" i="15"/>
  <c r="EL17" i="15"/>
  <c r="EJ17" i="15"/>
  <c r="EJ26" i="15" s="1"/>
  <c r="EH17" i="15"/>
  <c r="EF17" i="15"/>
  <c r="ED17" i="15"/>
  <c r="EB17" i="15"/>
  <c r="DZ17" i="15"/>
  <c r="DZ26" i="15" s="1"/>
  <c r="DX17" i="15"/>
  <c r="DV17" i="15"/>
  <c r="DT17" i="15"/>
  <c r="DT26" i="15" s="1"/>
  <c r="DR17" i="15"/>
  <c r="DP17" i="15"/>
  <c r="DN17" i="15"/>
  <c r="DE17" i="15"/>
  <c r="DC17" i="15"/>
  <c r="DC26" i="15" s="1"/>
  <c r="DA17" i="15"/>
  <c r="CY17" i="15"/>
  <c r="CW17" i="15"/>
  <c r="CW26" i="15" s="1"/>
  <c r="CU17" i="15"/>
  <c r="CS17" i="15"/>
  <c r="CQ17" i="15"/>
  <c r="CO17" i="15"/>
  <c r="CM17" i="15"/>
  <c r="CM26" i="15" s="1"/>
  <c r="CK17" i="15"/>
  <c r="CI17" i="15"/>
  <c r="CG17" i="15"/>
  <c r="CG26" i="15" s="1"/>
  <c r="CE17" i="15"/>
  <c r="CC17" i="15"/>
  <c r="CA17" i="15"/>
  <c r="BY17" i="15"/>
  <c r="BW17" i="15"/>
  <c r="BW26" i="15" s="1"/>
  <c r="BU17" i="15"/>
  <c r="BS17" i="15"/>
  <c r="BQ17" i="15"/>
  <c r="BQ26" i="15" s="1"/>
  <c r="BO17" i="15"/>
  <c r="BM17" i="15"/>
  <c r="BK17" i="15"/>
  <c r="BB17" i="15"/>
  <c r="AZ17" i="15"/>
  <c r="AZ26" i="15" s="1"/>
  <c r="AX17" i="15"/>
  <c r="AV17" i="15"/>
  <c r="AT17" i="15"/>
  <c r="AT26" i="15" s="1"/>
  <c r="AR17" i="15"/>
  <c r="AP17" i="15"/>
  <c r="AN17" i="15"/>
  <c r="AL17" i="15"/>
  <c r="AJ17" i="15"/>
  <c r="AJ26" i="15" s="1"/>
  <c r="AH17" i="15"/>
  <c r="AF17" i="15"/>
  <c r="AD17" i="15"/>
  <c r="AD26" i="15" s="1"/>
  <c r="AB17" i="15"/>
  <c r="Z17" i="15"/>
  <c r="X17" i="15"/>
  <c r="V17" i="15"/>
  <c r="T17" i="15"/>
  <c r="T26" i="15" s="1"/>
  <c r="R17" i="15"/>
  <c r="P17" i="15"/>
  <c r="N17" i="15"/>
  <c r="N26" i="15" s="1"/>
  <c r="L17" i="15"/>
  <c r="J17" i="15"/>
  <c r="H17" i="15"/>
  <c r="FU16" i="15"/>
  <c r="FR16" i="15"/>
  <c r="FR26" i="15" s="1"/>
  <c r="FH16" i="15"/>
  <c r="FF16" i="15"/>
  <c r="FD16" i="15"/>
  <c r="FD26" i="15" s="1"/>
  <c r="FB16" i="15"/>
  <c r="EZ16" i="15"/>
  <c r="EX16" i="15"/>
  <c r="EX26" i="15" s="1"/>
  <c r="EV16" i="15"/>
  <c r="ET16" i="15"/>
  <c r="ET26" i="15" s="1"/>
  <c r="ER16" i="15"/>
  <c r="EP16" i="15"/>
  <c r="EN16" i="15"/>
  <c r="EN26" i="15" s="1"/>
  <c r="EL16" i="15"/>
  <c r="EJ16" i="15"/>
  <c r="EH16" i="15"/>
  <c r="EH26" i="15" s="1"/>
  <c r="EF16" i="15"/>
  <c r="ED16" i="15"/>
  <c r="ED26" i="15" s="1"/>
  <c r="EB16" i="15"/>
  <c r="DZ16" i="15"/>
  <c r="DX16" i="15"/>
  <c r="DX26" i="15" s="1"/>
  <c r="DV16" i="15"/>
  <c r="DT16" i="15"/>
  <c r="DR16" i="15"/>
  <c r="DR26" i="15" s="1"/>
  <c r="DP16" i="15"/>
  <c r="DN16" i="15"/>
  <c r="DN26" i="15" s="1"/>
  <c r="DE16" i="15"/>
  <c r="DC16" i="15"/>
  <c r="DA16" i="15"/>
  <c r="DA26" i="15" s="1"/>
  <c r="CY16" i="15"/>
  <c r="CW16" i="15"/>
  <c r="CU16" i="15"/>
  <c r="CU26" i="15" s="1"/>
  <c r="CS16" i="15"/>
  <c r="CQ16" i="15"/>
  <c r="CQ26" i="15" s="1"/>
  <c r="CO16" i="15"/>
  <c r="CM16" i="15"/>
  <c r="CK16" i="15"/>
  <c r="CK26" i="15" s="1"/>
  <c r="CI16" i="15"/>
  <c r="CG16" i="15"/>
  <c r="CE16" i="15"/>
  <c r="CE26" i="15" s="1"/>
  <c r="CC16" i="15"/>
  <c r="CA16" i="15"/>
  <c r="CA26" i="15" s="1"/>
  <c r="BY16" i="15"/>
  <c r="BW16" i="15"/>
  <c r="BU16" i="15"/>
  <c r="BU26" i="15" s="1"/>
  <c r="BS16" i="15"/>
  <c r="BQ16" i="15"/>
  <c r="BO16" i="15"/>
  <c r="BO26" i="15" s="1"/>
  <c r="BM16" i="15"/>
  <c r="BK16" i="15"/>
  <c r="BK26" i="15" s="1"/>
  <c r="BB16" i="15"/>
  <c r="AZ16" i="15"/>
  <c r="AX16" i="15"/>
  <c r="AX26" i="15" s="1"/>
  <c r="AV16" i="15"/>
  <c r="AT16" i="15"/>
  <c r="AR16" i="15"/>
  <c r="AR26" i="15" s="1"/>
  <c r="AP16" i="15"/>
  <c r="AN16" i="15"/>
  <c r="AN26" i="15" s="1"/>
  <c r="AL16" i="15"/>
  <c r="AJ16" i="15"/>
  <c r="AH16" i="15"/>
  <c r="AH26" i="15" s="1"/>
  <c r="AF16" i="15"/>
  <c r="AD16" i="15"/>
  <c r="AB16" i="15"/>
  <c r="AB26" i="15" s="1"/>
  <c r="Z16" i="15"/>
  <c r="X16" i="15"/>
  <c r="X26" i="15" s="1"/>
  <c r="V16" i="15"/>
  <c r="T16" i="15"/>
  <c r="R16" i="15"/>
  <c r="R26" i="15" s="1"/>
  <c r="P16" i="15"/>
  <c r="N16" i="15"/>
  <c r="L16" i="15"/>
  <c r="L26" i="15" s="1"/>
  <c r="J16" i="15"/>
  <c r="H16" i="15"/>
  <c r="H26" i="15" s="1"/>
  <c r="DM68" i="15"/>
  <c r="BJ68" i="15"/>
  <c r="FU26" i="15"/>
  <c r="EV26" i="15"/>
  <c r="EL26" i="15"/>
  <c r="EF26" i="15"/>
  <c r="DV26" i="15"/>
  <c r="DP26" i="15"/>
  <c r="CS26" i="15"/>
  <c r="CC26" i="15"/>
  <c r="BS26" i="15"/>
  <c r="BM26" i="15"/>
  <c r="AV26" i="15"/>
  <c r="AP26" i="15"/>
  <c r="Z26" i="15"/>
  <c r="J26" i="15"/>
  <c r="FU14" i="15"/>
  <c r="FR14" i="15"/>
  <c r="FH14" i="15"/>
  <c r="FF14" i="15"/>
  <c r="FD14" i="15"/>
  <c r="FB14" i="15"/>
  <c r="EZ14" i="15"/>
  <c r="EX14" i="15"/>
  <c r="EV14" i="15"/>
  <c r="ET14" i="15"/>
  <c r="ER14" i="15"/>
  <c r="EP14" i="15"/>
  <c r="EN14" i="15"/>
  <c r="EL14" i="15"/>
  <c r="EJ14" i="15"/>
  <c r="EH14" i="15"/>
  <c r="EF14" i="15"/>
  <c r="ED14" i="15"/>
  <c r="EB14" i="15"/>
  <c r="DZ14" i="15"/>
  <c r="DX14" i="15"/>
  <c r="DV14" i="15"/>
  <c r="DT14" i="15"/>
  <c r="DR14" i="15"/>
  <c r="DP14" i="15"/>
  <c r="DN14" i="15"/>
  <c r="DE14" i="15"/>
  <c r="DC14" i="15"/>
  <c r="DA14" i="15"/>
  <c r="CY14" i="15"/>
  <c r="CW14" i="15"/>
  <c r="CU14" i="15"/>
  <c r="CS14" i="15"/>
  <c r="CQ14" i="15"/>
  <c r="CO14" i="15"/>
  <c r="CM14" i="15"/>
  <c r="CK14" i="15"/>
  <c r="CI14" i="15"/>
  <c r="CG14" i="15"/>
  <c r="CE14" i="15"/>
  <c r="CC14" i="15"/>
  <c r="CA14" i="15"/>
  <c r="BY14" i="15"/>
  <c r="BW14" i="15"/>
  <c r="BU14" i="15"/>
  <c r="BS14" i="15"/>
  <c r="BQ14" i="15"/>
  <c r="BO14" i="15"/>
  <c r="BM14" i="15"/>
  <c r="BK14" i="15"/>
  <c r="BB14" i="15"/>
  <c r="AZ14" i="15"/>
  <c r="AX14" i="15"/>
  <c r="AV14" i="15"/>
  <c r="AT14" i="15"/>
  <c r="AR14" i="15"/>
  <c r="AP14" i="15"/>
  <c r="AN14" i="15"/>
  <c r="AL14" i="15"/>
  <c r="AJ14" i="15"/>
  <c r="AH14" i="15"/>
  <c r="AF14" i="15"/>
  <c r="AD14" i="15"/>
  <c r="AB14" i="15"/>
  <c r="Z14" i="15"/>
  <c r="X14" i="15"/>
  <c r="V14" i="15"/>
  <c r="T14" i="15"/>
  <c r="R14" i="15"/>
  <c r="P14" i="15"/>
  <c r="N14" i="15"/>
  <c r="L14" i="15"/>
  <c r="J14" i="15"/>
  <c r="H14" i="15"/>
  <c r="FE1" i="15"/>
  <c r="DB1" i="15"/>
  <c r="FU22" i="14"/>
  <c r="FR22" i="14"/>
  <c r="FH22" i="14"/>
  <c r="FF22" i="14"/>
  <c r="FD22" i="14"/>
  <c r="FB22" i="14"/>
  <c r="EZ22" i="14"/>
  <c r="EX22" i="14"/>
  <c r="EV22" i="14"/>
  <c r="ET22" i="14"/>
  <c r="ER22" i="14"/>
  <c r="EP22" i="14"/>
  <c r="EN22" i="14"/>
  <c r="EL22" i="14"/>
  <c r="EJ22" i="14"/>
  <c r="EH22" i="14"/>
  <c r="EF22" i="14"/>
  <c r="ED22" i="14"/>
  <c r="EB22" i="14"/>
  <c r="DZ22" i="14"/>
  <c r="DX22" i="14"/>
  <c r="DV22" i="14"/>
  <c r="DT22" i="14"/>
  <c r="DR22" i="14"/>
  <c r="DP22" i="14"/>
  <c r="DN22" i="14"/>
  <c r="DE22" i="14"/>
  <c r="DC22" i="14"/>
  <c r="DA22" i="14"/>
  <c r="CY22" i="14"/>
  <c r="CW22" i="14"/>
  <c r="CU22" i="14"/>
  <c r="CS22" i="14"/>
  <c r="CQ22" i="14"/>
  <c r="CO22" i="14"/>
  <c r="CM22" i="14"/>
  <c r="CK22" i="14"/>
  <c r="CI22" i="14"/>
  <c r="CG22" i="14"/>
  <c r="CE22" i="14"/>
  <c r="CC22" i="14"/>
  <c r="CA22" i="14"/>
  <c r="BY22" i="14"/>
  <c r="BW22" i="14"/>
  <c r="BU22" i="14"/>
  <c r="BS22" i="14"/>
  <c r="BQ22" i="14"/>
  <c r="BO22" i="14"/>
  <c r="BM22" i="14"/>
  <c r="BK22" i="14"/>
  <c r="BB22" i="14"/>
  <c r="AZ22" i="14"/>
  <c r="AX22" i="14"/>
  <c r="AV22" i="14"/>
  <c r="AT22" i="14"/>
  <c r="AR22" i="14"/>
  <c r="AP22" i="14"/>
  <c r="AN22" i="14"/>
  <c r="AL22" i="14"/>
  <c r="AJ22" i="14"/>
  <c r="AH22" i="14"/>
  <c r="AF22" i="14"/>
  <c r="AD22" i="14"/>
  <c r="AB22" i="14"/>
  <c r="Z22" i="14"/>
  <c r="X22" i="14"/>
  <c r="V22" i="14"/>
  <c r="T22" i="14"/>
  <c r="R22" i="14"/>
  <c r="P22" i="14"/>
  <c r="N22" i="14"/>
  <c r="L22" i="14"/>
  <c r="J22" i="14"/>
  <c r="H22" i="14"/>
  <c r="FU21" i="14"/>
  <c r="FR21" i="14"/>
  <c r="FH21" i="14"/>
  <c r="FF21" i="14"/>
  <c r="FD21" i="14"/>
  <c r="FB21" i="14"/>
  <c r="EZ21" i="14"/>
  <c r="EX21" i="14"/>
  <c r="EV21" i="14"/>
  <c r="ET21" i="14"/>
  <c r="ER21" i="14"/>
  <c r="EP21" i="14"/>
  <c r="EN21" i="14"/>
  <c r="EL21" i="14"/>
  <c r="EJ21" i="14"/>
  <c r="EH21" i="14"/>
  <c r="EF21" i="14"/>
  <c r="ED21" i="14"/>
  <c r="EB21" i="14"/>
  <c r="DZ21" i="14"/>
  <c r="DX21" i="14"/>
  <c r="DV21" i="14"/>
  <c r="DT21" i="14"/>
  <c r="DR21" i="14"/>
  <c r="DP21" i="14"/>
  <c r="DN21" i="14"/>
  <c r="DE21" i="14"/>
  <c r="DC21" i="14"/>
  <c r="DA21" i="14"/>
  <c r="CY21" i="14"/>
  <c r="CW21" i="14"/>
  <c r="CU21" i="14"/>
  <c r="CS21" i="14"/>
  <c r="CQ21" i="14"/>
  <c r="CO21" i="14"/>
  <c r="CM21" i="14"/>
  <c r="CK21" i="14"/>
  <c r="CI21" i="14"/>
  <c r="CG21" i="14"/>
  <c r="CE21" i="14"/>
  <c r="CC21" i="14"/>
  <c r="CA21" i="14"/>
  <c r="BY21" i="14"/>
  <c r="BW21" i="14"/>
  <c r="BU21" i="14"/>
  <c r="BS21" i="14"/>
  <c r="BQ21" i="14"/>
  <c r="BO21" i="14"/>
  <c r="BM21" i="14"/>
  <c r="BK21" i="14"/>
  <c r="BB21" i="14"/>
  <c r="AZ21" i="14"/>
  <c r="AX21" i="14"/>
  <c r="AV21" i="14"/>
  <c r="AT21" i="14"/>
  <c r="AR21" i="14"/>
  <c r="AP21" i="14"/>
  <c r="AN21" i="14"/>
  <c r="AL21" i="14"/>
  <c r="AJ21" i="14"/>
  <c r="AH21" i="14"/>
  <c r="AF21" i="14"/>
  <c r="AD21" i="14"/>
  <c r="AB21" i="14"/>
  <c r="Z21" i="14"/>
  <c r="X21" i="14"/>
  <c r="V21" i="14"/>
  <c r="T21" i="14"/>
  <c r="R21" i="14"/>
  <c r="P21" i="14"/>
  <c r="N21" i="14"/>
  <c r="L21" i="14"/>
  <c r="J21" i="14"/>
  <c r="H21" i="14"/>
  <c r="FU20" i="14"/>
  <c r="FR20" i="14"/>
  <c r="FH20" i="14"/>
  <c r="FF20" i="14"/>
  <c r="FF26" i="14" s="1"/>
  <c r="FD20" i="14"/>
  <c r="FB20" i="14"/>
  <c r="EZ20" i="14"/>
  <c r="EX20" i="14"/>
  <c r="EV20" i="14"/>
  <c r="ET20" i="14"/>
  <c r="ER20" i="14"/>
  <c r="EP20" i="14"/>
  <c r="EP26" i="14" s="1"/>
  <c r="EN20" i="14"/>
  <c r="EL20" i="14"/>
  <c r="EJ20" i="14"/>
  <c r="EH20" i="14"/>
  <c r="EF20" i="14"/>
  <c r="ED20" i="14"/>
  <c r="EB20" i="14"/>
  <c r="DZ20" i="14"/>
  <c r="DZ26" i="14" s="1"/>
  <c r="DX20" i="14"/>
  <c r="DV20" i="14"/>
  <c r="DT20" i="14"/>
  <c r="DR20" i="14"/>
  <c r="DP20" i="14"/>
  <c r="DN20" i="14"/>
  <c r="DE20" i="14"/>
  <c r="DC20" i="14"/>
  <c r="DC26" i="14" s="1"/>
  <c r="DA20" i="14"/>
  <c r="CY20" i="14"/>
  <c r="CW20" i="14"/>
  <c r="CU20" i="14"/>
  <c r="CS20" i="14"/>
  <c r="CQ20" i="14"/>
  <c r="CO20" i="14"/>
  <c r="CM20" i="14"/>
  <c r="CM26" i="14" s="1"/>
  <c r="CK20" i="14"/>
  <c r="CI20" i="14"/>
  <c r="CG20" i="14"/>
  <c r="CE20" i="14"/>
  <c r="CC20" i="14"/>
  <c r="CA20" i="14"/>
  <c r="BY20" i="14"/>
  <c r="BW20" i="14"/>
  <c r="BW26" i="14" s="1"/>
  <c r="BU20" i="14"/>
  <c r="BS20" i="14"/>
  <c r="BQ20" i="14"/>
  <c r="BO20" i="14"/>
  <c r="BM20" i="14"/>
  <c r="BK20" i="14"/>
  <c r="BB20" i="14"/>
  <c r="AZ20" i="14"/>
  <c r="AZ26" i="14" s="1"/>
  <c r="AX20" i="14"/>
  <c r="AV20" i="14"/>
  <c r="AT20" i="14"/>
  <c r="AR20" i="14"/>
  <c r="AP20" i="14"/>
  <c r="AN20" i="14"/>
  <c r="AL20" i="14"/>
  <c r="AJ20" i="14"/>
  <c r="AJ26" i="14" s="1"/>
  <c r="AH20" i="14"/>
  <c r="AF20" i="14"/>
  <c r="AD20" i="14"/>
  <c r="AB20" i="14"/>
  <c r="Z20" i="14"/>
  <c r="X20" i="14"/>
  <c r="V20" i="14"/>
  <c r="T20" i="14"/>
  <c r="T26" i="14" s="1"/>
  <c r="R20" i="14"/>
  <c r="P20" i="14"/>
  <c r="N20" i="14"/>
  <c r="L20" i="14"/>
  <c r="J20" i="14"/>
  <c r="H20" i="14"/>
  <c r="FU19" i="14"/>
  <c r="FR19" i="14"/>
  <c r="FR26" i="14" s="1"/>
  <c r="FH19" i="14"/>
  <c r="FF19" i="14"/>
  <c r="FD19" i="14"/>
  <c r="FB19" i="14"/>
  <c r="EZ19" i="14"/>
  <c r="EX19" i="14"/>
  <c r="EV19" i="14"/>
  <c r="ET19" i="14"/>
  <c r="ET26" i="14" s="1"/>
  <c r="ER19" i="14"/>
  <c r="EP19" i="14"/>
  <c r="EN19" i="14"/>
  <c r="EL19" i="14"/>
  <c r="EJ19" i="14"/>
  <c r="EH19" i="14"/>
  <c r="EF19" i="14"/>
  <c r="ED19" i="14"/>
  <c r="EB19" i="14"/>
  <c r="DZ19" i="14"/>
  <c r="DX19" i="14"/>
  <c r="DV19" i="14"/>
  <c r="DT19" i="14"/>
  <c r="DR19" i="14"/>
  <c r="DP19" i="14"/>
  <c r="DN19" i="14"/>
  <c r="DN26" i="14" s="1"/>
  <c r="DE19" i="14"/>
  <c r="DC19" i="14"/>
  <c r="DA19" i="14"/>
  <c r="CY19" i="14"/>
  <c r="CW19" i="14"/>
  <c r="CU19" i="14"/>
  <c r="CS19" i="14"/>
  <c r="CQ19" i="14"/>
  <c r="CO19" i="14"/>
  <c r="CM19" i="14"/>
  <c r="CK19" i="14"/>
  <c r="CI19" i="14"/>
  <c r="CG19" i="14"/>
  <c r="CE19" i="14"/>
  <c r="CC19" i="14"/>
  <c r="CA19" i="14"/>
  <c r="BY19" i="14"/>
  <c r="BW19" i="14"/>
  <c r="BU19" i="14"/>
  <c r="BS19" i="14"/>
  <c r="BQ19" i="14"/>
  <c r="BO19" i="14"/>
  <c r="BM19" i="14"/>
  <c r="BK19" i="14"/>
  <c r="BK26" i="14" s="1"/>
  <c r="BB19" i="14"/>
  <c r="AZ19" i="14"/>
  <c r="AX19" i="14"/>
  <c r="AV19" i="14"/>
  <c r="AT19" i="14"/>
  <c r="AR19" i="14"/>
  <c r="AP19" i="14"/>
  <c r="AN19" i="14"/>
  <c r="AN26" i="14" s="1"/>
  <c r="AL19" i="14"/>
  <c r="AJ19" i="14"/>
  <c r="AH19" i="14"/>
  <c r="AF19" i="14"/>
  <c r="AD19" i="14"/>
  <c r="AB19" i="14"/>
  <c r="Z19" i="14"/>
  <c r="X19" i="14"/>
  <c r="X26" i="14" s="1"/>
  <c r="V19" i="14"/>
  <c r="T19" i="14"/>
  <c r="R19" i="14"/>
  <c r="P19" i="14"/>
  <c r="N19" i="14"/>
  <c r="L19" i="14"/>
  <c r="J19" i="14"/>
  <c r="H19" i="14"/>
  <c r="H26" i="14" s="1"/>
  <c r="FU18" i="14"/>
  <c r="FR18" i="14"/>
  <c r="FH18" i="14"/>
  <c r="FF18" i="14"/>
  <c r="FD18" i="14"/>
  <c r="FB18" i="14"/>
  <c r="EZ18" i="14"/>
  <c r="EX18" i="14"/>
  <c r="EV18" i="14"/>
  <c r="ET18" i="14"/>
  <c r="ER18" i="14"/>
  <c r="EP18" i="14"/>
  <c r="EN18" i="14"/>
  <c r="EL18" i="14"/>
  <c r="EJ18" i="14"/>
  <c r="EH18" i="14"/>
  <c r="EF18" i="14"/>
  <c r="ED18" i="14"/>
  <c r="EB18" i="14"/>
  <c r="DZ18" i="14"/>
  <c r="DX18" i="14"/>
  <c r="DV18" i="14"/>
  <c r="DT18" i="14"/>
  <c r="DR18" i="14"/>
  <c r="DP18" i="14"/>
  <c r="DN18" i="14"/>
  <c r="DE18" i="14"/>
  <c r="DC18" i="14"/>
  <c r="DA18" i="14"/>
  <c r="CY18" i="14"/>
  <c r="CW18" i="14"/>
  <c r="CU18" i="14"/>
  <c r="CS18" i="14"/>
  <c r="CQ18" i="14"/>
  <c r="CO18" i="14"/>
  <c r="CM18" i="14"/>
  <c r="CK18" i="14"/>
  <c r="CI18" i="14"/>
  <c r="CG18" i="14"/>
  <c r="CE18" i="14"/>
  <c r="CC18" i="14"/>
  <c r="CA18" i="14"/>
  <c r="BY18" i="14"/>
  <c r="BW18" i="14"/>
  <c r="BU18" i="14"/>
  <c r="BS18" i="14"/>
  <c r="BQ18" i="14"/>
  <c r="BO18" i="14"/>
  <c r="BM18" i="14"/>
  <c r="BK18" i="14"/>
  <c r="BB18" i="14"/>
  <c r="AZ18" i="14"/>
  <c r="AX18" i="14"/>
  <c r="AV18" i="14"/>
  <c r="AT18" i="14"/>
  <c r="AR18" i="14"/>
  <c r="AP18" i="14"/>
  <c r="AN18" i="14"/>
  <c r="AL18" i="14"/>
  <c r="AJ18" i="14"/>
  <c r="AH18" i="14"/>
  <c r="AF18" i="14"/>
  <c r="AD18" i="14"/>
  <c r="AB18" i="14"/>
  <c r="Z18" i="14"/>
  <c r="X18" i="14"/>
  <c r="V18" i="14"/>
  <c r="T18" i="14"/>
  <c r="R18" i="14"/>
  <c r="P18" i="14"/>
  <c r="N18" i="14"/>
  <c r="L18" i="14"/>
  <c r="J18" i="14"/>
  <c r="H18" i="14"/>
  <c r="FH10" i="14"/>
  <c r="FF10" i="14"/>
  <c r="FD10" i="14"/>
  <c r="FB10" i="14"/>
  <c r="EZ10" i="14"/>
  <c r="EX10" i="14"/>
  <c r="EX14" i="14" s="1"/>
  <c r="EV10" i="14"/>
  <c r="ET10" i="14"/>
  <c r="ER10" i="14"/>
  <c r="EP10" i="14"/>
  <c r="EN10" i="14"/>
  <c r="EL10" i="14"/>
  <c r="EJ10" i="14"/>
  <c r="EH10" i="14"/>
  <c r="EH14" i="14" s="1"/>
  <c r="EF10" i="14"/>
  <c r="ED10" i="14"/>
  <c r="EB10" i="14"/>
  <c r="DZ10" i="14"/>
  <c r="DX10" i="14"/>
  <c r="DV10" i="14"/>
  <c r="DT10" i="14"/>
  <c r="DR10" i="14"/>
  <c r="DR14" i="14" s="1"/>
  <c r="DP10" i="14"/>
  <c r="DN10" i="14"/>
  <c r="DE10" i="14"/>
  <c r="DC10" i="14"/>
  <c r="DA10" i="14"/>
  <c r="CY10" i="14"/>
  <c r="CW10" i="14"/>
  <c r="CU10" i="14"/>
  <c r="CU14" i="14" s="1"/>
  <c r="CS10" i="14"/>
  <c r="CQ10" i="14"/>
  <c r="CO10" i="14"/>
  <c r="CM10" i="14"/>
  <c r="CK10" i="14"/>
  <c r="CI10" i="14"/>
  <c r="CG10" i="14"/>
  <c r="CE10" i="14"/>
  <c r="CE14" i="14" s="1"/>
  <c r="CC10" i="14"/>
  <c r="CA10" i="14"/>
  <c r="BY10" i="14"/>
  <c r="BW10" i="14"/>
  <c r="BU10" i="14"/>
  <c r="BS10" i="14"/>
  <c r="BQ10" i="14"/>
  <c r="BO10" i="14"/>
  <c r="BO14" i="14" s="1"/>
  <c r="BM10" i="14"/>
  <c r="BK10" i="14"/>
  <c r="BB10" i="14"/>
  <c r="AZ10" i="14"/>
  <c r="AX10" i="14"/>
  <c r="AV10" i="14"/>
  <c r="AT10" i="14"/>
  <c r="AR10" i="14"/>
  <c r="AR14" i="14" s="1"/>
  <c r="AP10" i="14"/>
  <c r="AN10" i="14"/>
  <c r="AL10" i="14"/>
  <c r="AJ10" i="14"/>
  <c r="AH10" i="14"/>
  <c r="AF10" i="14"/>
  <c r="AF14" i="14" s="1"/>
  <c r="AD10" i="14"/>
  <c r="AB10" i="14"/>
  <c r="AB14" i="14" s="1"/>
  <c r="Z10" i="14"/>
  <c r="X10" i="14"/>
  <c r="V10" i="14"/>
  <c r="T10" i="14"/>
  <c r="R10" i="14"/>
  <c r="P10" i="14"/>
  <c r="P14" i="14" s="1"/>
  <c r="N10" i="14"/>
  <c r="L10" i="14"/>
  <c r="L14" i="14" s="1"/>
  <c r="J10" i="14"/>
  <c r="H10" i="14"/>
  <c r="D10" i="14"/>
  <c r="FU17" i="14"/>
  <c r="FR17" i="14"/>
  <c r="FH17" i="14"/>
  <c r="FF17" i="14"/>
  <c r="FD17" i="14"/>
  <c r="FD26" i="14" s="1"/>
  <c r="FB17" i="14"/>
  <c r="EZ17" i="14"/>
  <c r="EX17" i="14"/>
  <c r="EV17" i="14"/>
  <c r="ET17" i="14"/>
  <c r="ER17" i="14"/>
  <c r="EP17" i="14"/>
  <c r="EN17" i="14"/>
  <c r="EN26" i="14" s="1"/>
  <c r="EL17" i="14"/>
  <c r="EJ17" i="14"/>
  <c r="EH17" i="14"/>
  <c r="EF17" i="14"/>
  <c r="ED17" i="14"/>
  <c r="EB17" i="14"/>
  <c r="DZ17" i="14"/>
  <c r="DX17" i="14"/>
  <c r="DV17" i="14"/>
  <c r="DT17" i="14"/>
  <c r="DR17" i="14"/>
  <c r="DP17" i="14"/>
  <c r="DN17" i="14"/>
  <c r="DE17" i="14"/>
  <c r="DC17" i="14"/>
  <c r="DA17" i="14"/>
  <c r="DA26" i="14" s="1"/>
  <c r="CY17" i="14"/>
  <c r="CW17" i="14"/>
  <c r="CU17" i="14"/>
  <c r="CS17" i="14"/>
  <c r="CQ17" i="14"/>
  <c r="CO17" i="14"/>
  <c r="CM17" i="14"/>
  <c r="CK17" i="14"/>
  <c r="CK26" i="14" s="1"/>
  <c r="CI17" i="14"/>
  <c r="CG17" i="14"/>
  <c r="CE17" i="14"/>
  <c r="CC17" i="14"/>
  <c r="CA17" i="14"/>
  <c r="BY17" i="14"/>
  <c r="BW17" i="14"/>
  <c r="BU17" i="14"/>
  <c r="BU26" i="14" s="1"/>
  <c r="BS17" i="14"/>
  <c r="BQ17" i="14"/>
  <c r="BO17" i="14"/>
  <c r="BM17" i="14"/>
  <c r="BK17" i="14"/>
  <c r="BB17" i="14"/>
  <c r="AZ17" i="14"/>
  <c r="AX17" i="14"/>
  <c r="AX26" i="14" s="1"/>
  <c r="AV17" i="14"/>
  <c r="AT17" i="14"/>
  <c r="AR17" i="14"/>
  <c r="AP17" i="14"/>
  <c r="AN17" i="14"/>
  <c r="AL17" i="14"/>
  <c r="AJ17" i="14"/>
  <c r="AH17" i="14"/>
  <c r="AH26" i="14" s="1"/>
  <c r="AF17" i="14"/>
  <c r="AD17" i="14"/>
  <c r="AB17" i="14"/>
  <c r="Z17" i="14"/>
  <c r="X17" i="14"/>
  <c r="V17" i="14"/>
  <c r="T17" i="14"/>
  <c r="R17" i="14"/>
  <c r="R26" i="14" s="1"/>
  <c r="P17" i="14"/>
  <c r="N17" i="14"/>
  <c r="L17" i="14"/>
  <c r="J17" i="14"/>
  <c r="H17" i="14"/>
  <c r="FU16" i="14"/>
  <c r="FU26" i="14" s="1"/>
  <c r="FR16" i="14"/>
  <c r="FH16" i="14"/>
  <c r="FH26" i="14" s="1"/>
  <c r="FF16" i="14"/>
  <c r="FD16" i="14"/>
  <c r="FB16" i="14"/>
  <c r="EZ16" i="14"/>
  <c r="EX16" i="14"/>
  <c r="EV16" i="14"/>
  <c r="EV26" i="14" s="1"/>
  <c r="ET16" i="14"/>
  <c r="ER16" i="14"/>
  <c r="ER26" i="14" s="1"/>
  <c r="EP16" i="14"/>
  <c r="EN16" i="14"/>
  <c r="EL16" i="14"/>
  <c r="EJ16" i="14"/>
  <c r="EH16" i="14"/>
  <c r="EF16" i="14"/>
  <c r="EF26" i="14" s="1"/>
  <c r="ED16" i="14"/>
  <c r="EB16" i="14"/>
  <c r="EB26" i="14" s="1"/>
  <c r="DZ16" i="14"/>
  <c r="DX16" i="14"/>
  <c r="DV16" i="14"/>
  <c r="DT16" i="14"/>
  <c r="DR16" i="14"/>
  <c r="DP16" i="14"/>
  <c r="DP26" i="14" s="1"/>
  <c r="DN16" i="14"/>
  <c r="DE16" i="14"/>
  <c r="DE26" i="14" s="1"/>
  <c r="DC16" i="14"/>
  <c r="DA16" i="14"/>
  <c r="CY16" i="14"/>
  <c r="CW16" i="14"/>
  <c r="CU16" i="14"/>
  <c r="CS16" i="14"/>
  <c r="CS26" i="14" s="1"/>
  <c r="CQ16" i="14"/>
  <c r="CO16" i="14"/>
  <c r="CO26" i="14" s="1"/>
  <c r="CM16" i="14"/>
  <c r="CK16" i="14"/>
  <c r="CI16" i="14"/>
  <c r="CG16" i="14"/>
  <c r="CE16" i="14"/>
  <c r="CC16" i="14"/>
  <c r="CC26" i="14" s="1"/>
  <c r="CA16" i="14"/>
  <c r="BY16" i="14"/>
  <c r="BY26" i="14" s="1"/>
  <c r="BW16" i="14"/>
  <c r="BU16" i="14"/>
  <c r="BS16" i="14"/>
  <c r="BQ16" i="14"/>
  <c r="BO16" i="14"/>
  <c r="BM16" i="14"/>
  <c r="BM26" i="14" s="1"/>
  <c r="BK16" i="14"/>
  <c r="BB16" i="14"/>
  <c r="BB26" i="14" s="1"/>
  <c r="AZ16" i="14"/>
  <c r="AX16" i="14"/>
  <c r="AV16" i="14"/>
  <c r="AT16" i="14"/>
  <c r="AR16" i="14"/>
  <c r="AP16" i="14"/>
  <c r="AP26" i="14" s="1"/>
  <c r="AN16" i="14"/>
  <c r="AL16" i="14"/>
  <c r="AL26" i="14" s="1"/>
  <c r="AJ16" i="14"/>
  <c r="AH16" i="14"/>
  <c r="AF16" i="14"/>
  <c r="AD16" i="14"/>
  <c r="AB16" i="14"/>
  <c r="Z16" i="14"/>
  <c r="Z26" i="14" s="1"/>
  <c r="X16" i="14"/>
  <c r="V16" i="14"/>
  <c r="V26" i="14" s="1"/>
  <c r="T16" i="14"/>
  <c r="R16" i="14"/>
  <c r="P16" i="14"/>
  <c r="N16" i="14"/>
  <c r="L16" i="14"/>
  <c r="J16" i="14"/>
  <c r="J26" i="14" s="1"/>
  <c r="H16" i="14"/>
  <c r="DM68" i="14"/>
  <c r="BJ68" i="14"/>
  <c r="EZ26" i="14"/>
  <c r="EJ26" i="14"/>
  <c r="ED26" i="14"/>
  <c r="DX26" i="14"/>
  <c r="DT26" i="14"/>
  <c r="CW26" i="14"/>
  <c r="CQ26" i="14"/>
  <c r="CG26" i="14"/>
  <c r="CA26" i="14"/>
  <c r="BQ26" i="14"/>
  <c r="AT26" i="14"/>
  <c r="AD26" i="14"/>
  <c r="N26" i="14"/>
  <c r="FU14" i="14"/>
  <c r="FR14" i="14"/>
  <c r="FH14" i="14"/>
  <c r="FF14" i="14"/>
  <c r="FD14" i="14"/>
  <c r="FB14" i="14"/>
  <c r="EZ14" i="14"/>
  <c r="EV14" i="14"/>
  <c r="ET14" i="14"/>
  <c r="ER14" i="14"/>
  <c r="EP14" i="14"/>
  <c r="EN14" i="14"/>
  <c r="EL14" i="14"/>
  <c r="EJ14" i="14"/>
  <c r="EF14" i="14"/>
  <c r="ED14" i="14"/>
  <c r="EB14" i="14"/>
  <c r="DZ14" i="14"/>
  <c r="DX14" i="14"/>
  <c r="DV14" i="14"/>
  <c r="DT14" i="14"/>
  <c r="DP14" i="14"/>
  <c r="DN14" i="14"/>
  <c r="DE14" i="14"/>
  <c r="DC14" i="14"/>
  <c r="DA14" i="14"/>
  <c r="CY14" i="14"/>
  <c r="CW14" i="14"/>
  <c r="CS14" i="14"/>
  <c r="CQ14" i="14"/>
  <c r="CO14" i="14"/>
  <c r="CM14" i="14"/>
  <c r="CK14" i="14"/>
  <c r="CI14" i="14"/>
  <c r="CG14" i="14"/>
  <c r="CC14" i="14"/>
  <c r="CA14" i="14"/>
  <c r="BY14" i="14"/>
  <c r="BW14" i="14"/>
  <c r="BU14" i="14"/>
  <c r="BS14" i="14"/>
  <c r="BQ14" i="14"/>
  <c r="BM14" i="14"/>
  <c r="BK14" i="14"/>
  <c r="BB14" i="14"/>
  <c r="AZ14" i="14"/>
  <c r="AX14" i="14"/>
  <c r="AV14" i="14"/>
  <c r="AT14" i="14"/>
  <c r="AP14" i="14"/>
  <c r="AN14" i="14"/>
  <c r="AL14" i="14"/>
  <c r="AJ14" i="14"/>
  <c r="AH14" i="14"/>
  <c r="AD14" i="14"/>
  <c r="Z14" i="14"/>
  <c r="X14" i="14"/>
  <c r="V14" i="14"/>
  <c r="T14" i="14"/>
  <c r="R14" i="14"/>
  <c r="N14" i="14"/>
  <c r="J14" i="14"/>
  <c r="H14" i="14"/>
  <c r="FE1" i="14"/>
  <c r="DB1" i="14"/>
  <c r="G67" i="7"/>
  <c r="I67" i="7" s="1"/>
  <c r="K67" i="7" s="1"/>
  <c r="M67" i="7" s="1"/>
  <c r="C67" i="7"/>
  <c r="E67" i="7" s="1"/>
  <c r="M66" i="7"/>
  <c r="I66" i="7"/>
  <c r="K66" i="7" s="1"/>
  <c r="C66" i="7"/>
  <c r="E66" i="7" s="1"/>
  <c r="G66" i="7" s="1"/>
  <c r="I65" i="7"/>
  <c r="K65" i="7" s="1"/>
  <c r="M65" i="7" s="1"/>
  <c r="E65" i="7"/>
  <c r="G65" i="7" s="1"/>
  <c r="C65" i="7"/>
  <c r="K64" i="7"/>
  <c r="M64" i="7" s="1"/>
  <c r="E64" i="7"/>
  <c r="G64" i="7" s="1"/>
  <c r="I64" i="7" s="1"/>
  <c r="C64" i="7"/>
  <c r="C63" i="7"/>
  <c r="E63" i="7" s="1"/>
  <c r="G63" i="7" s="1"/>
  <c r="I63" i="7" s="1"/>
  <c r="K63" i="7" s="1"/>
  <c r="M63" i="7" s="1"/>
  <c r="C62" i="7"/>
  <c r="E62" i="7" s="1"/>
  <c r="G62" i="7" s="1"/>
  <c r="I62" i="7" s="1"/>
  <c r="K62" i="7" s="1"/>
  <c r="M62" i="7" s="1"/>
  <c r="E61" i="7"/>
  <c r="G61" i="7" s="1"/>
  <c r="I61" i="7" s="1"/>
  <c r="K61" i="7" s="1"/>
  <c r="M61" i="7" s="1"/>
  <c r="C61" i="7"/>
  <c r="G60" i="7"/>
  <c r="I60" i="7" s="1"/>
  <c r="K60" i="7" s="1"/>
  <c r="M60" i="7" s="1"/>
  <c r="E60" i="7"/>
  <c r="C60" i="7"/>
  <c r="C59" i="7"/>
  <c r="E59" i="7" s="1"/>
  <c r="G59" i="7" s="1"/>
  <c r="I59" i="7" s="1"/>
  <c r="K59" i="7" s="1"/>
  <c r="M59" i="7" s="1"/>
  <c r="C58" i="7"/>
  <c r="E58" i="7" s="1"/>
  <c r="G58" i="7" s="1"/>
  <c r="I58" i="7" s="1"/>
  <c r="K58" i="7" s="1"/>
  <c r="M58" i="7" s="1"/>
  <c r="E57" i="7"/>
  <c r="G57" i="7" s="1"/>
  <c r="I57" i="7" s="1"/>
  <c r="K57" i="7" s="1"/>
  <c r="M57" i="7" s="1"/>
  <c r="C57" i="7"/>
  <c r="K56" i="7"/>
  <c r="M56" i="7" s="1"/>
  <c r="G56" i="7"/>
  <c r="I56" i="7" s="1"/>
  <c r="E56" i="7"/>
  <c r="C56" i="7"/>
  <c r="C55" i="7"/>
  <c r="E55" i="7" s="1"/>
  <c r="G55" i="7" s="1"/>
  <c r="I55" i="7" s="1"/>
  <c r="K55" i="7" s="1"/>
  <c r="M55" i="7" s="1"/>
  <c r="I54" i="7"/>
  <c r="K54" i="7" s="1"/>
  <c r="M54" i="7" s="1"/>
  <c r="C54" i="7"/>
  <c r="E54" i="7" s="1"/>
  <c r="G54" i="7" s="1"/>
  <c r="E53" i="7"/>
  <c r="G53" i="7" s="1"/>
  <c r="I53" i="7" s="1"/>
  <c r="K53" i="7" s="1"/>
  <c r="M53" i="7" s="1"/>
  <c r="C53" i="7"/>
  <c r="I52" i="7"/>
  <c r="K52" i="7" s="1"/>
  <c r="M52" i="7" s="1"/>
  <c r="G52" i="7"/>
  <c r="E52" i="7"/>
  <c r="C52" i="7"/>
  <c r="E51" i="7"/>
  <c r="G51" i="7" s="1"/>
  <c r="I51" i="7" s="1"/>
  <c r="K51" i="7" s="1"/>
  <c r="M51" i="7" s="1"/>
  <c r="C51" i="7"/>
  <c r="M50" i="7"/>
  <c r="I50" i="7"/>
  <c r="K50" i="7" s="1"/>
  <c r="C50" i="7"/>
  <c r="E50" i="7" s="1"/>
  <c r="G50" i="7" s="1"/>
  <c r="E49" i="7"/>
  <c r="G49" i="7" s="1"/>
  <c r="I49" i="7" s="1"/>
  <c r="K49" i="7" s="1"/>
  <c r="M49" i="7" s="1"/>
  <c r="C49" i="7"/>
  <c r="E48" i="7"/>
  <c r="G48" i="7" s="1"/>
  <c r="I48" i="7" s="1"/>
  <c r="K48" i="7" s="1"/>
  <c r="M48" i="7" s="1"/>
  <c r="C48" i="7"/>
  <c r="E47" i="7"/>
  <c r="G47" i="7" s="1"/>
  <c r="I47" i="7" s="1"/>
  <c r="K47" i="7" s="1"/>
  <c r="M47" i="7" s="1"/>
  <c r="C47" i="7"/>
  <c r="C46" i="7"/>
  <c r="E46" i="7" s="1"/>
  <c r="G46" i="7" s="1"/>
  <c r="I46" i="7" s="1"/>
  <c r="K46" i="7" s="1"/>
  <c r="M46" i="7" s="1"/>
  <c r="I45" i="7"/>
  <c r="K45" i="7" s="1"/>
  <c r="M45" i="7" s="1"/>
  <c r="E45" i="7"/>
  <c r="G45" i="7" s="1"/>
  <c r="C45" i="7"/>
  <c r="E44" i="7"/>
  <c r="G44" i="7" s="1"/>
  <c r="I44" i="7" s="1"/>
  <c r="K44" i="7" s="1"/>
  <c r="M44" i="7" s="1"/>
  <c r="C44" i="7"/>
  <c r="E67" i="6"/>
  <c r="G67" i="6" s="1"/>
  <c r="I67" i="6" s="1"/>
  <c r="K67" i="6" s="1"/>
  <c r="M67" i="6" s="1"/>
  <c r="C67" i="6"/>
  <c r="C66" i="6"/>
  <c r="E66" i="6" s="1"/>
  <c r="G66" i="6" s="1"/>
  <c r="I66" i="6" s="1"/>
  <c r="K66" i="6" s="1"/>
  <c r="M66" i="6" s="1"/>
  <c r="C65" i="6"/>
  <c r="E65" i="6" s="1"/>
  <c r="G65" i="6" s="1"/>
  <c r="I65" i="6" s="1"/>
  <c r="K65" i="6" s="1"/>
  <c r="M65" i="6" s="1"/>
  <c r="G64" i="6"/>
  <c r="I64" i="6" s="1"/>
  <c r="K64" i="6" s="1"/>
  <c r="M64" i="6" s="1"/>
  <c r="E64" i="6"/>
  <c r="C64" i="6"/>
  <c r="E63" i="6"/>
  <c r="G63" i="6" s="1"/>
  <c r="I63" i="6" s="1"/>
  <c r="K63" i="6" s="1"/>
  <c r="M63" i="6" s="1"/>
  <c r="C63" i="6"/>
  <c r="C62" i="6"/>
  <c r="E62" i="6" s="1"/>
  <c r="G62" i="6" s="1"/>
  <c r="I62" i="6" s="1"/>
  <c r="K62" i="6" s="1"/>
  <c r="M62" i="6" s="1"/>
  <c r="C61" i="6"/>
  <c r="E61" i="6" s="1"/>
  <c r="G61" i="6" s="1"/>
  <c r="I61" i="6" s="1"/>
  <c r="K61" i="6" s="1"/>
  <c r="M61" i="6" s="1"/>
  <c r="G60" i="6"/>
  <c r="I60" i="6" s="1"/>
  <c r="K60" i="6" s="1"/>
  <c r="M60" i="6" s="1"/>
  <c r="E60" i="6"/>
  <c r="C60" i="6"/>
  <c r="G59" i="6"/>
  <c r="I59" i="6" s="1"/>
  <c r="K59" i="6" s="1"/>
  <c r="M59" i="6" s="1"/>
  <c r="E59" i="6"/>
  <c r="C59" i="6"/>
  <c r="C58" i="6"/>
  <c r="E58" i="6" s="1"/>
  <c r="G58" i="6" s="1"/>
  <c r="I58" i="6" s="1"/>
  <c r="K58" i="6" s="1"/>
  <c r="M58" i="6" s="1"/>
  <c r="C57" i="6"/>
  <c r="E57" i="6" s="1"/>
  <c r="G57" i="6" s="1"/>
  <c r="I57" i="6" s="1"/>
  <c r="K57" i="6" s="1"/>
  <c r="M57" i="6" s="1"/>
  <c r="G56" i="6"/>
  <c r="I56" i="6" s="1"/>
  <c r="K56" i="6" s="1"/>
  <c r="M56" i="6" s="1"/>
  <c r="E56" i="6"/>
  <c r="C56" i="6"/>
  <c r="C55" i="6"/>
  <c r="E55" i="6" s="1"/>
  <c r="G55" i="6" s="1"/>
  <c r="I55" i="6" s="1"/>
  <c r="K55" i="6" s="1"/>
  <c r="M55" i="6" s="1"/>
  <c r="G54" i="6"/>
  <c r="I54" i="6" s="1"/>
  <c r="K54" i="6" s="1"/>
  <c r="M54" i="6" s="1"/>
  <c r="C54" i="6"/>
  <c r="E54" i="6" s="1"/>
  <c r="C53" i="6"/>
  <c r="E53" i="6" s="1"/>
  <c r="G53" i="6" s="1"/>
  <c r="I53" i="6" s="1"/>
  <c r="K53" i="6" s="1"/>
  <c r="M53" i="6" s="1"/>
  <c r="I52" i="6"/>
  <c r="K52" i="6" s="1"/>
  <c r="M52" i="6" s="1"/>
  <c r="G52" i="6"/>
  <c r="E52" i="6"/>
  <c r="C52" i="6"/>
  <c r="C51" i="6"/>
  <c r="E51" i="6" s="1"/>
  <c r="G51" i="6" s="1"/>
  <c r="I51" i="6" s="1"/>
  <c r="K51" i="6" s="1"/>
  <c r="M51" i="6" s="1"/>
  <c r="G50" i="6"/>
  <c r="I50" i="6" s="1"/>
  <c r="K50" i="6" s="1"/>
  <c r="M50" i="6" s="1"/>
  <c r="C50" i="6"/>
  <c r="E50" i="6" s="1"/>
  <c r="E49" i="6"/>
  <c r="G49" i="6" s="1"/>
  <c r="I49" i="6" s="1"/>
  <c r="K49" i="6" s="1"/>
  <c r="M49" i="6" s="1"/>
  <c r="C49" i="6"/>
  <c r="E48" i="6"/>
  <c r="G48" i="6" s="1"/>
  <c r="I48" i="6" s="1"/>
  <c r="K48" i="6" s="1"/>
  <c r="M48" i="6" s="1"/>
  <c r="C48" i="6"/>
  <c r="C47" i="6"/>
  <c r="E47" i="6" s="1"/>
  <c r="G47" i="6" s="1"/>
  <c r="I47" i="6" s="1"/>
  <c r="K47" i="6" s="1"/>
  <c r="M47" i="6" s="1"/>
  <c r="C46" i="6"/>
  <c r="E46" i="6" s="1"/>
  <c r="G46" i="6" s="1"/>
  <c r="I46" i="6" s="1"/>
  <c r="K46" i="6" s="1"/>
  <c r="M46" i="6" s="1"/>
  <c r="E45" i="6"/>
  <c r="G45" i="6" s="1"/>
  <c r="I45" i="6" s="1"/>
  <c r="K45" i="6" s="1"/>
  <c r="M45" i="6" s="1"/>
  <c r="C45" i="6"/>
  <c r="E44" i="6"/>
  <c r="G44" i="6" s="1"/>
  <c r="I44" i="6" s="1"/>
  <c r="K44" i="6" s="1"/>
  <c r="M44" i="6" s="1"/>
  <c r="C44" i="6"/>
  <c r="C67" i="5"/>
  <c r="E67" i="5" s="1"/>
  <c r="G67" i="5" s="1"/>
  <c r="I67" i="5" s="1"/>
  <c r="K67" i="5" s="1"/>
  <c r="M67" i="5" s="1"/>
  <c r="C66" i="5"/>
  <c r="E66" i="5" s="1"/>
  <c r="G66" i="5" s="1"/>
  <c r="I66" i="5" s="1"/>
  <c r="K66" i="5" s="1"/>
  <c r="M66" i="5" s="1"/>
  <c r="E65" i="5"/>
  <c r="G65" i="5" s="1"/>
  <c r="I65" i="5" s="1"/>
  <c r="K65" i="5" s="1"/>
  <c r="M65" i="5" s="1"/>
  <c r="C65" i="5"/>
  <c r="E64" i="5"/>
  <c r="G64" i="5" s="1"/>
  <c r="I64" i="5" s="1"/>
  <c r="K64" i="5" s="1"/>
  <c r="M64" i="5" s="1"/>
  <c r="C64" i="5"/>
  <c r="C63" i="5"/>
  <c r="E63" i="5" s="1"/>
  <c r="G63" i="5" s="1"/>
  <c r="I63" i="5" s="1"/>
  <c r="K63" i="5" s="1"/>
  <c r="M63" i="5" s="1"/>
  <c r="C62" i="5"/>
  <c r="E62" i="5" s="1"/>
  <c r="G62" i="5" s="1"/>
  <c r="I62" i="5" s="1"/>
  <c r="K62" i="5" s="1"/>
  <c r="M62" i="5" s="1"/>
  <c r="E61" i="5"/>
  <c r="G61" i="5" s="1"/>
  <c r="I61" i="5" s="1"/>
  <c r="K61" i="5" s="1"/>
  <c r="M61" i="5" s="1"/>
  <c r="C61" i="5"/>
  <c r="E60" i="5"/>
  <c r="G60" i="5" s="1"/>
  <c r="I60" i="5" s="1"/>
  <c r="K60" i="5" s="1"/>
  <c r="M60" i="5" s="1"/>
  <c r="C60" i="5"/>
  <c r="C59" i="5"/>
  <c r="E59" i="5" s="1"/>
  <c r="G59" i="5" s="1"/>
  <c r="I59" i="5" s="1"/>
  <c r="K59" i="5" s="1"/>
  <c r="M59" i="5" s="1"/>
  <c r="C58" i="5"/>
  <c r="E58" i="5" s="1"/>
  <c r="G58" i="5" s="1"/>
  <c r="I58" i="5" s="1"/>
  <c r="K58" i="5" s="1"/>
  <c r="M58" i="5" s="1"/>
  <c r="E57" i="5"/>
  <c r="G57" i="5" s="1"/>
  <c r="I57" i="5" s="1"/>
  <c r="K57" i="5" s="1"/>
  <c r="M57" i="5" s="1"/>
  <c r="C57" i="5"/>
  <c r="E56" i="5"/>
  <c r="G56" i="5" s="1"/>
  <c r="I56" i="5" s="1"/>
  <c r="K56" i="5" s="1"/>
  <c r="M56" i="5" s="1"/>
  <c r="C56" i="5"/>
  <c r="C55" i="5"/>
  <c r="E55" i="5" s="1"/>
  <c r="G55" i="5" s="1"/>
  <c r="I55" i="5" s="1"/>
  <c r="K55" i="5" s="1"/>
  <c r="M55" i="5" s="1"/>
  <c r="C54" i="5"/>
  <c r="E54" i="5" s="1"/>
  <c r="G54" i="5" s="1"/>
  <c r="I54" i="5" s="1"/>
  <c r="K54" i="5" s="1"/>
  <c r="M54" i="5" s="1"/>
  <c r="E53" i="5"/>
  <c r="G53" i="5" s="1"/>
  <c r="I53" i="5" s="1"/>
  <c r="K53" i="5" s="1"/>
  <c r="M53" i="5" s="1"/>
  <c r="C53" i="5"/>
  <c r="E52" i="5"/>
  <c r="G52" i="5" s="1"/>
  <c r="I52" i="5" s="1"/>
  <c r="K52" i="5" s="1"/>
  <c r="M52" i="5" s="1"/>
  <c r="C52" i="5"/>
  <c r="C51" i="5"/>
  <c r="E51" i="5" s="1"/>
  <c r="G51" i="5" s="1"/>
  <c r="I51" i="5" s="1"/>
  <c r="K51" i="5" s="1"/>
  <c r="M51" i="5" s="1"/>
  <c r="C50" i="5"/>
  <c r="E50" i="5" s="1"/>
  <c r="G50" i="5" s="1"/>
  <c r="I50" i="5" s="1"/>
  <c r="K50" i="5" s="1"/>
  <c r="M50" i="5" s="1"/>
  <c r="E49" i="5"/>
  <c r="G49" i="5" s="1"/>
  <c r="I49" i="5" s="1"/>
  <c r="K49" i="5" s="1"/>
  <c r="M49" i="5" s="1"/>
  <c r="C49" i="5"/>
  <c r="E48" i="5"/>
  <c r="G48" i="5" s="1"/>
  <c r="I48" i="5" s="1"/>
  <c r="K48" i="5" s="1"/>
  <c r="M48" i="5" s="1"/>
  <c r="C48" i="5"/>
  <c r="C47" i="5"/>
  <c r="E47" i="5" s="1"/>
  <c r="G47" i="5" s="1"/>
  <c r="I47" i="5" s="1"/>
  <c r="K47" i="5" s="1"/>
  <c r="M47" i="5" s="1"/>
  <c r="C46" i="5"/>
  <c r="E46" i="5" s="1"/>
  <c r="G46" i="5" s="1"/>
  <c r="I46" i="5" s="1"/>
  <c r="K46" i="5" s="1"/>
  <c r="M46" i="5" s="1"/>
  <c r="E45" i="5"/>
  <c r="G45" i="5" s="1"/>
  <c r="I45" i="5" s="1"/>
  <c r="K45" i="5" s="1"/>
  <c r="M45" i="5" s="1"/>
  <c r="C45" i="5"/>
  <c r="E44" i="5"/>
  <c r="G44" i="5" s="1"/>
  <c r="I44" i="5" s="1"/>
  <c r="K44" i="5" s="1"/>
  <c r="M44" i="5" s="1"/>
  <c r="C44" i="5"/>
  <c r="C67" i="4"/>
  <c r="E67" i="4" s="1"/>
  <c r="G67" i="4" s="1"/>
  <c r="I67" i="4" s="1"/>
  <c r="K67" i="4" s="1"/>
  <c r="M67" i="4" s="1"/>
  <c r="C66" i="4"/>
  <c r="E66" i="4" s="1"/>
  <c r="G66" i="4" s="1"/>
  <c r="I66" i="4" s="1"/>
  <c r="K66" i="4" s="1"/>
  <c r="M66" i="4" s="1"/>
  <c r="E65" i="4"/>
  <c r="G65" i="4" s="1"/>
  <c r="I65" i="4" s="1"/>
  <c r="K65" i="4" s="1"/>
  <c r="M65" i="4" s="1"/>
  <c r="C65" i="4"/>
  <c r="E64" i="4"/>
  <c r="G64" i="4" s="1"/>
  <c r="I64" i="4" s="1"/>
  <c r="K64" i="4" s="1"/>
  <c r="M64" i="4" s="1"/>
  <c r="C64" i="4"/>
  <c r="C63" i="4"/>
  <c r="E63" i="4" s="1"/>
  <c r="G63" i="4" s="1"/>
  <c r="I63" i="4" s="1"/>
  <c r="K63" i="4" s="1"/>
  <c r="M63" i="4" s="1"/>
  <c r="C62" i="4"/>
  <c r="E62" i="4" s="1"/>
  <c r="G62" i="4" s="1"/>
  <c r="I62" i="4" s="1"/>
  <c r="K62" i="4" s="1"/>
  <c r="M62" i="4" s="1"/>
  <c r="E61" i="4"/>
  <c r="G61" i="4" s="1"/>
  <c r="I61" i="4" s="1"/>
  <c r="K61" i="4" s="1"/>
  <c r="M61" i="4" s="1"/>
  <c r="C61" i="4"/>
  <c r="E60" i="4"/>
  <c r="G60" i="4" s="1"/>
  <c r="I60" i="4" s="1"/>
  <c r="K60" i="4" s="1"/>
  <c r="M60" i="4" s="1"/>
  <c r="C60" i="4"/>
  <c r="C59" i="4"/>
  <c r="E59" i="4" s="1"/>
  <c r="G59" i="4" s="1"/>
  <c r="I59" i="4" s="1"/>
  <c r="K59" i="4" s="1"/>
  <c r="M59" i="4" s="1"/>
  <c r="M58" i="4"/>
  <c r="C58" i="4"/>
  <c r="E58" i="4" s="1"/>
  <c r="G58" i="4" s="1"/>
  <c r="I58" i="4" s="1"/>
  <c r="K58" i="4" s="1"/>
  <c r="E57" i="4"/>
  <c r="G57" i="4" s="1"/>
  <c r="I57" i="4" s="1"/>
  <c r="K57" i="4" s="1"/>
  <c r="M57" i="4" s="1"/>
  <c r="C57" i="4"/>
  <c r="E56" i="4"/>
  <c r="G56" i="4" s="1"/>
  <c r="I56" i="4" s="1"/>
  <c r="K56" i="4" s="1"/>
  <c r="M56" i="4" s="1"/>
  <c r="C56" i="4"/>
  <c r="C55" i="4"/>
  <c r="E55" i="4" s="1"/>
  <c r="G55" i="4" s="1"/>
  <c r="I55" i="4" s="1"/>
  <c r="K55" i="4" s="1"/>
  <c r="M55" i="4" s="1"/>
  <c r="M54" i="4"/>
  <c r="C54" i="4"/>
  <c r="E54" i="4" s="1"/>
  <c r="G54" i="4" s="1"/>
  <c r="I54" i="4" s="1"/>
  <c r="K54" i="4" s="1"/>
  <c r="E53" i="4"/>
  <c r="G53" i="4" s="1"/>
  <c r="I53" i="4" s="1"/>
  <c r="K53" i="4" s="1"/>
  <c r="M53" i="4" s="1"/>
  <c r="C53" i="4"/>
  <c r="E52" i="4"/>
  <c r="G52" i="4" s="1"/>
  <c r="I52" i="4" s="1"/>
  <c r="K52" i="4" s="1"/>
  <c r="M52" i="4" s="1"/>
  <c r="C52" i="4"/>
  <c r="C51" i="4"/>
  <c r="E51" i="4" s="1"/>
  <c r="G51" i="4" s="1"/>
  <c r="I51" i="4" s="1"/>
  <c r="K51" i="4" s="1"/>
  <c r="M51" i="4" s="1"/>
  <c r="M50" i="4"/>
  <c r="C50" i="4"/>
  <c r="E50" i="4" s="1"/>
  <c r="G50" i="4" s="1"/>
  <c r="I50" i="4" s="1"/>
  <c r="K50" i="4" s="1"/>
  <c r="E49" i="4"/>
  <c r="G49" i="4" s="1"/>
  <c r="I49" i="4" s="1"/>
  <c r="K49" i="4" s="1"/>
  <c r="M49" i="4" s="1"/>
  <c r="C49" i="4"/>
  <c r="E48" i="4"/>
  <c r="G48" i="4" s="1"/>
  <c r="I48" i="4" s="1"/>
  <c r="K48" i="4" s="1"/>
  <c r="M48" i="4" s="1"/>
  <c r="C48" i="4"/>
  <c r="C47" i="4"/>
  <c r="E47" i="4" s="1"/>
  <c r="G47" i="4" s="1"/>
  <c r="I47" i="4" s="1"/>
  <c r="K47" i="4" s="1"/>
  <c r="M47" i="4" s="1"/>
  <c r="M46" i="4"/>
  <c r="C46" i="4"/>
  <c r="E46" i="4" s="1"/>
  <c r="G46" i="4" s="1"/>
  <c r="I46" i="4" s="1"/>
  <c r="K46" i="4" s="1"/>
  <c r="E45" i="4"/>
  <c r="G45" i="4" s="1"/>
  <c r="I45" i="4" s="1"/>
  <c r="K45" i="4" s="1"/>
  <c r="M45" i="4" s="1"/>
  <c r="C45" i="4"/>
  <c r="E44" i="4"/>
  <c r="G44" i="4" s="1"/>
  <c r="I44" i="4" s="1"/>
  <c r="K44" i="4" s="1"/>
  <c r="M44" i="4" s="1"/>
  <c r="C44" i="4"/>
  <c r="P26" i="14" l="1"/>
  <c r="AF26" i="14"/>
  <c r="AV26" i="14"/>
  <c r="BS26" i="14"/>
  <c r="CI26" i="14"/>
  <c r="CY26" i="14"/>
  <c r="DV26" i="14"/>
  <c r="EL26" i="14"/>
  <c r="FB26" i="14"/>
  <c r="L26" i="14"/>
  <c r="AB26" i="14"/>
  <c r="AR26" i="14"/>
  <c r="BO26" i="14"/>
  <c r="CE26" i="14"/>
  <c r="CU26" i="14"/>
  <c r="DR26" i="14"/>
  <c r="EH26" i="14"/>
  <c r="EX26" i="14"/>
  <c r="L26" i="16"/>
  <c r="AB26" i="16"/>
  <c r="AR26" i="16"/>
  <c r="BO26" i="16"/>
  <c r="CE26" i="16"/>
  <c r="CU26" i="16"/>
  <c r="DR26" i="16"/>
  <c r="EH26" i="16"/>
  <c r="EX26" i="16"/>
  <c r="J26" i="17"/>
  <c r="Z26" i="17"/>
  <c r="AP26" i="17"/>
  <c r="BM26" i="17"/>
  <c r="CC26" i="17"/>
  <c r="CS26" i="17"/>
  <c r="DP26" i="17"/>
  <c r="EF26" i="17"/>
  <c r="EV26" i="17"/>
  <c r="FU26" i="17"/>
  <c r="R26" i="17"/>
  <c r="AH26" i="17"/>
  <c r="AX26" i="17"/>
  <c r="BU26" i="17"/>
  <c r="CK26" i="17"/>
  <c r="DA26" i="17"/>
  <c r="DX26" i="17"/>
  <c r="EN26" i="17"/>
  <c r="FD26" i="17"/>
  <c r="GE54" i="15" l="1"/>
  <c r="GA54" i="14"/>
  <c r="FY54" i="14"/>
  <c r="GE54" i="14"/>
  <c r="GE54" i="17" l="1"/>
  <c r="GA54" i="17"/>
  <c r="GE54" i="16"/>
  <c r="GA54" i="15"/>
  <c r="FY54" i="15"/>
  <c r="FW54" i="14"/>
  <c r="GC54" i="14"/>
  <c r="GC54" i="17" l="1"/>
  <c r="FW54" i="17"/>
  <c r="FY54" i="17"/>
  <c r="FY54" i="16"/>
  <c r="GA54" i="16"/>
  <c r="FW54" i="15"/>
  <c r="GC54" i="15"/>
  <c r="GC54" i="16" l="1"/>
  <c r="FW54" i="16"/>
</calcChain>
</file>

<file path=xl/comments1.xml><?xml version="1.0" encoding="utf-8"?>
<comments xmlns="http://schemas.openxmlformats.org/spreadsheetml/2006/main">
  <authors>
    <author>Bohra Staff</author>
  </authors>
  <commentList>
    <comment ref="N4" authorId="0" shapeId="0">
      <text>
        <r>
          <rPr>
            <sz val="9"/>
            <color indexed="81"/>
            <rFont val="Meiryo UI"/>
            <family val="3"/>
            <charset val="128"/>
          </rPr>
          <t>乾球温度：33.70[℃]
相対湿度：56[％]
比エンタルピ：81.6[kJ/kg]
絶対湿度：0.0186[kg/kg]
湿球温度：26.2[℃]</t>
        </r>
      </text>
    </comment>
    <comment ref="N5" authorId="0" shapeId="0">
      <text>
        <r>
          <rPr>
            <sz val="9"/>
            <color indexed="81"/>
            <rFont val="Meiryo UI"/>
            <family val="3"/>
            <charset val="128"/>
          </rPr>
          <t>乾球温度：26.92[℃]
相対湿度：57[％]
比エンタルピ：59.5[kJ/kg]
絶対湿度：0.0127[kg/kg]
湿球温度：20.7[℃]</t>
        </r>
      </text>
    </comment>
    <comment ref="N7" authorId="0" shapeId="0">
      <text>
        <r>
          <rPr>
            <sz val="9"/>
            <color indexed="81"/>
            <rFont val="Meiryo UI"/>
            <family val="3"/>
            <charset val="128"/>
          </rPr>
          <t>乾球温度：17.23[℃]
相対湿度：95[％]
比エンタルピ：47.0[kJ/kg]
絶対湿度：0.0117[kg/kg]
湿球温度：16.7[℃]</t>
        </r>
      </text>
    </comment>
    <comment ref="N8" authorId="0" shapeId="0">
      <text>
        <r>
          <rPr>
            <sz val="9"/>
            <color indexed="81"/>
            <rFont val="Meiryo UI"/>
            <family val="3"/>
            <charset val="128"/>
          </rPr>
          <t>乾球温度：17.92[℃]
相対湿度：91[％]
比エンタルピ：47.8[kJ/kg]
絶対湿度：0.0117[kg/kg]
湿球温度：16.9[℃]</t>
        </r>
      </text>
    </comment>
    <comment ref="N9" authorId="0" shapeId="0">
      <text>
        <r>
          <rPr>
            <sz val="9"/>
            <color indexed="81"/>
            <rFont val="Meiryo UI"/>
            <family val="3"/>
            <charset val="128"/>
          </rPr>
          <t>乾球温度：26.00[℃]
相対湿度：56[％]
比エンタルピ：56.5[kJ/kg]
絶対湿度：0.0119[kg/kg]
湿球温度：19.8[℃]</t>
        </r>
      </text>
    </comment>
    <comment ref="N11" authorId="0" shapeId="0">
      <text>
        <r>
          <rPr>
            <sz val="9"/>
            <color indexed="81"/>
            <rFont val="Meiryo UI"/>
            <family val="3"/>
            <charset val="128"/>
          </rPr>
          <t>乾球温度：2.00[℃]
相対湿度：32[％]
比エンタルピ：5.5[kJ/kg]
絶対湿度：0.0014[kg/kg]
湿球温度：-2.6[℃]</t>
        </r>
      </text>
    </comment>
    <comment ref="N12" authorId="0" shapeId="0">
      <text>
        <r>
          <rPr>
            <sz val="9"/>
            <color indexed="81"/>
            <rFont val="Meiryo UI"/>
            <family val="3"/>
            <charset val="128"/>
          </rPr>
          <t>乾球温度：19.60[℃]
相対湿度：42[％]
比エンタルピ：34.9[kJ/kg]
絶対湿度：0.0060[kg/kg]
湿球温度：12.4[℃]</t>
        </r>
      </text>
    </comment>
    <comment ref="N14" authorId="0" shapeId="0">
      <text>
        <r>
          <rPr>
            <sz val="9"/>
            <color indexed="81"/>
            <rFont val="Meiryo UI"/>
            <family val="3"/>
            <charset val="128"/>
          </rPr>
          <t>乾球温度：34.16[℃]
相対湿度：18[％]
比エンタルピ：49.7[kJ/kg]
絶対湿度：0.0060[kg/kg]
湿球温度：17.7[℃]</t>
        </r>
      </text>
    </comment>
    <comment ref="N15" authorId="0" shapeId="0">
      <text>
        <r>
          <rPr>
            <sz val="9"/>
            <color indexed="81"/>
            <rFont val="Meiryo UI"/>
            <family val="3"/>
            <charset val="128"/>
          </rPr>
          <t>乾球温度：32.64[℃]
相対湿度：21[％]
比エンタルピ：49.7[kJ/kg]
絶対湿度：0.0066[kg/kg]
湿球温度：17.7[℃]</t>
        </r>
      </text>
    </comment>
    <comment ref="N16" authorId="0" shapeId="0">
      <text>
        <r>
          <rPr>
            <sz val="9"/>
            <color indexed="81"/>
            <rFont val="Meiryo UI"/>
            <family val="3"/>
            <charset val="128"/>
          </rPr>
          <t>乾球温度：22.00[℃]
相対湿度：40[％]
比エンタルピ：38.9[kJ/kg]
絶対湿度：0.0066[kg/kg]
湿球温度：13.9[℃]</t>
        </r>
      </text>
    </comment>
  </commentList>
</comments>
</file>

<file path=xl/sharedStrings.xml><?xml version="1.0" encoding="utf-8"?>
<sst xmlns="http://schemas.openxmlformats.org/spreadsheetml/2006/main" count="9750" uniqueCount="793">
  <si>
    <t>負荷仕切紙</t>
  </si>
  <si>
    <t>計算用外界条件等</t>
  </si>
  <si>
    <t xml:space="preserve">  1.建物の位置、太陽位置などを示しています。</t>
  </si>
  <si>
    <t>位置情報・建物方位角など</t>
    <rPh sb="0" eb="2">
      <t>イチ</t>
    </rPh>
    <rPh sb="2" eb="4">
      <t>ジョウホウ</t>
    </rPh>
    <rPh sb="5" eb="7">
      <t>タテモノ</t>
    </rPh>
    <rPh sb="7" eb="9">
      <t>ホウイ</t>
    </rPh>
    <rPh sb="9" eb="10">
      <t>カク</t>
    </rPh>
    <phoneticPr fontId="9"/>
  </si>
  <si>
    <t>地点情報</t>
    <rPh sb="0" eb="2">
      <t>チテン</t>
    </rPh>
    <rPh sb="2" eb="4">
      <t>ジョウホウ</t>
    </rPh>
    <phoneticPr fontId="12"/>
  </si>
  <si>
    <t>斜面（壁面）方位角</t>
    <rPh sb="0" eb="2">
      <t>シャメン</t>
    </rPh>
    <rPh sb="3" eb="5">
      <t>ヘキメン</t>
    </rPh>
    <rPh sb="6" eb="8">
      <t>ホウイ</t>
    </rPh>
    <rPh sb="8" eb="9">
      <t>カク</t>
    </rPh>
    <phoneticPr fontId="12"/>
  </si>
  <si>
    <t>地点名称</t>
    <rPh sb="0" eb="2">
      <t>チテン</t>
    </rPh>
    <rPh sb="2" eb="4">
      <t>メイショウ</t>
    </rPh>
    <phoneticPr fontId="12"/>
  </si>
  <si>
    <t>緯度[°]</t>
    <rPh sb="0" eb="2">
      <t>イド</t>
    </rPh>
    <phoneticPr fontId="12"/>
  </si>
  <si>
    <t>経度[°]</t>
    <rPh sb="0" eb="2">
      <t>ケイド</t>
    </rPh>
    <phoneticPr fontId="12"/>
  </si>
  <si>
    <t>標準子午線経度[°]</t>
    <rPh sb="0" eb="2">
      <t>ヒョウジュン</t>
    </rPh>
    <rPh sb="2" eb="5">
      <t>シゴセン</t>
    </rPh>
    <rPh sb="5" eb="7">
      <t>ケイド</t>
    </rPh>
    <phoneticPr fontId="12"/>
  </si>
  <si>
    <t>斜面方位表示</t>
    <rPh sb="0" eb="2">
      <t>シャメン</t>
    </rPh>
    <rPh sb="2" eb="4">
      <t>ホウイ</t>
    </rPh>
    <rPh sb="4" eb="6">
      <t>ヒョウジ</t>
    </rPh>
    <phoneticPr fontId="12"/>
  </si>
  <si>
    <t>N</t>
    <phoneticPr fontId="12"/>
  </si>
  <si>
    <t>E</t>
    <phoneticPr fontId="12"/>
  </si>
  <si>
    <t>S</t>
    <phoneticPr fontId="12"/>
  </si>
  <si>
    <t>W</t>
    <phoneticPr fontId="12"/>
  </si>
  <si>
    <t>斜面方位角 α[°]</t>
    <rPh sb="0" eb="2">
      <t>シャメン</t>
    </rPh>
    <phoneticPr fontId="12"/>
  </si>
  <si>
    <t>太陽位置</t>
    <rPh sb="0" eb="2">
      <t>タイヨウ</t>
    </rPh>
    <rPh sb="2" eb="4">
      <t>イチ</t>
    </rPh>
    <phoneticPr fontId="12"/>
  </si>
  <si>
    <t>h-t基準</t>
    <phoneticPr fontId="12"/>
  </si>
  <si>
    <t>Jc-t基準</t>
    <phoneticPr fontId="12"/>
  </si>
  <si>
    <t>Js-t基準</t>
    <phoneticPr fontId="12"/>
  </si>
  <si>
    <t>太陽高度角 φ[°]</t>
    <rPh sb="4" eb="5">
      <t>カク</t>
    </rPh>
    <phoneticPr fontId="12"/>
  </si>
  <si>
    <t>太陽方位角 γ[°]</t>
    <phoneticPr fontId="12"/>
  </si>
  <si>
    <t>東京</t>
  </si>
  <si>
    <t>太陽位置計算日 ： 8月1日</t>
  </si>
  <si>
    <t>太陽位置計算日 ： 9月15日</t>
  </si>
  <si>
    <t xml:space="preserve">  2.設計用外気温湿度、地中温度などを示しています。</t>
  </si>
  <si>
    <t>外気条件・地中温度</t>
    <rPh sb="2" eb="4">
      <t>ジョウケン</t>
    </rPh>
    <phoneticPr fontId="9"/>
  </si>
  <si>
    <t>参照地点名</t>
    <rPh sb="0" eb="2">
      <t>サンショウ</t>
    </rPh>
    <rPh sb="2" eb="4">
      <t>チテン</t>
    </rPh>
    <rPh sb="4" eb="5">
      <t>メイ</t>
    </rPh>
    <phoneticPr fontId="12"/>
  </si>
  <si>
    <t>冷房設計用外気条件</t>
    <rPh sb="0" eb="2">
      <t>レイボウ</t>
    </rPh>
    <rPh sb="2" eb="5">
      <t>セッケイヨウ</t>
    </rPh>
    <rPh sb="5" eb="7">
      <t>ガイキ</t>
    </rPh>
    <rPh sb="7" eb="9">
      <t>ジョウケン</t>
    </rPh>
    <phoneticPr fontId="12"/>
  </si>
  <si>
    <t>h-t基準</t>
    <phoneticPr fontId="12"/>
  </si>
  <si>
    <t>注記：下線部は8時-18時運転時の、太字は24時間運転時の空調機外気負荷設計用外気条件</t>
    <rPh sb="0" eb="2">
      <t>チュウキ</t>
    </rPh>
    <rPh sb="3" eb="6">
      <t>カセンブ</t>
    </rPh>
    <rPh sb="8" eb="9">
      <t>ジ</t>
    </rPh>
    <rPh sb="12" eb="13">
      <t>ジ</t>
    </rPh>
    <rPh sb="13" eb="15">
      <t>ウンテン</t>
    </rPh>
    <rPh sb="15" eb="16">
      <t>ジ</t>
    </rPh>
    <rPh sb="18" eb="20">
      <t>フトジ</t>
    </rPh>
    <rPh sb="23" eb="25">
      <t>ジカン</t>
    </rPh>
    <rPh sb="25" eb="27">
      <t>ウンテン</t>
    </rPh>
    <rPh sb="27" eb="28">
      <t>ジ</t>
    </rPh>
    <rPh sb="29" eb="32">
      <t>クウチョウキ</t>
    </rPh>
    <rPh sb="32" eb="34">
      <t>ガイキ</t>
    </rPh>
    <rPh sb="34" eb="36">
      <t>フカ</t>
    </rPh>
    <rPh sb="36" eb="39">
      <t>セッケイヨウ</t>
    </rPh>
    <rPh sb="39" eb="41">
      <t>ガイキ</t>
    </rPh>
    <rPh sb="41" eb="43">
      <t>ジョウケン</t>
    </rPh>
    <phoneticPr fontId="12"/>
  </si>
  <si>
    <t>乾球温度[℃]</t>
    <rPh sb="0" eb="2">
      <t>カンキュウ</t>
    </rPh>
    <rPh sb="2" eb="4">
      <t>オンド</t>
    </rPh>
    <phoneticPr fontId="12"/>
  </si>
  <si>
    <t>絶対湿度[g/kg]</t>
    <rPh sb="0" eb="2">
      <t>ゼッタイ</t>
    </rPh>
    <rPh sb="2" eb="4">
      <t>シツド</t>
    </rPh>
    <phoneticPr fontId="12"/>
  </si>
  <si>
    <t>比エンタルピ [kJ/kg]</t>
    <phoneticPr fontId="12"/>
  </si>
  <si>
    <t>Js-t基準</t>
    <phoneticPr fontId="12"/>
  </si>
  <si>
    <t>暖房設計用外気条件</t>
    <rPh sb="0" eb="2">
      <t>ダンボウ</t>
    </rPh>
    <rPh sb="2" eb="5">
      <t>セッケイヨウ</t>
    </rPh>
    <rPh sb="5" eb="7">
      <t>ガイキ</t>
    </rPh>
    <rPh sb="7" eb="9">
      <t>ジョウケン</t>
    </rPh>
    <phoneticPr fontId="12"/>
  </si>
  <si>
    <t>t-x基準</t>
    <phoneticPr fontId="12"/>
  </si>
  <si>
    <t>室負荷計算用外気条件</t>
    <rPh sb="0" eb="1">
      <t>シツ</t>
    </rPh>
    <rPh sb="1" eb="3">
      <t>フカ</t>
    </rPh>
    <rPh sb="3" eb="6">
      <t>ケイサンヨウ</t>
    </rPh>
    <rPh sb="6" eb="8">
      <t>ガイキ</t>
    </rPh>
    <rPh sb="8" eb="10">
      <t>ジョウケン</t>
    </rPh>
    <phoneticPr fontId="12"/>
  </si>
  <si>
    <t>左記外気条件を与える時刻における相当外気温度</t>
    <rPh sb="0" eb="2">
      <t>サキ</t>
    </rPh>
    <rPh sb="2" eb="4">
      <t>ガイキ</t>
    </rPh>
    <rPh sb="4" eb="6">
      <t>ジョウケン</t>
    </rPh>
    <rPh sb="7" eb="8">
      <t>アタ</t>
    </rPh>
    <rPh sb="10" eb="12">
      <t>ジコク</t>
    </rPh>
    <rPh sb="16" eb="18">
      <t>ソウトウ</t>
    </rPh>
    <rPh sb="18" eb="20">
      <t>ガイキ</t>
    </rPh>
    <rPh sb="20" eb="22">
      <t>オンド</t>
    </rPh>
    <phoneticPr fontId="12"/>
  </si>
  <si>
    <t>外気負荷設計用外気条件</t>
    <rPh sb="0" eb="2">
      <t>ガイキ</t>
    </rPh>
    <rPh sb="2" eb="4">
      <t>フカ</t>
    </rPh>
    <rPh sb="4" eb="7">
      <t>セッケイヨウ</t>
    </rPh>
    <rPh sb="7" eb="9">
      <t>ガイキ</t>
    </rPh>
    <rPh sb="9" eb="11">
      <t>ジョウケン</t>
    </rPh>
    <phoneticPr fontId="12"/>
  </si>
  <si>
    <t>9-18時用</t>
    <rPh sb="4" eb="5">
      <t>ジ</t>
    </rPh>
    <rPh sb="5" eb="6">
      <t>ヨウ</t>
    </rPh>
    <phoneticPr fontId="12"/>
  </si>
  <si>
    <t>24時間用</t>
    <rPh sb="2" eb="4">
      <t>ジカン</t>
    </rPh>
    <rPh sb="4" eb="5">
      <t>ヨウ</t>
    </rPh>
    <phoneticPr fontId="12"/>
  </si>
  <si>
    <t>上向き水平面</t>
    <rPh sb="0" eb="2">
      <t>ウエム</t>
    </rPh>
    <rPh sb="3" eb="6">
      <t>スイヘイメン</t>
    </rPh>
    <phoneticPr fontId="12"/>
  </si>
  <si>
    <t>垂直面</t>
    <rPh sb="0" eb="2">
      <t>スイチョク</t>
    </rPh>
    <rPh sb="2" eb="3">
      <t>メン</t>
    </rPh>
    <phoneticPr fontId="12"/>
  </si>
  <si>
    <t>下向き水平面</t>
    <rPh sb="0" eb="2">
      <t>シタム</t>
    </rPh>
    <rPh sb="3" eb="6">
      <t>スイヘイメン</t>
    </rPh>
    <phoneticPr fontId="12"/>
  </si>
  <si>
    <t>時刻</t>
    <rPh sb="0" eb="2">
      <t>ジコク</t>
    </rPh>
    <phoneticPr fontId="5"/>
  </si>
  <si>
    <t>時刻</t>
    <rPh sb="0" eb="2">
      <t>ジコク</t>
    </rPh>
    <phoneticPr fontId="12"/>
  </si>
  <si>
    <t>設計値</t>
    <rPh sb="0" eb="3">
      <t>セッケイチ</t>
    </rPh>
    <phoneticPr fontId="12"/>
  </si>
  <si>
    <t>t-Jh基準</t>
    <phoneticPr fontId="12"/>
  </si>
  <si>
    <t>比エンタルピ [kJ/kg]</t>
    <phoneticPr fontId="12"/>
  </si>
  <si>
    <t>注記</t>
    <rPh sb="0" eb="2">
      <t>チュウキ</t>
    </rPh>
    <phoneticPr fontId="12"/>
  </si>
  <si>
    <t>暖房設計用土間床、地中壁設計条件</t>
    <rPh sb="0" eb="2">
      <t>ダンボウ</t>
    </rPh>
    <rPh sb="2" eb="4">
      <t>セッケイ</t>
    </rPh>
    <rPh sb="4" eb="5">
      <t>ヨウ</t>
    </rPh>
    <rPh sb="5" eb="7">
      <t>ドマ</t>
    </rPh>
    <rPh sb="7" eb="8">
      <t>ユカ</t>
    </rPh>
    <rPh sb="9" eb="11">
      <t>チチュウ</t>
    </rPh>
    <rPh sb="11" eb="12">
      <t>ヘキ</t>
    </rPh>
    <rPh sb="12" eb="14">
      <t>セッケイ</t>
    </rPh>
    <rPh sb="14" eb="16">
      <t>ジョウケン</t>
    </rPh>
    <phoneticPr fontId="12"/>
  </si>
  <si>
    <t>赤坂・坂井の方法により算出するときの地下実効温度差</t>
    <rPh sb="11" eb="13">
      <t>サンシュツ</t>
    </rPh>
    <rPh sb="18" eb="20">
      <t>チカ</t>
    </rPh>
    <rPh sb="20" eb="22">
      <t>ジッコウ</t>
    </rPh>
    <rPh sb="22" eb="25">
      <t>オンドサ</t>
    </rPh>
    <phoneticPr fontId="18"/>
  </si>
  <si>
    <t>地中温度[℃]</t>
    <phoneticPr fontId="9"/>
  </si>
  <si>
    <t>赤坂・坂井の方法により算出する場合は使用しません。</t>
    <rPh sb="11" eb="13">
      <t>サンシュツ</t>
    </rPh>
    <rPh sb="15" eb="17">
      <t>バアイ</t>
    </rPh>
    <rPh sb="18" eb="20">
      <t>シヨウ</t>
    </rPh>
    <phoneticPr fontId="18"/>
  </si>
  <si>
    <t>基準値[K]</t>
    <rPh sb="0" eb="3">
      <t>キジュンチ</t>
    </rPh>
    <phoneticPr fontId="12"/>
  </si>
  <si>
    <t>平均気温[℃]</t>
    <rPh sb="0" eb="2">
      <t>ヘイキン</t>
    </rPh>
    <rPh sb="2" eb="4">
      <t>キオン</t>
    </rPh>
    <phoneticPr fontId="12"/>
  </si>
  <si>
    <t>東京の平均気温[℃]</t>
    <rPh sb="0" eb="2">
      <t>トウキョウ</t>
    </rPh>
    <rPh sb="3" eb="5">
      <t>ヘイキン</t>
    </rPh>
    <rPh sb="5" eb="7">
      <t>キオン</t>
    </rPh>
    <phoneticPr fontId="12"/>
  </si>
  <si>
    <t>決定値[K]</t>
    <rPh sb="0" eb="2">
      <t>ケッテイ</t>
    </rPh>
    <rPh sb="2" eb="3">
      <t>チ</t>
    </rPh>
    <phoneticPr fontId="12"/>
  </si>
  <si>
    <t>深度</t>
    <phoneticPr fontId="9"/>
  </si>
  <si>
    <t>t-x基準</t>
  </si>
  <si>
    <t>t-Jh基準</t>
  </si>
  <si>
    <t>平均気温はHASPEEデータの1時～24時までの暖房設計用外気温度の平均値です。</t>
    <rPh sb="0" eb="2">
      <t>ヘイキン</t>
    </rPh>
    <rPh sb="2" eb="4">
      <t>キオン</t>
    </rPh>
    <rPh sb="16" eb="17">
      <t>ジ</t>
    </rPh>
    <rPh sb="20" eb="21">
      <t>ジ</t>
    </rPh>
    <rPh sb="24" eb="26">
      <t>ダンボウ</t>
    </rPh>
    <rPh sb="26" eb="28">
      <t>セッケイ</t>
    </rPh>
    <rPh sb="28" eb="29">
      <t>ヨウ</t>
    </rPh>
    <rPh sb="29" eb="31">
      <t>ガイキ</t>
    </rPh>
    <rPh sb="31" eb="33">
      <t>オンド</t>
    </rPh>
    <rPh sb="34" eb="37">
      <t>ヘイキンチ</t>
    </rPh>
    <phoneticPr fontId="12"/>
  </si>
  <si>
    <t>東京</t>
    <phoneticPr fontId="12"/>
  </si>
  <si>
    <t>本設計（計算）においては夜間放射量（赤外放射熱損失）は考慮していません。</t>
  </si>
  <si>
    <t>したがって、暖房設計用相当外気温度はすべて外気温度に等しくなります。</t>
  </si>
  <si>
    <t>地中温度参照地点は東京です。</t>
  </si>
  <si>
    <t>実効温度差　ETD[K]</t>
    <rPh sb="0" eb="5">
      <t>ジッコウオンドサ</t>
    </rPh>
    <phoneticPr fontId="12"/>
  </si>
  <si>
    <t>水平</t>
  </si>
  <si>
    <t>N</t>
  </si>
  <si>
    <t>NE</t>
  </si>
  <si>
    <t>E</t>
  </si>
  <si>
    <t>SE</t>
  </si>
  <si>
    <t>S</t>
  </si>
  <si>
    <t>SW</t>
  </si>
  <si>
    <t>W</t>
  </si>
  <si>
    <t>NW</t>
  </si>
  <si>
    <t>実効温度差計算用無次元化貫流応答係数 yj = 貫流応答係数 Yj / 熱貫流率 U</t>
    <rPh sb="0" eb="2">
      <t>ジッコウ</t>
    </rPh>
    <rPh sb="2" eb="5">
      <t>オンドサ</t>
    </rPh>
    <rPh sb="5" eb="8">
      <t>ケイサンヨウ</t>
    </rPh>
    <rPh sb="8" eb="11">
      <t>ムジゲン</t>
    </rPh>
    <rPh sb="11" eb="12">
      <t>カ</t>
    </rPh>
    <rPh sb="12" eb="14">
      <t>カンリュウ</t>
    </rPh>
    <rPh sb="14" eb="18">
      <t>オウトウケイスウ</t>
    </rPh>
    <rPh sb="24" eb="26">
      <t>カンリュウ</t>
    </rPh>
    <rPh sb="26" eb="28">
      <t>オウトウ</t>
    </rPh>
    <rPh sb="28" eb="30">
      <t>ケイスウ</t>
    </rPh>
    <rPh sb="36" eb="37">
      <t>ネツ</t>
    </rPh>
    <rPh sb="37" eb="39">
      <t>カンリュウ</t>
    </rPh>
    <rPh sb="39" eb="40">
      <t>リツ</t>
    </rPh>
    <phoneticPr fontId="12"/>
  </si>
  <si>
    <t>ｊ</t>
    <phoneticPr fontId="12"/>
  </si>
  <si>
    <t>yj</t>
  </si>
  <si>
    <t>ｊ</t>
  </si>
  <si>
    <t>日陰</t>
    <phoneticPr fontId="3"/>
  </si>
  <si>
    <t>日陰</t>
    <phoneticPr fontId="3"/>
  </si>
  <si>
    <t>日陰</t>
    <phoneticPr fontId="3"/>
  </si>
  <si>
    <t>1.イタリック表示の部分は計算値です。</t>
  </si>
  <si>
    <t>2.実効温度差は室温26[℃]の時の値です。</t>
  </si>
  <si>
    <t xml:space="preserve">  また、各方位の値は斜面傾斜角（壁面の水平面に対する角度）が90[°]の時の値です。</t>
  </si>
  <si>
    <t>3.日射吸収率：0.7</t>
  </si>
  <si>
    <t>4.夜間放射量は考慮していません。</t>
  </si>
  <si>
    <t>5.外表面熱伝達率：23[W/(㎡・K)]</t>
  </si>
  <si>
    <t xml:space="preserve">  （上記の外表面熱伝達率は、相当外気温度の計算のみに使用しています。</t>
  </si>
  <si>
    <t xml:space="preserve">  　応答係数計算時の外表面熱伝達率は、壁タイプⅠ～Ⅳの場合は常に23[W/(㎡・K)]、</t>
  </si>
  <si>
    <t xml:space="preserve">  　壁タイプによらず個別に計算する場合は、熱貫流率データで指定された値です。）</t>
  </si>
  <si>
    <t>6.建物方位角：20[°]</t>
  </si>
  <si>
    <t xml:space="preserve">  （各方位の実効温度差は建物方位角を考慮して計算しなおしています。）</t>
  </si>
  <si>
    <t>実効温度差及び無次元化貫流応答係数 (外壁 OW1・壁タイプⅡ)</t>
    <phoneticPr fontId="12"/>
  </si>
  <si>
    <t>日陰</t>
    <phoneticPr fontId="3"/>
  </si>
  <si>
    <t>日陰</t>
    <phoneticPr fontId="3"/>
  </si>
  <si>
    <t>実効温度差及び無次元化貫流応答係数 (外壁 OW2・壁タイプⅡ)</t>
    <phoneticPr fontId="12"/>
  </si>
  <si>
    <t>上向日陰</t>
    <phoneticPr fontId="3"/>
  </si>
  <si>
    <t>---</t>
  </si>
  <si>
    <t>上向日陰</t>
    <phoneticPr fontId="3"/>
  </si>
  <si>
    <t>上向日陰</t>
    <phoneticPr fontId="3"/>
  </si>
  <si>
    <t>6.上向日陰の相当外気温度計算用の日射量を計算する際、</t>
  </si>
  <si>
    <t xml:space="preserve">  太陽方向の高輝度成分を考慮せず、直散分離後の値をそのまま用いています｡</t>
  </si>
  <si>
    <t>実効温度差 (屋根 OR1・壁タイプⅣ)</t>
    <phoneticPr fontId="12"/>
  </si>
  <si>
    <t>上向日陰</t>
    <phoneticPr fontId="3"/>
  </si>
  <si>
    <t>実効温度差 (屋根 OR2・壁タイプⅣ)</t>
    <phoneticPr fontId="12"/>
  </si>
  <si>
    <t xml:space="preserve">  3.外壁・屋根などの実効温度差を示しています。</t>
  </si>
  <si>
    <t xml:space="preserve">  4.非空調室の温度条件を示しています。</t>
  </si>
  <si>
    <t>非空調室などの温度条件</t>
    <rPh sb="0" eb="1">
      <t>ヒ</t>
    </rPh>
    <rPh sb="1" eb="3">
      <t>クウチョウ</t>
    </rPh>
    <rPh sb="3" eb="4">
      <t>シツ</t>
    </rPh>
    <rPh sb="7" eb="9">
      <t>オンド</t>
    </rPh>
    <rPh sb="9" eb="11">
      <t>ジョウケン</t>
    </rPh>
    <phoneticPr fontId="12"/>
  </si>
  <si>
    <t>中間季の値は参考値です</t>
    <rPh sb="0" eb="2">
      <t>チュウカン</t>
    </rPh>
    <rPh sb="2" eb="3">
      <t>キ</t>
    </rPh>
    <rPh sb="4" eb="5">
      <t>アタイ</t>
    </rPh>
    <rPh sb="6" eb="8">
      <t>サンコウ</t>
    </rPh>
    <rPh sb="8" eb="9">
      <t>チ</t>
    </rPh>
    <phoneticPr fontId="12"/>
  </si>
  <si>
    <t>隣室記号</t>
    <rPh sb="0" eb="2">
      <t>リンシツ</t>
    </rPh>
    <rPh sb="2" eb="4">
      <t>キゴウ</t>
    </rPh>
    <phoneticPr fontId="5"/>
  </si>
  <si>
    <t>隣室記号</t>
    <rPh sb="0" eb="2">
      <t>リンシツ</t>
    </rPh>
    <rPh sb="2" eb="4">
      <t>キゴウ</t>
    </rPh>
    <phoneticPr fontId="12"/>
  </si>
  <si>
    <t>室名</t>
    <rPh sb="0" eb="2">
      <t>シツメイ</t>
    </rPh>
    <phoneticPr fontId="12"/>
  </si>
  <si>
    <t>温度条件</t>
    <rPh sb="0" eb="2">
      <t>オンド</t>
    </rPh>
    <rPh sb="2" eb="4">
      <t>ジョウケン</t>
    </rPh>
    <phoneticPr fontId="12"/>
  </si>
  <si>
    <t>夏季</t>
    <rPh sb="0" eb="2">
      <t>カキ</t>
    </rPh>
    <phoneticPr fontId="12"/>
  </si>
  <si>
    <t>冬季</t>
    <rPh sb="0" eb="2">
      <t>トウキ</t>
    </rPh>
    <phoneticPr fontId="12"/>
  </si>
  <si>
    <t>中間季</t>
    <rPh sb="0" eb="2">
      <t>チュウカン</t>
    </rPh>
    <rPh sb="2" eb="3">
      <t>キ</t>
    </rPh>
    <phoneticPr fontId="12"/>
  </si>
  <si>
    <t>廊下</t>
  </si>
  <si>
    <t>廊下等</t>
  </si>
  <si>
    <t>隣室温度差係数=0.3</t>
  </si>
  <si>
    <t>階段</t>
  </si>
  <si>
    <t>階段室等</t>
  </si>
  <si>
    <t>隣室温度差係数=0.4</t>
  </si>
  <si>
    <t>WC</t>
  </si>
  <si>
    <t>トイレ</t>
  </si>
  <si>
    <t>風除室</t>
  </si>
  <si>
    <t>風除室等</t>
  </si>
  <si>
    <t>隣室温度差係数=1</t>
  </si>
  <si>
    <t>物置</t>
  </si>
  <si>
    <t>物置・倉庫</t>
  </si>
  <si>
    <t>厨房</t>
  </si>
  <si>
    <t>厨房等</t>
  </si>
  <si>
    <t>外気温度+2[K]</t>
  </si>
  <si>
    <t>倉庫</t>
  </si>
  <si>
    <t>倉庫（サーモ付換気扇）</t>
  </si>
  <si>
    <t>室温=40[℃]</t>
  </si>
  <si>
    <t>外気温度+5[K]</t>
  </si>
  <si>
    <t>機械室</t>
  </si>
  <si>
    <t>機械Ｓ</t>
  </si>
  <si>
    <t>機械室（サーモ付換気扇）</t>
  </si>
  <si>
    <t>電気室</t>
  </si>
  <si>
    <t>電気室（サーモ付換気扇）</t>
  </si>
  <si>
    <t>ボイラ</t>
  </si>
  <si>
    <t>ボイラー室</t>
  </si>
  <si>
    <t>外気温度+10[K]</t>
  </si>
  <si>
    <t>コンプ</t>
  </si>
  <si>
    <t>コンプレッサー室（サーモ付換気扇）</t>
  </si>
  <si>
    <t>凍-20℃</t>
  </si>
  <si>
    <t>冷凍庫（-20[℃]）</t>
  </si>
  <si>
    <t>室温=-20[℃]</t>
  </si>
  <si>
    <t>冷5℃</t>
  </si>
  <si>
    <t>冷蔵庫（5[℃]）</t>
  </si>
  <si>
    <t>室温=5[℃]</t>
  </si>
  <si>
    <t>参照地点名</t>
    <rPh sb="2" eb="4">
      <t>チテン</t>
    </rPh>
    <phoneticPr fontId="9"/>
  </si>
  <si>
    <t>注記</t>
    <rPh sb="0" eb="2">
      <t>チュウキ</t>
    </rPh>
    <phoneticPr fontId="9"/>
  </si>
  <si>
    <t>日陰コード</t>
    <rPh sb="0" eb="2">
      <t>ヒカゲ</t>
    </rPh>
    <phoneticPr fontId="9"/>
  </si>
  <si>
    <t>各部寸法[mm]</t>
  </si>
  <si>
    <t>V</t>
  </si>
  <si>
    <t>B</t>
  </si>
  <si>
    <t>b</t>
  </si>
  <si>
    <t>H</t>
  </si>
  <si>
    <t>h</t>
  </si>
  <si>
    <t>h'</t>
  </si>
  <si>
    <t>断面図</t>
    <rPh sb="0" eb="3">
      <t>ダンメンズ</t>
    </rPh>
    <phoneticPr fontId="9"/>
  </si>
  <si>
    <t>平面図</t>
    <rPh sb="0" eb="3">
      <t>ヘイメンズ</t>
    </rPh>
    <phoneticPr fontId="9"/>
  </si>
  <si>
    <t>上向日陰</t>
    <rPh sb="0" eb="2">
      <t>ウエム</t>
    </rPh>
    <rPh sb="2" eb="4">
      <t>ヒカゲ</t>
    </rPh>
    <phoneticPr fontId="9"/>
  </si>
  <si>
    <t>水平面拡散日射熱取得IGSh</t>
    <rPh sb="0" eb="2">
      <t>スイヘイ</t>
    </rPh>
    <rPh sb="2" eb="3">
      <t>メン</t>
    </rPh>
    <rPh sb="3" eb="5">
      <t>カクサン</t>
    </rPh>
    <rPh sb="5" eb="7">
      <t>ニッシャ</t>
    </rPh>
    <rPh sb="7" eb="8">
      <t>ネツ</t>
    </rPh>
    <rPh sb="8" eb="10">
      <t>シュトク</t>
    </rPh>
    <phoneticPr fontId="9"/>
  </si>
  <si>
    <t>日陰</t>
    <phoneticPr fontId="9"/>
  </si>
  <si>
    <t>垂直面拡散日射熱取得IGS</t>
    <rPh sb="0" eb="2">
      <t>スイチョク</t>
    </rPh>
    <rPh sb="2" eb="3">
      <t>メン</t>
    </rPh>
    <rPh sb="3" eb="5">
      <t>カクサン</t>
    </rPh>
    <rPh sb="5" eb="7">
      <t>ニッシャ</t>
    </rPh>
    <rPh sb="7" eb="8">
      <t>ネツ</t>
    </rPh>
    <rPh sb="8" eb="10">
      <t>シュトク</t>
    </rPh>
    <phoneticPr fontId="9"/>
  </si>
  <si>
    <t>水平面全日射熱取得IG</t>
    <rPh sb="0" eb="3">
      <t>スイヘイメン</t>
    </rPh>
    <rPh sb="3" eb="4">
      <t>ゼン</t>
    </rPh>
    <rPh sb="4" eb="6">
      <t>ニッシャ</t>
    </rPh>
    <rPh sb="6" eb="7">
      <t>ネツ</t>
    </rPh>
    <rPh sb="7" eb="9">
      <t>シュトク</t>
    </rPh>
    <phoneticPr fontId="9"/>
  </si>
  <si>
    <t>直達日射熱取得IGD</t>
    <rPh sb="0" eb="2">
      <t>チョクタツ</t>
    </rPh>
    <rPh sb="2" eb="4">
      <t>ニッシャ</t>
    </rPh>
    <rPh sb="4" eb="5">
      <t>ネツ</t>
    </rPh>
    <rPh sb="5" eb="7">
      <t>シュトク</t>
    </rPh>
    <phoneticPr fontId="9"/>
  </si>
  <si>
    <t>日照面積率SG</t>
    <phoneticPr fontId="9"/>
  </si>
  <si>
    <t>全日射熱取得IG=IGD･SG+IGS</t>
    <rPh sb="0" eb="1">
      <t>ゼン</t>
    </rPh>
    <rPh sb="1" eb="3">
      <t>ニッシャ</t>
    </rPh>
    <rPh sb="3" eb="4">
      <t>ネツ</t>
    </rPh>
    <rPh sb="4" eb="6">
      <t>シュトク</t>
    </rPh>
    <phoneticPr fontId="9"/>
  </si>
  <si>
    <t>日照面積率SG</t>
    <phoneticPr fontId="9"/>
  </si>
  <si>
    <t>日照面積率SG</t>
    <phoneticPr fontId="9"/>
  </si>
  <si>
    <t>日照面積率SG</t>
    <phoneticPr fontId="9"/>
  </si>
  <si>
    <t>日照面積率SG</t>
    <phoneticPr fontId="9"/>
  </si>
  <si>
    <t>Jc-t基準</t>
    <phoneticPr fontId="12"/>
  </si>
  <si>
    <t>水平日陰</t>
    <rPh sb="0" eb="2">
      <t>スイヘイ</t>
    </rPh>
    <phoneticPr fontId="9"/>
  </si>
  <si>
    <t>日陰</t>
    <phoneticPr fontId="9"/>
  </si>
  <si>
    <t>日照面積率SG</t>
    <phoneticPr fontId="9"/>
  </si>
  <si>
    <t>Js-t基準</t>
    <phoneticPr fontId="12"/>
  </si>
  <si>
    <t>日照面積率SG</t>
    <phoneticPr fontId="9"/>
  </si>
  <si>
    <t>外部遮蔽計算用寸法と各時刻における日照面積率及びガラス透過日射熱取得[W/㎡]（外部遮蔽無し）</t>
    <phoneticPr fontId="12"/>
  </si>
  <si>
    <t>外部遮蔽無し</t>
  </si>
  <si>
    <t>1.日射熱取得単位は[W/㎡]</t>
  </si>
  <si>
    <t>2.イタリック表示の部分は計算値です。</t>
  </si>
  <si>
    <t>3.直散分離には渡辺モデルを使用しています｡</t>
  </si>
  <si>
    <t>4.真近点離角を求める際の太陽位置は</t>
  </si>
  <si>
    <t xml:space="preserve">  山崎の方法(計算年=1990年)で計算しています。</t>
  </si>
  <si>
    <t>5.入射角特性はJIS A 2103(附属書G)で計算しています。</t>
  </si>
  <si>
    <t>日照面積率SG</t>
    <phoneticPr fontId="9"/>
  </si>
  <si>
    <t>Js-t基準</t>
    <phoneticPr fontId="12"/>
  </si>
  <si>
    <t>外部遮蔽計算用寸法と各時刻における日照面積率及びガラス透過日射熱取得[W/㎡]（日陰コード：2F-E）</t>
    <phoneticPr fontId="12"/>
  </si>
  <si>
    <t>2F-E</t>
  </si>
  <si>
    <t xml:space="preserve">  5.ガラス透過日射熱取得の値を示しています。</t>
  </si>
  <si>
    <t>熱貫流率計算表</t>
  </si>
  <si>
    <t xml:space="preserve">  構造体の熱貫流率を計算しています。</t>
  </si>
  <si>
    <t>熱貫流率の計算</t>
    <rPh sb="0" eb="1">
      <t>ネツ</t>
    </rPh>
    <rPh sb="1" eb="3">
      <t>カンリュウ</t>
    </rPh>
    <rPh sb="3" eb="4">
      <t>リツ</t>
    </rPh>
    <rPh sb="5" eb="7">
      <t>ケイサン</t>
    </rPh>
    <phoneticPr fontId="9"/>
  </si>
  <si>
    <t>略　　図</t>
    <rPh sb="0" eb="1">
      <t>リャク</t>
    </rPh>
    <rPh sb="3" eb="4">
      <t>ズ</t>
    </rPh>
    <phoneticPr fontId="9"/>
  </si>
  <si>
    <t>番号</t>
    <phoneticPr fontId="9"/>
  </si>
  <si>
    <t>材　料　名</t>
    <rPh sb="0" eb="1">
      <t>ザイ</t>
    </rPh>
    <rPh sb="2" eb="3">
      <t>リョウ</t>
    </rPh>
    <rPh sb="4" eb="5">
      <t>メイ</t>
    </rPh>
    <phoneticPr fontId="9"/>
  </si>
  <si>
    <t>厚さ
t
[m]</t>
    <phoneticPr fontId="9"/>
  </si>
  <si>
    <t>熱伝導率
λ
[W/(m･K)]</t>
    <phoneticPr fontId="9"/>
  </si>
  <si>
    <t>t/λ
[㎡･K/W]</t>
    <phoneticPr fontId="9"/>
  </si>
  <si>
    <t>厚さ
t
[m]</t>
  </si>
  <si>
    <t>熱伝導率
λ
[W/(m･K)]</t>
  </si>
  <si>
    <t>t/λ
[㎡･K/W]</t>
  </si>
  <si>
    <t>１行目</t>
  </si>
  <si>
    <t>外壁</t>
  </si>
  <si>
    <t>OW1</t>
  </si>
  <si>
    <t>壁タイプ=Ⅱ</t>
  </si>
  <si>
    <t>日射吸収率=0.7</t>
  </si>
  <si>
    <t>外壁外表面熱伝達率</t>
  </si>
  <si>
    <t>-</t>
  </si>
  <si>
    <t>(23[W/(㎡・K])</t>
  </si>
  <si>
    <t>気泡コンクリート（ALC）</t>
  </si>
  <si>
    <t>吹付け硬質ウレタンフォームＡ種3</t>
  </si>
  <si>
    <t>非密閉空気層</t>
  </si>
  <si>
    <t>せっこうボード</t>
  </si>
  <si>
    <t>ケイ酸カルシウム板　0.8mm</t>
  </si>
  <si>
    <t>室内表面熱伝達率</t>
  </si>
  <si>
    <t>(9[W/(㎡・K])</t>
  </si>
  <si>
    <t>熱抵抗(ｔ／λ合計)</t>
  </si>
  <si>
    <t>熱貫流率　U = 1/1.460 = 0.7[W/(㎡･K)]</t>
  </si>
  <si>
    <t>OW2</t>
  </si>
  <si>
    <t>吹付け硬質ウレタンフォームＡ種１</t>
  </si>
  <si>
    <t>熱貫流率　U = 1/1.540 = 0.6[W/(㎡･K)]</t>
  </si>
  <si>
    <t>外壁ｶﾞﾗｽ</t>
  </si>
  <si>
    <t>OG1</t>
  </si>
  <si>
    <t>透明 5mm</t>
  </si>
  <si>
    <t>(ブラインド無し)</t>
  </si>
  <si>
    <t>ガラス面積比率=0.85</t>
  </si>
  <si>
    <t>遮蔽係数 = 0.97</t>
  </si>
  <si>
    <t>熱貫流率 U = 5.9[W/(㎡･K)]</t>
  </si>
  <si>
    <t>OG2</t>
  </si>
  <si>
    <t>(明色ブラインド付)</t>
  </si>
  <si>
    <t>遮蔽係数 = 0.49→0.97</t>
  </si>
  <si>
    <t>熱貫流率 U = 4.2|5.9[W/(㎡･K)]</t>
  </si>
  <si>
    <t>OG3</t>
  </si>
  <si>
    <t>熱反シルバー+透明 6mm (空気層12mm)</t>
  </si>
  <si>
    <t>遮蔽係数 = 0.7</t>
  </si>
  <si>
    <t>熱貫流率 U = 2.8[W/(㎡･K)]</t>
  </si>
  <si>
    <t>屋根</t>
  </si>
  <si>
    <t>OR1</t>
  </si>
  <si>
    <t>壁タイプ=Ⅳ</t>
  </si>
  <si>
    <t>軽量コンクリート（軽量2種）</t>
  </si>
  <si>
    <t>押出法ポリスチレンフォーム　保温板　2種</t>
  </si>
  <si>
    <t>アスファルト類</t>
  </si>
  <si>
    <t>コンクリート</t>
  </si>
  <si>
    <t>熱貫流率　U = 1/2.121 = 0.5[W/(㎡･K)]</t>
  </si>
  <si>
    <t>OR2</t>
  </si>
  <si>
    <t>熱貫流率　U = 1/2.151 = 0.5[W/(㎡･K)]</t>
  </si>
  <si>
    <t>内壁</t>
  </si>
  <si>
    <t>IW1</t>
  </si>
  <si>
    <t>熱貫流率　U = 1/0.462 = 2.2[W/(㎡･K)]</t>
  </si>
  <si>
    <t>IW2</t>
  </si>
  <si>
    <t>熱貫流率　U = 1/0.402 = 2.5[W/(㎡･K)]</t>
  </si>
  <si>
    <t>IW3</t>
  </si>
  <si>
    <t>熱貫流率　U = 1/0.432 = 2.3[W/(㎡･K)]</t>
  </si>
  <si>
    <t>天井･床</t>
  </si>
  <si>
    <t>C1</t>
  </si>
  <si>
    <t xml:space="preserve">ビニル系床材  </t>
  </si>
  <si>
    <t>セメント・モルタル</t>
  </si>
  <si>
    <t>熱貫流率　U = 1/0.458 = 2.2[W/(㎡･K)]</t>
  </si>
  <si>
    <t>C2</t>
  </si>
  <si>
    <t>熱貫流率　U = 1/0.293 = 3.4[W/(㎡･K)]</t>
  </si>
  <si>
    <t>C3</t>
  </si>
  <si>
    <t>熱貫流率　U = 1/0.352 = 2.8[W/(㎡･K)]</t>
  </si>
  <si>
    <t>土間床</t>
  </si>
  <si>
    <t>BF1</t>
  </si>
  <si>
    <t>岩石</t>
  </si>
  <si>
    <t>土壌</t>
  </si>
  <si>
    <t>熱貫流率　U = 1/1.289 = 0.8[W/(㎡･K)]</t>
  </si>
  <si>
    <t>BF2</t>
  </si>
  <si>
    <t>熱貫流率　U = 1/1.453 = 0.7[W/(㎡･K)]</t>
  </si>
  <si>
    <t>地中壁</t>
  </si>
  <si>
    <t>BW1</t>
  </si>
  <si>
    <t>コンクリートブロック（軽量）</t>
  </si>
  <si>
    <t>熱貫流率　U = 1/1.589 = 0.6[W/(㎡･K)]</t>
  </si>
  <si>
    <t>各室熱負荷計算書</t>
  </si>
  <si>
    <t xml:space="preserve">  各室の構造体負荷、内部負荷および外気負荷を計算しています。</t>
  </si>
  <si>
    <t>空調使用時間：</t>
    <rPh sb="0" eb="2">
      <t>クウチョウ</t>
    </rPh>
    <rPh sb="2" eb="4">
      <t>シヨウ</t>
    </rPh>
    <rPh sb="4" eb="6">
      <t>ジカン</t>
    </rPh>
    <phoneticPr fontId="5"/>
  </si>
  <si>
    <t>負荷計算用紙J24h</t>
    <rPh sb="0" eb="2">
      <t>フカ</t>
    </rPh>
    <rPh sb="2" eb="4">
      <t>ケイサン</t>
    </rPh>
    <rPh sb="4" eb="6">
      <t>ヨウシ</t>
    </rPh>
    <phoneticPr fontId="5"/>
  </si>
  <si>
    <t>相対湿度</t>
    <phoneticPr fontId="24"/>
  </si>
  <si>
    <t>面積</t>
  </si>
  <si>
    <t>外壁面積法による分</t>
  </si>
  <si>
    <t>隙間風合計：</t>
  </si>
  <si>
    <t>明記なき単位は以下のとおり
 日射量ig：[W/㎡]、熱貫流率U：[W/(㎡・K)]、温度差⊿t：[K]</t>
    <rPh sb="0" eb="2">
      <t>メイキ</t>
    </rPh>
    <rPh sb="4" eb="6">
      <t>タンイ</t>
    </rPh>
    <rPh sb="7" eb="9">
      <t>イカ</t>
    </rPh>
    <phoneticPr fontId="5"/>
  </si>
  <si>
    <t>h-t基準　冷房負荷[W]</t>
    <rPh sb="3" eb="5">
      <t>キジュン</t>
    </rPh>
    <phoneticPr fontId="5"/>
  </si>
  <si>
    <t>Jc-t基準　冷房負荷[W]</t>
    <rPh sb="4" eb="6">
      <t>キジュン</t>
    </rPh>
    <phoneticPr fontId="5"/>
  </si>
  <si>
    <t>Js-t基準　冷房負荷[W]</t>
    <rPh sb="4" eb="6">
      <t>キジュン</t>
    </rPh>
    <phoneticPr fontId="5"/>
  </si>
  <si>
    <t>暖房負荷[W]</t>
    <rPh sb="0" eb="2">
      <t>ダンボウ</t>
    </rPh>
    <phoneticPr fontId="5"/>
  </si>
  <si>
    <t>最大負荷[W]</t>
    <rPh sb="0" eb="2">
      <t>サイダイ</t>
    </rPh>
    <rPh sb="2" eb="4">
      <t>フカ</t>
    </rPh>
    <phoneticPr fontId="5"/>
  </si>
  <si>
    <t>t-x基準</t>
    <rPh sb="3" eb="5">
      <t>キジュン</t>
    </rPh>
    <phoneticPr fontId="5"/>
  </si>
  <si>
    <t>t-Jh基準</t>
    <rPh sb="4" eb="6">
      <t>キジュン</t>
    </rPh>
    <phoneticPr fontId="5"/>
  </si>
  <si>
    <t>ガラス透過負荷</t>
    <rPh sb="3" eb="5">
      <t>トウカ</t>
    </rPh>
    <rPh sb="5" eb="7">
      <t>フカ</t>
    </rPh>
    <phoneticPr fontId="5"/>
  </si>
  <si>
    <t>壁体記号</t>
  </si>
  <si>
    <t>方位</t>
  </si>
  <si>
    <t>面積S[m2]</t>
    <phoneticPr fontId="5"/>
  </si>
  <si>
    <t>遮蔽係数SC</t>
    <phoneticPr fontId="12"/>
  </si>
  <si>
    <t>日陰コード</t>
    <rPh sb="0" eb="2">
      <t>ヒカゲ</t>
    </rPh>
    <phoneticPr fontId="5"/>
  </si>
  <si>
    <t>ig</t>
    <phoneticPr fontId="5"/>
  </si>
  <si>
    <t>S・S.C.・ig</t>
    <phoneticPr fontId="12"/>
  </si>
  <si>
    <t>ig</t>
  </si>
  <si>
    <t>S・S.C.・ig</t>
  </si>
  <si>
    <t>-</t>
    <phoneticPr fontId="5"/>
  </si>
  <si>
    <t>h-t基準
設計最大負荷
↓
↓
↓</t>
    <rPh sb="3" eb="5">
      <t>キジュン</t>
    </rPh>
    <rPh sb="6" eb="8">
      <t>セッケイ</t>
    </rPh>
    <rPh sb="8" eb="10">
      <t>サイダイ</t>
    </rPh>
    <phoneticPr fontId="5"/>
  </si>
  <si>
    <t>Jc-t基準
設計最大負荷
↓
↓
↓</t>
    <rPh sb="4" eb="6">
      <t>キジュン</t>
    </rPh>
    <rPh sb="9" eb="11">
      <t>サイダイ</t>
    </rPh>
    <phoneticPr fontId="5"/>
  </si>
  <si>
    <t>Js-t基準
設計最大負荷
↓
↓
↓</t>
    <rPh sb="4" eb="6">
      <t>キジュン</t>
    </rPh>
    <rPh sb="9" eb="11">
      <t>サイダイ</t>
    </rPh>
    <phoneticPr fontId="5"/>
  </si>
  <si>
    <t>-</t>
    <phoneticPr fontId="5"/>
  </si>
  <si>
    <t>①顕熱負荷1 [W]</t>
    <phoneticPr fontId="5"/>
  </si>
  <si>
    <t>壁体貫流負荷</t>
    <rPh sb="0" eb="1">
      <t>ヘキ</t>
    </rPh>
    <rPh sb="1" eb="2">
      <t>タイ</t>
    </rPh>
    <rPh sb="2" eb="4">
      <t>カンリュウ</t>
    </rPh>
    <rPh sb="4" eb="6">
      <t>フカ</t>
    </rPh>
    <phoneticPr fontId="5"/>
  </si>
  <si>
    <t>熱貫流率U</t>
  </si>
  <si>
    <t>⊿t</t>
    <phoneticPr fontId="5"/>
  </si>
  <si>
    <t>S・U・⊿t</t>
    <phoneticPr fontId="5"/>
  </si>
  <si>
    <t>⊿t</t>
  </si>
  <si>
    <t>S・U・⊿t</t>
  </si>
  <si>
    <t>[㎡]</t>
    <phoneticPr fontId="5"/>
  </si>
  <si>
    <t>②顕熱負荷2 [W]</t>
    <phoneticPr fontId="5"/>
  </si>
  <si>
    <t>取得熱量</t>
  </si>
  <si>
    <t>r</t>
    <phoneticPr fontId="5"/>
  </si>
  <si>
    <t>損失熱量</t>
    <rPh sb="0" eb="2">
      <t>ソンシツ</t>
    </rPh>
    <phoneticPr fontId="5"/>
  </si>
  <si>
    <t>③顕熱負荷3 [W]</t>
    <phoneticPr fontId="5"/>
  </si>
  <si>
    <t>顕熱負荷</t>
  </si>
  <si>
    <t>h-t基準
設計顕熱負荷
↓
↓</t>
    <rPh sb="8" eb="10">
      <t>ケンネツ</t>
    </rPh>
    <phoneticPr fontId="12"/>
  </si>
  <si>
    <t>Jc-t基準
設計顕熱負荷
↓
↓</t>
    <rPh sb="9" eb="11">
      <t>ケンネツ</t>
    </rPh>
    <phoneticPr fontId="12"/>
  </si>
  <si>
    <t>Js-t基準
設計顕熱負荷
↓
↓</t>
    <rPh sb="9" eb="11">
      <t>ケンネツ</t>
    </rPh>
    <phoneticPr fontId="12"/>
  </si>
  <si>
    <t>冷房設計
最大顕熱負荷
↓
↓</t>
    <rPh sb="7" eb="9">
      <t>ケンネツ</t>
    </rPh>
    <phoneticPr fontId="12"/>
  </si>
  <si>
    <t>暖房設計
最大顕熱負荷
↓
↓</t>
    <rPh sb="7" eb="9">
      <t>ケンネツ</t>
    </rPh>
    <phoneticPr fontId="12"/>
  </si>
  <si>
    <t>h-t基準
設計潜熱負荷
↓
↓</t>
  </si>
  <si>
    <t>Jc-t基準
設計潜熱負荷
↓
↓</t>
  </si>
  <si>
    <t>Js-t基準
設計潜熱負荷
↓
↓</t>
  </si>
  <si>
    <t>冷房設計
最大潜熱負荷
↓
↓</t>
  </si>
  <si>
    <t>暖房設計
最大潜熱負荷
↓
↓</t>
  </si>
  <si>
    <t xml:space="preserve">
外気負荷、過冷却負荷及び全負荷</t>
    <rPh sb="1" eb="5">
      <t>ガイキフカ</t>
    </rPh>
    <rPh sb="6" eb="9">
      <t>カレイキャク</t>
    </rPh>
    <rPh sb="9" eb="11">
      <t>フカ</t>
    </rPh>
    <rPh sb="11" eb="12">
      <t>オヨ</t>
    </rPh>
    <rPh sb="13" eb="14">
      <t>ゼン</t>
    </rPh>
    <rPh sb="14" eb="16">
      <t>フカ</t>
    </rPh>
    <phoneticPr fontId="5"/>
  </si>
  <si>
    <t xml:space="preserve">
外気負荷及び全負荷</t>
    <rPh sb="1" eb="5">
      <t>ガイキフカ</t>
    </rPh>
    <rPh sb="5" eb="6">
      <t>オヨ</t>
    </rPh>
    <rPh sb="7" eb="8">
      <t>ゼン</t>
    </rPh>
    <rPh sb="8" eb="10">
      <t>フカ</t>
    </rPh>
    <phoneticPr fontId="5"/>
  </si>
  <si>
    <t>t-x基準</t>
    <phoneticPr fontId="5"/>
  </si>
  <si>
    <t>h-t基準</t>
    <rPh sb="3" eb="5">
      <t>キジュン</t>
    </rPh>
    <phoneticPr fontId="5"/>
  </si>
  <si>
    <t>Jc-t基準</t>
    <rPh sb="4" eb="6">
      <t>キジュン</t>
    </rPh>
    <phoneticPr fontId="5"/>
  </si>
  <si>
    <t>Js-t基準</t>
    <rPh sb="4" eb="6">
      <t>キジュン</t>
    </rPh>
    <phoneticPr fontId="5"/>
  </si>
  <si>
    <t>冷房最大</t>
    <rPh sb="0" eb="2">
      <t>レイボウ</t>
    </rPh>
    <rPh sb="2" eb="4">
      <t>サイダイ</t>
    </rPh>
    <phoneticPr fontId="5"/>
  </si>
  <si>
    <t>暖房最大</t>
    <rPh sb="0" eb="2">
      <t>ダンボウ</t>
    </rPh>
    <rPh sb="2" eb="4">
      <t>サイダイ</t>
    </rPh>
    <phoneticPr fontId="5"/>
  </si>
  <si>
    <t>⊿h</t>
  </si>
  <si>
    <t>　　その他の負荷</t>
    <rPh sb="4" eb="5">
      <t>タ</t>
    </rPh>
    <rPh sb="6" eb="8">
      <t>フカ</t>
    </rPh>
    <phoneticPr fontId="5"/>
  </si>
  <si>
    <t>その他の負荷</t>
    <rPh sb="2" eb="3">
      <t>タ</t>
    </rPh>
    <rPh sb="4" eb="6">
      <t>フカ</t>
    </rPh>
    <phoneticPr fontId="5"/>
  </si>
  <si>
    <t>負荷量</t>
  </si>
  <si>
    <t>⊿x</t>
  </si>
  <si>
    <t>　　備考</t>
    <rPh sb="2" eb="4">
      <t>ビコウ</t>
    </rPh>
    <phoneticPr fontId="5"/>
  </si>
  <si>
    <t>事務室</t>
  </si>
  <si>
    <t>AC-2</t>
  </si>
  <si>
    <t>4.2|5.9</t>
  </si>
  <si>
    <t>0.49→0.97</t>
  </si>
  <si>
    <t>(C)室内全熱負荷以降の外気負荷等は、熱源容量計算用の基準別、時刻別の値です。外気負荷を含めた空調機の容量の計算等は別紙「AC-2系統 空調機容量の計算」をご参照ください。</t>
  </si>
  <si>
    <t>9時-18時</t>
  </si>
  <si>
    <t>9時-18時</t>
    <phoneticPr fontId="5"/>
  </si>
  <si>
    <t>Js-t</t>
  </si>
  <si>
    <t>冷房設計
最大負荷
(顕熱負荷
により決定、
Js-t基準
採用)
↓
↓
↓</t>
    <phoneticPr fontId="5"/>
  </si>
  <si>
    <t>t-Jh</t>
  </si>
  <si>
    <t>暖房設計
最大負荷
(顕熱負荷
により決定、
t-Jh基準
採用)
↓
↓
↓</t>
    <phoneticPr fontId="5"/>
  </si>
  <si>
    <t>室NO</t>
  </si>
  <si>
    <t>室NO</t>
    <phoneticPr fontId="5"/>
  </si>
  <si>
    <t>室名</t>
  </si>
  <si>
    <t>室名</t>
    <phoneticPr fontId="5"/>
  </si>
  <si>
    <t>事務室</t>
    <phoneticPr fontId="3"/>
  </si>
  <si>
    <t>設計外気風量[m3/h]</t>
    <phoneticPr fontId="5"/>
  </si>
  <si>
    <t>夜間外気風量[m3/h]</t>
    <phoneticPr fontId="5"/>
  </si>
  <si>
    <t>系統記号</t>
    <phoneticPr fontId="5"/>
  </si>
  <si>
    <t>室NO</t>
    <phoneticPr fontId="5"/>
  </si>
  <si>
    <t>乾球温度</t>
    <phoneticPr fontId="3"/>
  </si>
  <si>
    <t>相対湿度</t>
    <phoneticPr fontId="24"/>
  </si>
  <si>
    <t>比エンタルピ</t>
    <phoneticPr fontId="24"/>
  </si>
  <si>
    <t>絶対湿度</t>
    <phoneticPr fontId="5"/>
  </si>
  <si>
    <t>AC-2</t>
    <phoneticPr fontId="3"/>
  </si>
  <si>
    <t>乾球温度</t>
    <phoneticPr fontId="3"/>
  </si>
  <si>
    <t>階</t>
  </si>
  <si>
    <t>階</t>
    <phoneticPr fontId="5"/>
  </si>
  <si>
    <t>面積</t>
    <phoneticPr fontId="3"/>
  </si>
  <si>
    <t>天井高</t>
    <phoneticPr fontId="5"/>
  </si>
  <si>
    <t>容積</t>
    <phoneticPr fontId="5"/>
  </si>
  <si>
    <t>隙間風→→</t>
    <phoneticPr fontId="5"/>
  </si>
  <si>
    <t>サッシより： -</t>
  </si>
  <si>
    <t>ドアより： -</t>
  </si>
  <si>
    <t>外壁面積法による分</t>
    <phoneticPr fontId="5"/>
  </si>
  <si>
    <t>隙間風合計：</t>
    <phoneticPr fontId="5"/>
  </si>
  <si>
    <t>h-t基準</t>
  </si>
  <si>
    <t>h-t基準</t>
    <phoneticPr fontId="12"/>
  </si>
  <si>
    <t>Jc-t基準</t>
  </si>
  <si>
    <t>Jc-t基準</t>
    <phoneticPr fontId="12"/>
  </si>
  <si>
    <t>Js-t基準</t>
  </si>
  <si>
    <t>Js-t基準</t>
    <phoneticPr fontId="12"/>
  </si>
  <si>
    <t>隙間風→→</t>
    <phoneticPr fontId="12"/>
  </si>
  <si>
    <t>外壁面積法による分</t>
    <phoneticPr fontId="3"/>
  </si>
  <si>
    <t>隙間風合計：</t>
    <phoneticPr fontId="3"/>
  </si>
  <si>
    <t>内部負荷</t>
    <phoneticPr fontId="5"/>
  </si>
  <si>
    <t>r</t>
    <phoneticPr fontId="5"/>
  </si>
  <si>
    <t>取得熱量</t>
    <phoneticPr fontId="3"/>
  </si>
  <si>
    <t>取得熱量</t>
    <phoneticPr fontId="3"/>
  </si>
  <si>
    <t>取得熱量</t>
    <phoneticPr fontId="3"/>
  </si>
  <si>
    <t>時刻</t>
    <phoneticPr fontId="5"/>
  </si>
  <si>
    <t>損失熱量</t>
    <phoneticPr fontId="5"/>
  </si>
  <si>
    <t>人間</t>
    <phoneticPr fontId="5"/>
  </si>
  <si>
    <t>×稼働率r</t>
  </si>
  <si>
    <t>照明</t>
    <phoneticPr fontId="5"/>
  </si>
  <si>
    <t>OA機器</t>
    <phoneticPr fontId="3"/>
  </si>
  <si>
    <t>大形事務器、生産装置</t>
    <phoneticPr fontId="5"/>
  </si>
  <si>
    <t>その他の顕熱負荷</t>
    <phoneticPr fontId="5"/>
  </si>
  <si>
    <t>③顕熱負荷3 [W]</t>
    <phoneticPr fontId="5"/>
  </si>
  <si>
    <t>隙間風</t>
    <phoneticPr fontId="5"/>
  </si>
  <si>
    <t>⊿t</t>
    <phoneticPr fontId="3"/>
  </si>
  <si>
    <t>顕熱負荷</t>
    <phoneticPr fontId="3"/>
  </si>
  <si>
    <t>④顕熱負荷4[W]</t>
    <phoneticPr fontId="5"/>
  </si>
  <si>
    <t>地中構造体</t>
    <phoneticPr fontId="5"/>
  </si>
  <si>
    <t>外気に接する長さL[m]</t>
    <phoneticPr fontId="12"/>
  </si>
  <si>
    <t>周長基準熱貫流率U</t>
    <phoneticPr fontId="12"/>
  </si>
  <si>
    <t>L・U・⊿t</t>
    <phoneticPr fontId="5"/>
  </si>
  <si>
    <t>L・U・⊿t</t>
    <phoneticPr fontId="3"/>
  </si>
  <si>
    <t>⊿t</t>
    <phoneticPr fontId="5"/>
  </si>
  <si>
    <t>土間床</t>
    <phoneticPr fontId="12"/>
  </si>
  <si>
    <t>地中壁</t>
    <phoneticPr fontId="12"/>
  </si>
  <si>
    <t>⑤顕熱負荷5 [W]</t>
    <phoneticPr fontId="5"/>
  </si>
  <si>
    <t>蓄熱負荷</t>
    <phoneticPr fontId="5"/>
  </si>
  <si>
    <t>地上（HASPEEの方法による分）</t>
    <phoneticPr fontId="12"/>
  </si>
  <si>
    <t>地中（井上の方法による分）</t>
    <phoneticPr fontId="12"/>
  </si>
  <si>
    <t>⑥顕熱負荷6 [W]</t>
    <phoneticPr fontId="5"/>
  </si>
  <si>
    <t>⑦顕熱負荷小計　①+②+③+④+⑤+⑥ [W]</t>
    <phoneticPr fontId="5"/>
  </si>
  <si>
    <t>⑧余裕係数×送風機負荷係数</t>
    <phoneticPr fontId="5"/>
  </si>
  <si>
    <t>1.00×1.05</t>
  </si>
  <si>
    <t>⑧余裕係数×送風機負荷係数</t>
    <phoneticPr fontId="5"/>
  </si>
  <si>
    <t>⑧余裕係数</t>
    <phoneticPr fontId="5"/>
  </si>
  <si>
    <t xml:space="preserve"> (A)顕熱負荷 ⑦×⑧ [W]</t>
    <phoneticPr fontId="5"/>
  </si>
  <si>
    <t>潜熱負荷</t>
    <phoneticPr fontId="5"/>
  </si>
  <si>
    <t>絶対湿度差⊿xの単位：[g/kg]</t>
    <phoneticPr fontId="36"/>
  </si>
  <si>
    <t>r,⊿x</t>
    <phoneticPr fontId="3"/>
  </si>
  <si>
    <t>その他の潜熱負荷</t>
    <phoneticPr fontId="5"/>
  </si>
  <si>
    <t>(B)潜熱負荷合計 [W]</t>
    <phoneticPr fontId="5"/>
  </si>
  <si>
    <t>(C)室内全熱負荷　(A)+(B) [W]</t>
    <phoneticPr fontId="5"/>
  </si>
  <si>
    <t>単位負荷（室内全熱負荷(C)／室面積） [W/m2]</t>
    <phoneticPr fontId="5"/>
  </si>
  <si>
    <t>空調使用時間：</t>
    <phoneticPr fontId="5"/>
  </si>
  <si>
    <t>冷暖</t>
    <phoneticPr fontId="3"/>
  </si>
  <si>
    <t>冷房設計用蓄熱負荷の計算</t>
    <phoneticPr fontId="5"/>
  </si>
  <si>
    <t>暖房設計用蓄熱負荷の計算</t>
    <phoneticPr fontId="5"/>
  </si>
  <si>
    <t>本室の冷房蓄熱負荷の扱い</t>
    <phoneticPr fontId="5"/>
  </si>
  <si>
    <t>連日分、休日分の両方を考慮</t>
    <phoneticPr fontId="5"/>
  </si>
  <si>
    <t>本室の暖房蓄熱負荷の扱い</t>
    <phoneticPr fontId="5"/>
  </si>
  <si>
    <t>予冷時間</t>
    <phoneticPr fontId="5"/>
  </si>
  <si>
    <t>予熱時間</t>
    <phoneticPr fontId="5"/>
  </si>
  <si>
    <t>予冷終了後の負荷変動に対する公比 r</t>
    <phoneticPr fontId="5"/>
  </si>
  <si>
    <t>予熱時間補正係数 Cp</t>
    <phoneticPr fontId="5"/>
  </si>
  <si>
    <t xml:space="preserve"> 表1　窓方位係数 Csr と予冷時間補正係数 Cp 窓面積比 Ag/Afの計算</t>
    <phoneticPr fontId="5"/>
  </si>
  <si>
    <t xml:space="preserve"> 表2　窓方位係数 Csr の計算</t>
    <phoneticPr fontId="5"/>
  </si>
  <si>
    <t>方位</t>
    <phoneticPr fontId="5"/>
  </si>
  <si>
    <t>窓面積Ag</t>
    <phoneticPr fontId="5"/>
  </si>
  <si>
    <t>Csr</t>
    <phoneticPr fontId="5"/>
  </si>
  <si>
    <t>Cp</t>
    <phoneticPr fontId="5"/>
  </si>
  <si>
    <t>Ag×Csr</t>
    <phoneticPr fontId="5"/>
  </si>
  <si>
    <t>Ag×Cp</t>
    <phoneticPr fontId="5"/>
  </si>
  <si>
    <t>窓面積Ag×SG</t>
    <phoneticPr fontId="5"/>
  </si>
  <si>
    <t>Ag×SG×Csr</t>
    <phoneticPr fontId="5"/>
  </si>
  <si>
    <t>一般方位</t>
    <phoneticPr fontId="3"/>
  </si>
  <si>
    <t>SE,S,SW</t>
    <phoneticPr fontId="3"/>
  </si>
  <si>
    <t>合計</t>
    <phoneticPr fontId="5"/>
  </si>
  <si>
    <t>加重平均</t>
    <phoneticPr fontId="5"/>
  </si>
  <si>
    <t>床面積Af=</t>
    <phoneticPr fontId="5"/>
  </si>
  <si>
    <t>[㎡]</t>
    <phoneticPr fontId="5"/>
  </si>
  <si>
    <t>注：SGは対象の窓ガラスの1月30日9時における日照面積率</t>
    <phoneticPr fontId="5"/>
  </si>
  <si>
    <t>窓面積比=Ag/Af=</t>
    <phoneticPr fontId="5"/>
  </si>
  <si>
    <t>t-x基準12時の水平面全天日射量</t>
    <phoneticPr fontId="5"/>
  </si>
  <si>
    <t>[W/㎡]</t>
    <phoneticPr fontId="5"/>
  </si>
  <si>
    <t>上記による軽減係数</t>
    <phoneticPr fontId="5"/>
  </si>
  <si>
    <t>地域と設計室温の補正係数　Ct　の計算</t>
    <phoneticPr fontId="35"/>
  </si>
  <si>
    <t>Csrの決定値</t>
    <phoneticPr fontId="5"/>
  </si>
  <si>
    <t>Jc-t基準気象データの6時の外気温度 to6Jct</t>
    <phoneticPr fontId="5"/>
  </si>
  <si>
    <t>[℃]</t>
    <phoneticPr fontId="5"/>
  </si>
  <si>
    <t>冷房室内設計温度 tr</t>
    <phoneticPr fontId="5"/>
  </si>
  <si>
    <t>表3　熱損失係数 Kt および</t>
    <phoneticPr fontId="5"/>
  </si>
  <si>
    <t xml:space="preserve">⊿t=to6Jct-tr= 27.3 [℃]- 26.0 [℃]= </t>
  </si>
  <si>
    <t>基準負荷(連日運転) qbase0、基準負荷(休日成分) qbase1 の計算</t>
    <phoneticPr fontId="5"/>
  </si>
  <si>
    <t xml:space="preserve">Ct=0.22×(⊿t-1.3) = 0.22×(1.3 -1.3)= </t>
  </si>
  <si>
    <t>1Kあたりの熱損失[W/K]</t>
    <phoneticPr fontId="5"/>
  </si>
  <si>
    <t>床面積Af
[㎡]</t>
    <phoneticPr fontId="5"/>
  </si>
  <si>
    <t>Ct決定値　</t>
  </si>
  <si>
    <t>窓
ΣU・A</t>
    <phoneticPr fontId="5"/>
  </si>
  <si>
    <t>外壁・屋根
ΣU・A</t>
    <phoneticPr fontId="5"/>
  </si>
  <si>
    <t>内壁・天井
・床
ΣU・Aj</t>
    <phoneticPr fontId="5"/>
  </si>
  <si>
    <t>隙間風
cρV</t>
    <phoneticPr fontId="5"/>
  </si>
  <si>
    <t>連日運転の実用蓄熱負荷 qst0　の計算</t>
    <phoneticPr fontId="5"/>
  </si>
  <si>
    <t xml:space="preserve">qst0=13(1+Ct+Csr)Ag/Af+7=13×(1+ 0.00+0.00)×0.20 +7 = </t>
  </si>
  <si>
    <t>実用蓄熱負荷の休日成分 qst1 の計算</t>
    <phoneticPr fontId="5"/>
  </si>
  <si>
    <t xml:space="preserve">qst1=47(1+0.6Ct)Ag/Af+10=47×(1+0.6×0.00)×0.20 +10 = </t>
  </si>
  <si>
    <t>冷房設計用実用蓄熱負荷の各値の計算</t>
    <phoneticPr fontId="5"/>
  </si>
  <si>
    <t>連日運転分
[W/㎡]</t>
    <phoneticPr fontId="5"/>
  </si>
  <si>
    <t>休日成分
[W/㎡]</t>
    <phoneticPr fontId="5"/>
  </si>
  <si>
    <t>合計
[W/㎡]</t>
    <phoneticPr fontId="5"/>
  </si>
  <si>
    <t>熱損失係数 Kt</t>
    <phoneticPr fontId="5"/>
  </si>
  <si>
    <t>予冷終了時</t>
    <phoneticPr fontId="5"/>
  </si>
  <si>
    <t>Cp×1.0×qst0=</t>
  </si>
  <si>
    <t>1.0×qst1=</t>
  </si>
  <si>
    <t>予冷終了後</t>
    <phoneticPr fontId="5"/>
  </si>
  <si>
    <t>0.65×qst0=</t>
  </si>
  <si>
    <t>0.65×qst1=</t>
  </si>
  <si>
    <t>t-Jh基準気象データの9時の外気温度 to9Jh</t>
    <phoneticPr fontId="5"/>
  </si>
  <si>
    <t>暖房室内設計温度 tr</t>
    <phoneticPr fontId="5"/>
  </si>
  <si>
    <t>注記</t>
  </si>
  <si>
    <t xml:space="preserve">⊿T=tr-to9Jh= 22.0 [℃]- 1.5 [℃]= </t>
  </si>
  <si>
    <t xml:space="preserve">1.　Cp= 1.00 （表1にて計算済） </t>
  </si>
  <si>
    <t xml:space="preserve">Ct=0.05×(⊿t-20.5) = 0.05×(20.5 -20.5)= </t>
  </si>
  <si>
    <t>2.　予冷終了時とは部屋使用開始時刻（通常9時）を示します。</t>
  </si>
  <si>
    <t>3.　予冷終了後とは上記の次の時刻（通常10時）以降を示します。</t>
  </si>
  <si>
    <t xml:space="preserve">4.　予冷終了後の蓄熱負荷は公比 0.92 により下記のように計算します。 </t>
  </si>
  <si>
    <t xml:space="preserve">qst0=Cp(1+Ct)qbase0-20=1.00× (1+ 0.00 )× 56.4 -20= </t>
  </si>
  <si>
    <t>経過時間
j [h]</t>
    <phoneticPr fontId="5"/>
  </si>
  <si>
    <t>Cj0</t>
    <phoneticPr fontId="5"/>
  </si>
  <si>
    <t>連日分
[W/㎡]</t>
    <phoneticPr fontId="5"/>
  </si>
  <si>
    <t>qst0 の決定値　</t>
  </si>
  <si>
    <t xml:space="preserve">qst1=(1+1.8Ct-Csr)qbase1=(1+1.8× 0.00 - 0.65 )× 38.4 = </t>
  </si>
  <si>
    <t>暖房設計用実用蓄熱負荷合計値　qst</t>
    <phoneticPr fontId="5"/>
  </si>
  <si>
    <r>
      <t>qbase0=90(1-e</t>
    </r>
    <r>
      <rPr>
        <vertAlign val="superscript"/>
        <sz val="9"/>
        <rFont val="ＭＳ Ｐゴシック"/>
        <family val="3"/>
        <charset val="128"/>
      </rPr>
      <t>-0.31Kt</t>
    </r>
    <r>
      <rPr>
        <sz val="9"/>
        <rFont val="ＭＳ Ｐゴシック"/>
        <family val="3"/>
        <charset val="128"/>
      </rPr>
      <t>)[W/㎡]</t>
    </r>
    <phoneticPr fontId="5"/>
  </si>
  <si>
    <r>
      <t>qbase1=43(1-e</t>
    </r>
    <r>
      <rPr>
        <vertAlign val="superscript"/>
        <sz val="9"/>
        <rFont val="ＭＳ Ｐゴシック"/>
        <family val="3"/>
        <charset val="128"/>
      </rPr>
      <t>-0.70Kt</t>
    </r>
    <r>
      <rPr>
        <sz val="9"/>
        <rFont val="ＭＳ Ｐゴシック"/>
        <family val="3"/>
        <charset val="128"/>
      </rPr>
      <t>)[W/㎡]</t>
    </r>
    <phoneticPr fontId="5"/>
  </si>
  <si>
    <t>-</t>
    <phoneticPr fontId="5"/>
  </si>
  <si>
    <t>①顕熱負荷1 [W]</t>
    <phoneticPr fontId="5"/>
  </si>
  <si>
    <t>①顕熱負荷1 [W]</t>
    <phoneticPr fontId="5"/>
  </si>
  <si>
    <t>面積S[m2]</t>
    <phoneticPr fontId="5"/>
  </si>
  <si>
    <t>⊿t</t>
    <phoneticPr fontId="5"/>
  </si>
  <si>
    <t>S・U・⊿t</t>
    <phoneticPr fontId="5"/>
  </si>
  <si>
    <t>S・U・⊿t</t>
    <phoneticPr fontId="5"/>
  </si>
  <si>
    <t>S・U・⊿t</t>
    <phoneticPr fontId="5"/>
  </si>
  <si>
    <t>⊿t</t>
    <phoneticPr fontId="5"/>
  </si>
  <si>
    <t>②顕熱負荷2 [W]</t>
    <phoneticPr fontId="5"/>
  </si>
  <si>
    <t>②顕熱負荷2 [W]</t>
    <phoneticPr fontId="5"/>
  </si>
  <si>
    <t>t-x基準</t>
    <phoneticPr fontId="5"/>
  </si>
  <si>
    <t>t-x基準</t>
    <phoneticPr fontId="5"/>
  </si>
  <si>
    <t>更衣室(M)</t>
  </si>
  <si>
    <t>9時-18時</t>
    <phoneticPr fontId="5"/>
  </si>
  <si>
    <t>h-t</t>
  </si>
  <si>
    <t>冷房設計
最大負荷
(顕熱負荷
により決定、
h-t基準
採用)
↓
↓
↓</t>
    <phoneticPr fontId="5"/>
  </si>
  <si>
    <t>暖房設計
最大負荷
(顕熱負荷
により決定、
t-Jh基準
採用)
↓
↓
↓</t>
    <phoneticPr fontId="5"/>
  </si>
  <si>
    <t>室NO</t>
    <phoneticPr fontId="5"/>
  </si>
  <si>
    <t>室名</t>
    <phoneticPr fontId="5"/>
  </si>
  <si>
    <t>更衣室(M)</t>
    <phoneticPr fontId="3"/>
  </si>
  <si>
    <t>設計外気風量[m3/h]</t>
    <phoneticPr fontId="5"/>
  </si>
  <si>
    <t>夜間外気風量[m3/h]</t>
    <phoneticPr fontId="5"/>
  </si>
  <si>
    <t>外壁面積法による分</t>
    <phoneticPr fontId="5"/>
  </si>
  <si>
    <t>隙間風合計：</t>
    <phoneticPr fontId="5"/>
  </si>
  <si>
    <t>内部負荷</t>
    <phoneticPr fontId="5"/>
  </si>
  <si>
    <t>⑧余裕係数</t>
    <phoneticPr fontId="5"/>
  </si>
  <si>
    <t>地上（HASPEEの方法による分）</t>
    <phoneticPr fontId="12"/>
  </si>
  <si>
    <t>予熱時間補正係数 Cp</t>
    <phoneticPr fontId="5"/>
  </si>
  <si>
    <t xml:space="preserve">qst0=13(1+Ct+Csr)Ag/Af+7=13×(1+ 0.00+0.00)×0.00 +7 = </t>
  </si>
  <si>
    <t xml:space="preserve">qst1=47(1+0.6Ct)Ag/Af+10=47×(1+0.6×0.00)×0.00 +10 = </t>
  </si>
  <si>
    <t xml:space="preserve">qst0=Cp(1+Ct)qbase0-20=1.00× (1+ 0.00 )× 56.6 -20= </t>
  </si>
  <si>
    <t xml:space="preserve">qst1=(1+1.8Ct-Csr)qbase1=(1+1.8× 0.00 - 0.00 )× 38.4 = </t>
  </si>
  <si>
    <r>
      <t>qbase0=90(1-e</t>
    </r>
    <r>
      <rPr>
        <vertAlign val="superscript"/>
        <sz val="9"/>
        <rFont val="ＭＳ Ｐゴシック"/>
        <family val="3"/>
        <charset val="128"/>
      </rPr>
      <t>-0.31Kt</t>
    </r>
    <r>
      <rPr>
        <sz val="9"/>
        <rFont val="ＭＳ Ｐゴシック"/>
        <family val="3"/>
        <charset val="128"/>
      </rPr>
      <t>)[W/㎡]</t>
    </r>
    <phoneticPr fontId="5"/>
  </si>
  <si>
    <r>
      <t>qbase1=43(1-e</t>
    </r>
    <r>
      <rPr>
        <vertAlign val="superscript"/>
        <sz val="9"/>
        <rFont val="ＭＳ Ｐゴシック"/>
        <family val="3"/>
        <charset val="128"/>
      </rPr>
      <t>-0.70Kt</t>
    </r>
    <r>
      <rPr>
        <sz val="9"/>
        <rFont val="ＭＳ Ｐゴシック"/>
        <family val="3"/>
        <charset val="128"/>
      </rPr>
      <t>)[W/㎡]</t>
    </r>
    <phoneticPr fontId="5"/>
  </si>
  <si>
    <t>①顕熱負荷1 [W]</t>
    <phoneticPr fontId="5"/>
  </si>
  <si>
    <t>面積S[m2]</t>
    <phoneticPr fontId="5"/>
  </si>
  <si>
    <t>更衣室(F)</t>
  </si>
  <si>
    <t>9時-18時</t>
    <phoneticPr fontId="5"/>
  </si>
  <si>
    <t>Jc-t</t>
  </si>
  <si>
    <t>冷房設計
最大負荷
(顕熱負荷
により決定、
Jc-t基準
採用)
↓
↓
↓</t>
    <phoneticPr fontId="5"/>
  </si>
  <si>
    <t>室NO</t>
    <phoneticPr fontId="5"/>
  </si>
  <si>
    <t>更衣室(F)</t>
    <phoneticPr fontId="3"/>
  </si>
  <si>
    <t>内部負荷</t>
    <phoneticPr fontId="5"/>
  </si>
  <si>
    <t xml:space="preserve">qst0=Cp(1+Ct)qbase0-20=1.00× (1+ 0.00 )× 60.1 -20= </t>
  </si>
  <si>
    <t xml:space="preserve">qst1=(1+1.8Ct-Csr)qbase1=(1+1.8× 0.00 - 0.00 )× 39.4 = </t>
  </si>
  <si>
    <r>
      <t>qbase0=90(1-e</t>
    </r>
    <r>
      <rPr>
        <vertAlign val="superscript"/>
        <sz val="9"/>
        <rFont val="ＭＳ Ｐゴシック"/>
        <family val="3"/>
        <charset val="128"/>
      </rPr>
      <t>-0.31Kt</t>
    </r>
    <r>
      <rPr>
        <sz val="9"/>
        <rFont val="ＭＳ Ｐゴシック"/>
        <family val="3"/>
        <charset val="128"/>
      </rPr>
      <t>)[W/㎡]</t>
    </r>
    <phoneticPr fontId="5"/>
  </si>
  <si>
    <r>
      <t>qbase1=43(1-e</t>
    </r>
    <r>
      <rPr>
        <vertAlign val="superscript"/>
        <sz val="9"/>
        <rFont val="ＭＳ Ｐゴシック"/>
        <family val="3"/>
        <charset val="128"/>
      </rPr>
      <t>-0.70Kt</t>
    </r>
    <r>
      <rPr>
        <sz val="9"/>
        <rFont val="ＭＳ Ｐゴシック"/>
        <family val="3"/>
        <charset val="128"/>
      </rPr>
      <t>)[W/㎡]</t>
    </r>
    <phoneticPr fontId="5"/>
  </si>
  <si>
    <t>面積S[m2]</t>
    <phoneticPr fontId="5"/>
  </si>
  <si>
    <t>遮蔽係数SC</t>
    <phoneticPr fontId="12"/>
  </si>
  <si>
    <t>ig</t>
    <phoneticPr fontId="5"/>
  </si>
  <si>
    <t>S・S.C.・ig</t>
    <phoneticPr fontId="12"/>
  </si>
  <si>
    <t>-</t>
    <phoneticPr fontId="5"/>
  </si>
  <si>
    <t>①顕熱負荷1 [W]</t>
    <phoneticPr fontId="5"/>
  </si>
  <si>
    <t>面積S[m2]</t>
    <phoneticPr fontId="5"/>
  </si>
  <si>
    <t>⊿t</t>
    <phoneticPr fontId="5"/>
  </si>
  <si>
    <t>S・U・⊿t</t>
    <phoneticPr fontId="5"/>
  </si>
  <si>
    <t>面積S[m2]</t>
    <phoneticPr fontId="5"/>
  </si>
  <si>
    <t>t-x基準</t>
    <phoneticPr fontId="5"/>
  </si>
  <si>
    <t>展示スペース</t>
  </si>
  <si>
    <t>9時-18時</t>
    <phoneticPr fontId="5"/>
  </si>
  <si>
    <t>冷房設計
最大負荷
(顕熱負荷
により決定、
Jc-t基準
採用)
↓
↓
↓</t>
    <phoneticPr fontId="5"/>
  </si>
  <si>
    <t>暖房設計
最大負荷
(顕熱負荷
により決定、
t-Jh基準
採用)
↓
↓
↓</t>
    <phoneticPr fontId="5"/>
  </si>
  <si>
    <t>展示スペース</t>
    <phoneticPr fontId="3"/>
  </si>
  <si>
    <t>設計外気風量[m3/h]</t>
    <phoneticPr fontId="5"/>
  </si>
  <si>
    <t>隙間風→→</t>
    <phoneticPr fontId="5"/>
  </si>
  <si>
    <t>冷暖</t>
    <phoneticPr fontId="3"/>
  </si>
  <si>
    <t>E</t>
    <phoneticPr fontId="3"/>
  </si>
  <si>
    <t>E,W</t>
    <phoneticPr fontId="3"/>
  </si>
  <si>
    <t xml:space="preserve">qst0=13(1+Ct+Csr)Ag/Af+7=13×(1+ 0.00+1.80)×0.10 +7 = </t>
  </si>
  <si>
    <t xml:space="preserve">qst1=47(1+0.6Ct)Ag/Af+10=47×(1+0.6×0.00)×0.10 +10 = </t>
  </si>
  <si>
    <t xml:space="preserve">qst0=Cp(1+Ct)qbase0-20=1.00× (1+ 0.00 )× 49.8 -20= </t>
  </si>
  <si>
    <t xml:space="preserve">qst1=(1+1.8Ct-Csr)qbase1=(1+1.8× 0.00 - 0.30 )× 36.0 = </t>
  </si>
  <si>
    <t>系統別集計表</t>
  </si>
  <si>
    <t xml:space="preserve">  空調機系統ごとに集計し、外気負荷を考慮した空調機の容量を求めています。</t>
  </si>
  <si>
    <t>[g/kg]</t>
    <phoneticPr fontId="12"/>
  </si>
  <si>
    <t>[kJ/kg]</t>
    <phoneticPr fontId="12"/>
  </si>
  <si>
    <t>[％]</t>
    <phoneticPr fontId="12"/>
  </si>
  <si>
    <t>[℃]</t>
    <phoneticPr fontId="12"/>
  </si>
  <si>
    <t>[g/kg]</t>
    <phoneticPr fontId="12"/>
  </si>
  <si>
    <t>[kJ/kg]</t>
    <phoneticPr fontId="12"/>
  </si>
  <si>
    <t>[％]</t>
    <phoneticPr fontId="12"/>
  </si>
  <si>
    <t>[℃]</t>
    <phoneticPr fontId="12"/>
  </si>
  <si>
    <t>暖房</t>
    <rPh sb="0" eb="2">
      <t>ダンボウ</t>
    </rPh>
    <phoneticPr fontId="12"/>
  </si>
  <si>
    <t>冷房</t>
    <rPh sb="0" eb="2">
      <t>レイボウ</t>
    </rPh>
    <phoneticPr fontId="12"/>
  </si>
  <si>
    <t>合計</t>
    <phoneticPr fontId="12"/>
  </si>
  <si>
    <t>他ゾーンへ</t>
    <rPh sb="0" eb="1">
      <t>タ</t>
    </rPh>
    <phoneticPr fontId="36"/>
  </si>
  <si>
    <t>給気
風量</t>
    <rPh sb="0" eb="2">
      <t>キュウキ</t>
    </rPh>
    <rPh sb="3" eb="5">
      <t>フウリョウ</t>
    </rPh>
    <phoneticPr fontId="12"/>
  </si>
  <si>
    <t>顕熱負荷
より</t>
    <rPh sb="0" eb="2">
      <t>ケンネツ</t>
    </rPh>
    <rPh sb="2" eb="4">
      <t>フカ</t>
    </rPh>
    <phoneticPr fontId="36"/>
  </si>
  <si>
    <t>絶対湿度</t>
    <rPh sb="0" eb="2">
      <t>ゼッタイ</t>
    </rPh>
    <rPh sb="2" eb="4">
      <t>シツド</t>
    </rPh>
    <phoneticPr fontId="12"/>
  </si>
  <si>
    <t>比エンタルピ</t>
    <rPh sb="0" eb="1">
      <t>ヒ</t>
    </rPh>
    <phoneticPr fontId="12"/>
  </si>
  <si>
    <t>相対湿度</t>
    <rPh sb="0" eb="2">
      <t>ソウタイ</t>
    </rPh>
    <rPh sb="2" eb="4">
      <t>シツド</t>
    </rPh>
    <phoneticPr fontId="12"/>
  </si>
  <si>
    <t>乾球温度</t>
    <rPh sb="0" eb="2">
      <t>カンキュウ</t>
    </rPh>
    <rPh sb="2" eb="4">
      <t>オンド</t>
    </rPh>
    <phoneticPr fontId="12"/>
  </si>
  <si>
    <t>④給気
風量</t>
    <rPh sb="1" eb="3">
      <t>キュウキ</t>
    </rPh>
    <rPh sb="4" eb="6">
      <t>フウリョウ</t>
    </rPh>
    <phoneticPr fontId="12"/>
  </si>
  <si>
    <t>③換気回数より</t>
    <rPh sb="1" eb="3">
      <t>カンキ</t>
    </rPh>
    <rPh sb="3" eb="5">
      <t>カイスウ</t>
    </rPh>
    <phoneticPr fontId="36"/>
  </si>
  <si>
    <t>②顕熱
負荷より</t>
    <rPh sb="1" eb="3">
      <t>ケンネツ</t>
    </rPh>
    <rPh sb="4" eb="6">
      <t>フカ</t>
    </rPh>
    <phoneticPr fontId="36"/>
  </si>
  <si>
    <t>①設計
外気量</t>
    <rPh sb="1" eb="3">
      <t>セッケイ</t>
    </rPh>
    <rPh sb="4" eb="6">
      <t>ガイキ</t>
    </rPh>
    <rPh sb="6" eb="7">
      <t>リョウ</t>
    </rPh>
    <phoneticPr fontId="36"/>
  </si>
  <si>
    <t>合計</t>
    <rPh sb="0" eb="2">
      <t>ゴウケイ</t>
    </rPh>
    <phoneticPr fontId="12"/>
  </si>
  <si>
    <t>潜熱
負荷</t>
    <phoneticPr fontId="12"/>
  </si>
  <si>
    <t>暖房時</t>
    <rPh sb="0" eb="2">
      <t>ダンボウ</t>
    </rPh>
    <rPh sb="2" eb="3">
      <t>ジ</t>
    </rPh>
    <phoneticPr fontId="12"/>
  </si>
  <si>
    <t>冷房時</t>
    <rPh sb="0" eb="2">
      <t>レイボウ</t>
    </rPh>
    <rPh sb="2" eb="3">
      <t>ジ</t>
    </rPh>
    <phoneticPr fontId="12"/>
  </si>
  <si>
    <t>換気
回数
[回/h]</t>
    <phoneticPr fontId="12"/>
  </si>
  <si>
    <t>送風量[㎥/h]</t>
    <phoneticPr fontId="36"/>
  </si>
  <si>
    <t>吹出温度差[K]</t>
    <rPh sb="0" eb="2">
      <t>フキダ</t>
    </rPh>
    <rPh sb="2" eb="5">
      <t>オンドサ</t>
    </rPh>
    <phoneticPr fontId="36"/>
  </si>
  <si>
    <t>暖房負荷（最大値）[W]</t>
    <rPh sb="0" eb="2">
      <t>ダンボウ</t>
    </rPh>
    <rPh sb="5" eb="8">
      <t>サイダイチ</t>
    </rPh>
    <phoneticPr fontId="39"/>
  </si>
  <si>
    <t>再熱
負荷
[W]</t>
    <rPh sb="0" eb="1">
      <t>サイ</t>
    </rPh>
    <rPh sb="1" eb="2">
      <t>ネツ</t>
    </rPh>
    <phoneticPr fontId="36"/>
  </si>
  <si>
    <t>冷房負荷（最大値）[W]</t>
    <rPh sb="5" eb="8">
      <t>サイダイチ</t>
    </rPh>
    <phoneticPr fontId="39"/>
  </si>
  <si>
    <t>容積
[㎥]</t>
    <phoneticPr fontId="36"/>
  </si>
  <si>
    <t>天井高
[m]</t>
    <phoneticPr fontId="12"/>
  </si>
  <si>
    <t>面積
[㎡]</t>
    <phoneticPr fontId="12"/>
  </si>
  <si>
    <t>室　　　　名</t>
    <phoneticPr fontId="36"/>
  </si>
  <si>
    <t>端数切上前の
の風量[㎥/h]</t>
    <rPh sb="0" eb="2">
      <t>ハスウ</t>
    </rPh>
    <rPh sb="2" eb="4">
      <t>キリアゲ</t>
    </rPh>
    <rPh sb="4" eb="5">
      <t>マエ</t>
    </rPh>
    <rPh sb="8" eb="10">
      <t>フウリョウ</t>
    </rPh>
    <phoneticPr fontId="12"/>
  </si>
  <si>
    <t>実際の部屋の温湿度（設計時の給気温湿度条件を固定した場合の値）</t>
    <rPh sb="0" eb="2">
      <t>ジッサイ</t>
    </rPh>
    <rPh sb="3" eb="5">
      <t>ヘヤ</t>
    </rPh>
    <rPh sb="6" eb="9">
      <t>オンシツド</t>
    </rPh>
    <rPh sb="10" eb="13">
      <t>セッケイジ</t>
    </rPh>
    <rPh sb="14" eb="16">
      <t>キュウキ</t>
    </rPh>
    <rPh sb="16" eb="19">
      <t>オンシツド</t>
    </rPh>
    <rPh sb="19" eb="21">
      <t>ジョウケン</t>
    </rPh>
    <rPh sb="22" eb="24">
      <t>コテイ</t>
    </rPh>
    <rPh sb="26" eb="28">
      <t>バアイ</t>
    </rPh>
    <rPh sb="29" eb="30">
      <t>アタイ</t>
    </rPh>
    <phoneticPr fontId="12"/>
  </si>
  <si>
    <t>設計時の部屋の温湿度</t>
    <rPh sb="0" eb="3">
      <t>セッケイジ</t>
    </rPh>
    <rPh sb="4" eb="6">
      <t>ヘヤ</t>
    </rPh>
    <rPh sb="7" eb="10">
      <t>オンシツド</t>
    </rPh>
    <phoneticPr fontId="12"/>
  </si>
  <si>
    <t>データチェック用の欄</t>
    <rPh sb="7" eb="8">
      <t>ヨウ</t>
    </rPh>
    <rPh sb="9" eb="10">
      <t>ラン</t>
    </rPh>
    <phoneticPr fontId="12"/>
  </si>
  <si>
    <t>AC-2系統熱負荷集計および風量一覧表</t>
  </si>
  <si>
    <t>合　　　計</t>
  </si>
  <si>
    <t>顕熱
負荷</t>
  </si>
  <si>
    <t>冷房時の系統全体の顕熱比= 0.93[-]</t>
  </si>
  <si>
    <t>注：吹出温度差は風量計算用の値で、実際の値ではありません。</t>
  </si>
  <si>
    <t>26.0[℃]
(26.0[℃])</t>
    <phoneticPr fontId="3"/>
  </si>
  <si>
    <t>50[％]
(56[％])</t>
    <phoneticPr fontId="3"/>
  </si>
  <si>
    <t>53.0[kJ/kg]
(56.4[kJ/kg])</t>
    <phoneticPr fontId="3"/>
  </si>
  <si>
    <t>10.5[g/kg]
(11.9[g/kg])</t>
    <phoneticPr fontId="3"/>
  </si>
  <si>
    <t>冷房設計温湿度目標値（( )内は空調機設計条件における実際値）</t>
    <phoneticPr fontId="5"/>
  </si>
  <si>
    <t>26.0[℃]
(26.0[℃])</t>
    <phoneticPr fontId="3"/>
  </si>
  <si>
    <t>50[％]
(56[％])</t>
    <phoneticPr fontId="3"/>
  </si>
  <si>
    <t>53.0[kJ/kg]
(56.4[kJ/kg])</t>
    <phoneticPr fontId="3"/>
  </si>
  <si>
    <t>10.5[g/kg]
(11.9[g/kg])</t>
    <phoneticPr fontId="3"/>
  </si>
  <si>
    <t>冷房設計温湿度目標値（( )内は空調機設計条件における実際値）</t>
    <phoneticPr fontId="5"/>
  </si>
  <si>
    <t>50[％]
(56[％])</t>
    <phoneticPr fontId="3"/>
  </si>
  <si>
    <t>53.0[kJ/kg]
(56.4[kJ/kg])</t>
    <phoneticPr fontId="3"/>
  </si>
  <si>
    <t>10.5[g/kg]
(11.9[g/kg])</t>
    <phoneticPr fontId="3"/>
  </si>
  <si>
    <t>22.0[℃]
(24.6[℃])</t>
    <phoneticPr fontId="3"/>
  </si>
  <si>
    <t>40[％]
(34[％])</t>
    <phoneticPr fontId="3"/>
  </si>
  <si>
    <t>38.9[kJ/kg]
(41.5[kJ/kg])</t>
    <phoneticPr fontId="3"/>
  </si>
  <si>
    <t>6.6[g/kg]
(6.6[g/kg])</t>
    <phoneticPr fontId="3"/>
  </si>
  <si>
    <t>暖房設計温湿度目標値（( )内は空調機設計条件における実際値）</t>
    <phoneticPr fontId="5"/>
  </si>
  <si>
    <t>外気風量[㎥/h]</t>
    <phoneticPr fontId="5"/>
  </si>
  <si>
    <t>外気風量[㎥/h]</t>
    <phoneticPr fontId="5"/>
  </si>
  <si>
    <t>外気負荷 [W]</t>
    <phoneticPr fontId="5"/>
  </si>
  <si>
    <t>外気風量×1.2×⊿h[kJ/kg]/3.6</t>
  </si>
  <si>
    <t>系統別集計表参照</t>
    <phoneticPr fontId="3"/>
  </si>
  <si>
    <t>全負荷 [W]</t>
    <phoneticPr fontId="5"/>
  </si>
  <si>
    <t>加湿量[kg/h]</t>
    <phoneticPr fontId="5"/>
  </si>
  <si>
    <t>外気風量×1.2×⊿x[g/kg]/1000</t>
  </si>
  <si>
    <t>26.0[℃]
(26.0[℃])</t>
    <phoneticPr fontId="3"/>
  </si>
  <si>
    <t>50[％]
(59[％])</t>
    <phoneticPr fontId="3"/>
  </si>
  <si>
    <t>53.0[kJ/kg]
(57.7[kJ/kg])</t>
    <phoneticPr fontId="3"/>
  </si>
  <si>
    <t>10.5[g/kg]
(12.4[g/kg])</t>
    <phoneticPr fontId="3"/>
  </si>
  <si>
    <t>冷房設計温湿度目標値（( )内は空調機設計条件における実際値）</t>
    <phoneticPr fontId="5"/>
  </si>
  <si>
    <t>50[％]
(59[％])</t>
    <phoneticPr fontId="3"/>
  </si>
  <si>
    <t>53.0[kJ/kg]
(57.7[kJ/kg])</t>
    <phoneticPr fontId="3"/>
  </si>
  <si>
    <t>10.5[g/kg]
(12.4[g/kg])</t>
    <phoneticPr fontId="3"/>
  </si>
  <si>
    <t>50[％]
(59[％])</t>
    <phoneticPr fontId="3"/>
  </si>
  <si>
    <t>53.0[kJ/kg]
(57.7[kJ/kg])</t>
    <phoneticPr fontId="3"/>
  </si>
  <si>
    <t>10.5[g/kg]
(12.4[g/kg])</t>
    <phoneticPr fontId="3"/>
  </si>
  <si>
    <t>22.0[℃]
(17.7[℃])</t>
    <phoneticPr fontId="3"/>
  </si>
  <si>
    <t>40[％]
(52[％])</t>
    <phoneticPr fontId="3"/>
  </si>
  <si>
    <t>38.9[kJ/kg]
(34.5[kJ/kg])</t>
    <phoneticPr fontId="3"/>
  </si>
  <si>
    <t>6.6[g/kg]
(6.6[g/kg])</t>
    <phoneticPr fontId="3"/>
  </si>
  <si>
    <t>暖房設計温湿度目標値（( )内は空調機設計条件における実際値）</t>
    <phoneticPr fontId="5"/>
  </si>
  <si>
    <t>26.0[℃]
(26.0[℃])</t>
    <phoneticPr fontId="3"/>
  </si>
  <si>
    <t>50[％]
(58[％])</t>
    <phoneticPr fontId="3"/>
  </si>
  <si>
    <t>53.0[kJ/kg]
(57.5[kJ/kg])</t>
    <phoneticPr fontId="3"/>
  </si>
  <si>
    <t>10.5[g/kg]
(12.3[g/kg])</t>
    <phoneticPr fontId="3"/>
  </si>
  <si>
    <t>50[％]
(58[％])</t>
    <phoneticPr fontId="3"/>
  </si>
  <si>
    <t>10.5[g/kg]
(12.3[g/kg])</t>
    <phoneticPr fontId="3"/>
  </si>
  <si>
    <t>50[％]
(58[％])</t>
    <phoneticPr fontId="3"/>
  </si>
  <si>
    <t>22.0[℃]
(18.7[℃])</t>
    <phoneticPr fontId="3"/>
  </si>
  <si>
    <t>40[％]
(49[％])</t>
    <phoneticPr fontId="3"/>
  </si>
  <si>
    <t>38.9[kJ/kg]
(35.6[kJ/kg])</t>
    <phoneticPr fontId="3"/>
  </si>
  <si>
    <t>6.6[g/kg]
(6.6[g/kg])</t>
    <phoneticPr fontId="3"/>
  </si>
  <si>
    <t>暖房設計温湿度目標値（( )内は空調機設計条件における実際値）</t>
    <phoneticPr fontId="5"/>
  </si>
  <si>
    <t>外気風量[㎥/h]</t>
    <phoneticPr fontId="5"/>
  </si>
  <si>
    <t>26.0[℃]
(26.0[℃])</t>
    <phoneticPr fontId="3"/>
  </si>
  <si>
    <t>50[％]
(56[％])</t>
    <phoneticPr fontId="3"/>
  </si>
  <si>
    <t>53.0[kJ/kg]
(56.3[kJ/kg])</t>
    <phoneticPr fontId="3"/>
  </si>
  <si>
    <t>10.5[g/kg]
(11.8[g/kg])</t>
    <phoneticPr fontId="3"/>
  </si>
  <si>
    <t>冷房設計温湿度目標値（( )内は空調機設計条件における実際値）</t>
    <phoneticPr fontId="5"/>
  </si>
  <si>
    <t>50[％]
(56[％])</t>
    <phoneticPr fontId="3"/>
  </si>
  <si>
    <t>53.0[kJ/kg]
(56.3[kJ/kg])</t>
    <phoneticPr fontId="3"/>
  </si>
  <si>
    <t>53.0[kJ/kg]
(56.3[kJ/kg])</t>
    <phoneticPr fontId="3"/>
  </si>
  <si>
    <t>22.0[℃]
(19.8[℃])</t>
    <phoneticPr fontId="3"/>
  </si>
  <si>
    <t>40[％]
(46[％])</t>
    <phoneticPr fontId="3"/>
  </si>
  <si>
    <t>38.9[kJ/kg]
(36.6[kJ/kg])</t>
    <phoneticPr fontId="3"/>
  </si>
  <si>
    <t>6.6[g/kg]
(6.6[g/kg])</t>
    <phoneticPr fontId="3"/>
  </si>
  <si>
    <t>暖房設計温湿度目標値（( )内は空調機設計条件における実際値）</t>
    <phoneticPr fontId="5"/>
  </si>
  <si>
    <t>外気風量[㎥/h]</t>
    <phoneticPr fontId="5"/>
  </si>
  <si>
    <t>その他の負荷</t>
  </si>
  <si>
    <t>■空調機のファンによる発熱負荷</t>
  </si>
  <si>
    <t>ファンによる温度上昇=500/(1.006×1.2×1000×(60/100))≒0.69[K]</t>
  </si>
  <si>
    <t>発熱負荷=4,460×0.69×1.006×1.2×(1000 / 3600)≒1,032[W]</t>
  </si>
  <si>
    <t>外気条件，システム条件など</t>
    <rPh sb="0" eb="2">
      <t>ガイキ</t>
    </rPh>
    <rPh sb="2" eb="4">
      <t>ジョウケン</t>
    </rPh>
    <rPh sb="9" eb="11">
      <t>ジョウケン</t>
    </rPh>
    <phoneticPr fontId="12"/>
  </si>
  <si>
    <t>湿り空気 h-x 線図
大気圧 101.325[kPa]</t>
  </si>
  <si>
    <t xml:space="preserve"> </t>
  </si>
  <si>
    <t>①：外気(冷房)</t>
  </si>
  <si>
    <t>②：外気-還気</t>
  </si>
  <si>
    <t>　 混合点=冷却コイル入口</t>
  </si>
  <si>
    <t>③：冷却コイル出口</t>
  </si>
  <si>
    <t>④：給気(冷房)</t>
  </si>
  <si>
    <t>⑤：室内(冷房)</t>
  </si>
  <si>
    <t>⑥：外気(暖房)</t>
  </si>
  <si>
    <t>⑦：外気-還気</t>
  </si>
  <si>
    <t>　 混合点(暖房)</t>
  </si>
  <si>
    <t>⑧：加熱コイル出口(暖房)</t>
  </si>
  <si>
    <t>⑨：給気(暖房)</t>
  </si>
  <si>
    <t>⑩：室内(暖房)</t>
  </si>
  <si>
    <t>凡例</t>
    <phoneticPr fontId="3"/>
  </si>
  <si>
    <t>■冷房設計用外気条件：33.7[℃]，56[％](h-t基準)，暖房設計用外気条件：2.0[℃]，32[％](t-x基準)，外気比：0.12[-]</t>
  </si>
  <si>
    <t>■空調機形式：循環式 ，除湿制御：なし ，加湿制御：あり(滴下浸透式)</t>
  </si>
  <si>
    <t>AC-2系統空気線図</t>
  </si>
  <si>
    <t>　設計風量</t>
  </si>
  <si>
    <r>
      <t>空調機風量=4,460[m</t>
    </r>
    <r>
      <rPr>
        <vertAlign val="superscript"/>
        <sz val="9"/>
        <rFont val="ＭＳ Ｐゴシック"/>
        <family val="3"/>
        <charset val="128"/>
      </rPr>
      <t>3</t>
    </r>
    <r>
      <rPr>
        <sz val="9"/>
        <rFont val="ＭＳ Ｐゴシック"/>
        <family val="3"/>
        <charset val="128"/>
      </rPr>
      <t>/h]，外気風量=530[m</t>
    </r>
    <r>
      <rPr>
        <vertAlign val="superscript"/>
        <sz val="9"/>
        <rFont val="ＭＳ Ｐゴシック"/>
        <family val="3"/>
        <charset val="128"/>
      </rPr>
      <t>3</t>
    </r>
    <r>
      <rPr>
        <sz val="9"/>
        <rFont val="ＭＳ Ｐゴシック"/>
        <family val="3"/>
        <charset val="128"/>
      </rPr>
      <t>/h]</t>
    </r>
  </si>
  <si>
    <t>　冷房関連</t>
  </si>
  <si>
    <t>■冷却コイル容量(②→③のプロセス)</t>
  </si>
  <si>
    <r>
      <t>4,460[m</t>
    </r>
    <r>
      <rPr>
        <vertAlign val="superscript"/>
        <sz val="9"/>
        <rFont val="ＭＳ Ｐゴシック"/>
        <family val="3"/>
        <charset val="128"/>
      </rPr>
      <t>3</t>
    </r>
    <r>
      <rPr>
        <sz val="9"/>
        <rFont val="ＭＳ Ｐゴシック"/>
        <family val="3"/>
        <charset val="128"/>
      </rPr>
      <t>/h]×1.2[kg/m</t>
    </r>
    <r>
      <rPr>
        <vertAlign val="superscript"/>
        <sz val="9"/>
        <rFont val="ＭＳ Ｐゴシック"/>
        <family val="3"/>
        <charset val="128"/>
      </rPr>
      <t>3</t>
    </r>
    <r>
      <rPr>
        <sz val="9"/>
        <rFont val="ＭＳ Ｐゴシック"/>
        <family val="3"/>
        <charset val="128"/>
      </rPr>
      <t>]×(59.5 - 47.0)[kJ/kg] / 3600[sec/h] ≒ 18.6[kW]</t>
    </r>
  </si>
  <si>
    <t>入口空気条件：乾球温度= 26.9[℃]，湿球温度= 20.7[℃]</t>
  </si>
  <si>
    <t>　暖房関連</t>
  </si>
  <si>
    <t>■加熱コイル容量(⑦→⑧のプロセス)</t>
  </si>
  <si>
    <r>
      <t>4,460[m</t>
    </r>
    <r>
      <rPr>
        <vertAlign val="superscript"/>
        <sz val="9"/>
        <rFont val="ＭＳ Ｐゴシック"/>
        <family val="3"/>
        <charset val="128"/>
      </rPr>
      <t>3</t>
    </r>
    <r>
      <rPr>
        <sz val="9"/>
        <rFont val="ＭＳ Ｐゴシック"/>
        <family val="3"/>
        <charset val="128"/>
      </rPr>
      <t>/h]×1.006[kJ/kg･K]×1.2[kg/m</t>
    </r>
    <r>
      <rPr>
        <vertAlign val="superscript"/>
        <sz val="9"/>
        <rFont val="ＭＳ Ｐゴシック"/>
        <family val="3"/>
        <charset val="128"/>
      </rPr>
      <t>3</t>
    </r>
    <r>
      <rPr>
        <sz val="9"/>
        <rFont val="ＭＳ Ｐゴシック"/>
        <family val="3"/>
        <charset val="128"/>
      </rPr>
      <t>]</t>
    </r>
  </si>
  <si>
    <t>　×(34.16 - 19.60)[K] / 3600[sec/h] ≒ 21.8[kW]</t>
  </si>
  <si>
    <t>入口空気条件：乾球温度= 19.6[℃]，湿球温度= 12.4[℃]</t>
  </si>
  <si>
    <t>■加湿器容量(⑧→⑨のプロセス)</t>
  </si>
  <si>
    <r>
      <t>4,460[m</t>
    </r>
    <r>
      <rPr>
        <vertAlign val="superscript"/>
        <sz val="9"/>
        <rFont val="ＭＳ Ｐゴシック"/>
        <family val="3"/>
        <charset val="128"/>
      </rPr>
      <t>3</t>
    </r>
    <r>
      <rPr>
        <sz val="9"/>
        <rFont val="ＭＳ Ｐゴシック"/>
        <family val="3"/>
        <charset val="128"/>
      </rPr>
      <t>/h]×1.2[kg/m</t>
    </r>
    <r>
      <rPr>
        <vertAlign val="superscript"/>
        <sz val="9"/>
        <rFont val="ＭＳ Ｐゴシック"/>
        <family val="3"/>
        <charset val="128"/>
      </rPr>
      <t>3</t>
    </r>
    <r>
      <rPr>
        <sz val="9"/>
        <rFont val="ＭＳ Ｐゴシック"/>
        <family val="3"/>
        <charset val="128"/>
      </rPr>
      <t>]×(0.0066 - 0.0060)[kg/kg] ≒ 3.3[kg/h]</t>
    </r>
  </si>
  <si>
    <t>入口空気条件：乾球温度= 34.2[℃]，絶対湿度= 0.0060[kg/kg]</t>
  </si>
  <si>
    <t>　注記</t>
  </si>
  <si>
    <t>■③→④のプロセスはファン、ダクト系の摩擦熱による温度上昇を示します。</t>
  </si>
  <si>
    <t>■各コイルなどの容量および加湿容量の値は小数第二位で切り上げています。</t>
  </si>
  <si>
    <t>■乾き空気の密度は厳密には乾球温度により変化しますが、</t>
  </si>
  <si>
    <r>
      <t>　 計算時は乾球温度約 20[℃]のときの値 1.2[kg/m</t>
    </r>
    <r>
      <rPr>
        <vertAlign val="superscript"/>
        <sz val="9"/>
        <rFont val="ＭＳ Ｐゴシック"/>
        <family val="3"/>
        <charset val="128"/>
      </rPr>
      <t>3</t>
    </r>
    <r>
      <rPr>
        <sz val="9"/>
        <rFont val="ＭＳ Ｐゴシック"/>
        <family val="3"/>
        <charset val="128"/>
      </rPr>
      <t>] としています。</t>
    </r>
  </si>
  <si>
    <t>■乾き空気の定圧比熱も同様に一定値 1.006[kJ/kg･K] としています。</t>
  </si>
  <si>
    <t>AC-2系統空調機容量の計算</t>
  </si>
  <si>
    <t>熱源集計表</t>
  </si>
  <si>
    <t xml:space="preserve">  熱源負荷を集計しています。</t>
  </si>
  <si>
    <t>備考</t>
    <rPh sb="0" eb="2">
      <t>ビコウ</t>
    </rPh>
    <phoneticPr fontId="12"/>
  </si>
  <si>
    <t>冷房負荷[W]</t>
    <phoneticPr fontId="39"/>
  </si>
  <si>
    <t>R-1系統冷熱源集計表</t>
  </si>
  <si>
    <t>■AC-2系統 (同系統セット数=1)</t>
  </si>
  <si>
    <t>ファン発熱負荷</t>
  </si>
  <si>
    <t>AC-2系統合計</t>
  </si>
  <si>
    <t>h-t基準合計</t>
    <phoneticPr fontId="3"/>
  </si>
  <si>
    <t>Jc-t基準合計</t>
    <phoneticPr fontId="3"/>
  </si>
  <si>
    <t>Js-t基準合計</t>
    <phoneticPr fontId="3"/>
  </si>
  <si>
    <t>最大値(h-t基準，13時)を含む基準</t>
  </si>
  <si>
    <t>上記÷1000 [kW] (小数点以下切上げ)</t>
  </si>
  <si>
    <r>
      <t>単位負荷[W/m</t>
    </r>
    <r>
      <rPr>
        <b/>
        <vertAlign val="superscript"/>
        <sz val="9"/>
        <rFont val="ＭＳ Ｐゴシック"/>
        <family val="3"/>
        <charset val="128"/>
      </rPr>
      <t>2</t>
    </r>
    <r>
      <rPr>
        <b/>
        <sz val="9"/>
        <rFont val="ＭＳ Ｐゴシック"/>
        <family val="3"/>
        <charset val="128"/>
      </rPr>
      <t>] (小数点以下四捨五入)</t>
    </r>
  </si>
  <si>
    <t>暖房負荷[W]</t>
    <rPh sb="0" eb="2">
      <t>ダンボウ</t>
    </rPh>
    <phoneticPr fontId="39"/>
  </si>
  <si>
    <t>面積
[㎡]</t>
    <phoneticPr fontId="12"/>
  </si>
  <si>
    <t>室　　　　名</t>
    <phoneticPr fontId="36"/>
  </si>
  <si>
    <t>R-1系統温熱源集計表</t>
  </si>
  <si>
    <t>総　合　計</t>
  </si>
  <si>
    <t>一時側
蒸気量
[kg/h]</t>
    <rPh sb="0" eb="2">
      <t>イチジ</t>
    </rPh>
    <rPh sb="2" eb="3">
      <t>ガワ</t>
    </rPh>
    <rPh sb="4" eb="6">
      <t>ジョウキ</t>
    </rPh>
    <rPh sb="6" eb="7">
      <t>リョウ</t>
    </rPh>
    <phoneticPr fontId="36"/>
  </si>
  <si>
    <t>蒸気量
[kg/h]</t>
    <rPh sb="0" eb="2">
      <t>ジョウキ</t>
    </rPh>
    <rPh sb="2" eb="3">
      <t>リョウ</t>
    </rPh>
    <phoneticPr fontId="36"/>
  </si>
  <si>
    <t>給水量
[kg/h]</t>
    <rPh sb="0" eb="2">
      <t>キュウスイ</t>
    </rPh>
    <rPh sb="2" eb="3">
      <t>リョウ</t>
    </rPh>
    <phoneticPr fontId="36"/>
  </si>
  <si>
    <t>加湿量
[kg/h]</t>
    <rPh sb="0" eb="2">
      <t>カシツ</t>
    </rPh>
    <rPh sb="2" eb="3">
      <t>リョウ</t>
    </rPh>
    <phoneticPr fontId="36"/>
  </si>
  <si>
    <t>熱交換
効率
[％]</t>
    <rPh sb="0" eb="3">
      <t>ネツコウカン</t>
    </rPh>
    <rPh sb="4" eb="6">
      <t>コウリツ</t>
    </rPh>
    <phoneticPr fontId="36"/>
  </si>
  <si>
    <t>一時側蒸気
蒸発潜熱
[kJ/kg]</t>
    <rPh sb="0" eb="2">
      <t>イチジ</t>
    </rPh>
    <rPh sb="2" eb="3">
      <t>ガワ</t>
    </rPh>
    <rPh sb="3" eb="5">
      <t>ジョウキ</t>
    </rPh>
    <rPh sb="6" eb="8">
      <t>ジョウハツ</t>
    </rPh>
    <rPh sb="8" eb="10">
      <t>センネツ</t>
    </rPh>
    <phoneticPr fontId="36"/>
  </si>
  <si>
    <t>加湿蒸気
比エンタルピ
[kJ/kg]</t>
    <rPh sb="0" eb="2">
      <t>カシツ</t>
    </rPh>
    <rPh sb="2" eb="4">
      <t>ジョウキ</t>
    </rPh>
    <rPh sb="5" eb="6">
      <t>ヒ</t>
    </rPh>
    <phoneticPr fontId="36"/>
  </si>
  <si>
    <t>給水有効
利用率
[％]</t>
    <rPh sb="0" eb="2">
      <t>キュウスイ</t>
    </rPh>
    <rPh sb="2" eb="4">
      <t>ユウコウ</t>
    </rPh>
    <rPh sb="5" eb="7">
      <t>リヨウ</t>
    </rPh>
    <rPh sb="7" eb="8">
      <t>リツ</t>
    </rPh>
    <phoneticPr fontId="36"/>
  </si>
  <si>
    <t>加湿器
種別</t>
    <rPh sb="0" eb="2">
      <t>カシツ</t>
    </rPh>
    <rPh sb="2" eb="3">
      <t>キ</t>
    </rPh>
    <rPh sb="4" eb="6">
      <t>シュベツ</t>
    </rPh>
    <phoneticPr fontId="36"/>
  </si>
  <si>
    <t>加湿量、給水量、蒸気量、一時側蒸気量</t>
    <rPh sb="0" eb="2">
      <t>カシツ</t>
    </rPh>
    <rPh sb="2" eb="3">
      <t>リョウ</t>
    </rPh>
    <rPh sb="4" eb="6">
      <t>キュウスイ</t>
    </rPh>
    <rPh sb="6" eb="7">
      <t>リョウ</t>
    </rPh>
    <rPh sb="8" eb="10">
      <t>ジョウキ</t>
    </rPh>
    <rPh sb="10" eb="11">
      <t>リョウ</t>
    </rPh>
    <rPh sb="12" eb="14">
      <t>イチジ</t>
    </rPh>
    <rPh sb="14" eb="15">
      <t>ガワ</t>
    </rPh>
    <rPh sb="15" eb="17">
      <t>ジョウキ</t>
    </rPh>
    <rPh sb="17" eb="18">
      <t>リョウ</t>
    </rPh>
    <phoneticPr fontId="12"/>
  </si>
  <si>
    <t>加湿器仕様</t>
    <rPh sb="0" eb="2">
      <t>カシツ</t>
    </rPh>
    <rPh sb="2" eb="3">
      <t>キ</t>
    </rPh>
    <rPh sb="3" eb="5">
      <t>シヨウ</t>
    </rPh>
    <phoneticPr fontId="12"/>
  </si>
  <si>
    <t>市水系統加湿源集計表</t>
  </si>
  <si>
    <t>滴下浸透式</t>
  </si>
  <si>
    <r>
      <t>単位負荷[g/m</t>
    </r>
    <r>
      <rPr>
        <b/>
        <vertAlign val="superscript"/>
        <sz val="9"/>
        <rFont val="ＭＳ Ｐゴシック"/>
        <family val="3"/>
        <charset val="128"/>
      </rPr>
      <t>2</t>
    </r>
    <r>
      <rPr>
        <b/>
        <sz val="9"/>
        <rFont val="ＭＳ Ｐゴシック"/>
        <family val="3"/>
        <charset val="128"/>
      </rPr>
      <t>] (小数点以下四捨五入)</t>
    </r>
  </si>
  <si>
    <t>表紙</t>
  </si>
  <si>
    <t>某社</t>
    <phoneticPr fontId="3"/>
  </si>
  <si>
    <t>某プロジェクト</t>
    <phoneticPr fontId="3"/>
  </si>
  <si>
    <t>空調換気設備</t>
    <phoneticPr fontId="3"/>
  </si>
  <si>
    <t>熱負荷計算書</t>
    <phoneticPr fontId="3"/>
  </si>
  <si>
    <t>私の会社</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</si>
</sst>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7">
    <numFmt numFmtId="176" formatCode=";;;"/>
    <numFmt numFmtId="177" formatCode="0.0"/>
    <numFmt numFmtId="178" formatCode="##&quot;時&quot;"/>
    <numFmt numFmtId="179" formatCode="0.0;\-0.0;&quot;-&quot;;"/>
    <numFmt numFmtId="180" formatCode="0.0_);[Red]\(0.0\)"/>
    <numFmt numFmtId="181" formatCode="0.0_ "/>
    <numFmt numFmtId="182" formatCode="##&quot;m&quot;"/>
    <numFmt numFmtId="183" formatCode="##&quot;時&quot;;;"/>
    <numFmt numFmtId="184" formatCode="##&quot;:00&quot;"/>
    <numFmt numFmtId="185" formatCode="0.000_ "/>
    <numFmt numFmtId="186" formatCode="0.00&quot;㎡&quot;"/>
    <numFmt numFmtId="187" formatCode="#,##0_ "/>
    <numFmt numFmtId="188" formatCode="0.000"/>
    <numFmt numFmtId="189" formatCode=";;"/>
    <numFmt numFmtId="190" formatCode="0.00&quot;[㎡]&quot;;;"/>
    <numFmt numFmtId="191" formatCode="0.0\ &quot;[m]&quot;;;"/>
    <numFmt numFmtId="192" formatCode="0.0\ &quot;[㎥]&quot;;;"/>
    <numFmt numFmtId="193" formatCode="#,###"/>
    <numFmt numFmtId="194" formatCode="0.0&quot;[℃]&quot;;\-0.0&quot;[℃]&quot;;"/>
    <numFmt numFmtId="195" formatCode="0&quot;[％]&quot;;;"/>
    <numFmt numFmtId="196" formatCode="#,###.0&quot;[kJ/kg]&quot;;;"/>
    <numFmt numFmtId="197" formatCode="0.0&quot;[g/Kg]&quot;;;"/>
    <numFmt numFmtId="198" formatCode="#,###.0&quot;kJ/kg&quot;"/>
    <numFmt numFmtId="199" formatCode="#,##0&quot;m3/h&quot;;;"/>
    <numFmt numFmtId="200" formatCode="#,##0&quot;[㎥/h]&quot;;;"/>
    <numFmt numFmtId="201" formatCode="#,##0&quot;[㎥/h]&quot;;;&quot;-&quot;"/>
    <numFmt numFmtId="202" formatCode="0&quot;:00&quot;"/>
    <numFmt numFmtId="203" formatCode="##&quot;[h]&quot;"/>
    <numFmt numFmtId="204" formatCode="0;0;&quot;-&quot;"/>
    <numFmt numFmtId="205" formatCode="0.00;\-0.00;0.00;"/>
    <numFmt numFmtId="206" formatCode="0.00;;;@"/>
    <numFmt numFmtId="207" formatCode="0.0;&quot;-&quot;0.0;&quot;-&quot;"/>
    <numFmt numFmtId="208" formatCode="0.00;;;"/>
    <numFmt numFmtId="209" formatCode="&quot;× &quot;0"/>
    <numFmt numFmtId="210" formatCode="0.00_ ;[Red]\-0.00\ "/>
    <numFmt numFmtId="211" formatCode="0.0;;;@"/>
    <numFmt numFmtId="212" formatCode="0.00_);[Red]\(0.00\)"/>
    <numFmt numFmtId="213" formatCode="#,###;;;"/>
    <numFmt numFmtId="214" formatCode="#,##0&quot;[W/人]&quot;;;&quot;&quot;"/>
    <numFmt numFmtId="215" formatCode="&quot;×&quot;#,##0&quot;[人]&quot;;;&quot;&quot;"/>
    <numFmt numFmtId="216" formatCode="&quot;-&quot;#,##0&quot;[W/人]&quot;;;&quot;&quot;"/>
    <numFmt numFmtId="217" formatCode="#,##0&quot;[W/m2]&quot;;;&quot;&quot;"/>
    <numFmt numFmtId="218" formatCode="&quot;×&quot;#,##0.00&quot;[㎡]&quot;;;&quot;&quot;"/>
    <numFmt numFmtId="219" formatCode="&quot;-&quot;#,##0&quot;[W/m2]&quot;;;&quot;&quot;"/>
    <numFmt numFmtId="220" formatCode="&quot;×&quot;0.00;&quot;×-&quot;0.00;"/>
    <numFmt numFmtId="221" formatCode="&quot;×&quot;#,##0.00_ "/>
    <numFmt numFmtId="222" formatCode="#,###&quot;[W]&quot;;;&quot;&quot;"/>
    <numFmt numFmtId="223" formatCode="&quot;-&quot;#,###&quot;[W]&quot;;;&quot;&quot;"/>
    <numFmt numFmtId="224" formatCode="0.0\ &quot;[m]&quot;"/>
    <numFmt numFmtId="225" formatCode="0.0\ &quot;[W/(m・K)]&quot;;;"/>
    <numFmt numFmtId="226" formatCode="0.0;;&quot;-&quot;;"/>
    <numFmt numFmtId="227" formatCode="0;;&quot;-&quot;;"/>
    <numFmt numFmtId="228" formatCode="0.0;;;"/>
    <numFmt numFmtId="229" formatCode="0.0\ &quot;[W/(m・K)]&quot;"/>
    <numFmt numFmtId="230" formatCode="&quot;×&quot;0.00"/>
    <numFmt numFmtId="231" formatCode="&quot;× &quot;0;&quot;× -&quot;0;;"/>
    <numFmt numFmtId="232" formatCode="0.0;\-0.0;&quot;-&quot;"/>
    <numFmt numFmtId="233" formatCode="0.0;&quot;-&quot;0.0;"/>
    <numFmt numFmtId="234" formatCode="0.00;;&quot;-&quot;;"/>
    <numFmt numFmtId="235" formatCode="&quot;×&quot;0.00&quot;×&quot;"/>
    <numFmt numFmtId="236" formatCode="&quot;×&quot;0.00&quot;×&quot;;&quot;×-&quot;0.00&quot;×&quot;;"/>
    <numFmt numFmtId="237" formatCode="&quot;×&quot;0.00;;"/>
    <numFmt numFmtId="238" formatCode="&quot;× &quot;0.0"/>
    <numFmt numFmtId="239" formatCode="#,##0.0"/>
    <numFmt numFmtId="240" formatCode="0.0;\-0.0;;"/>
    <numFmt numFmtId="241" formatCode="0.00;\-0.00;;"/>
    <numFmt numFmtId="242" formatCode="###&quot;)&quot;"/>
  </numFmts>
  <fonts count="59">
    <font>
      <sz val="9"/>
      <color theme="1"/>
      <name val="メイリオ"/>
      <family val="2"/>
      <charset val="128"/>
    </font>
    <font>
      <b/>
      <sz val="9"/>
      <color theme="1"/>
      <name val="メイリオ"/>
      <family val="2"/>
      <charset val="128"/>
    </font>
    <font>
      <sz val="11"/>
      <name val="ＭＳ Ｐゴシック"/>
      <family val="3"/>
      <charset val="128"/>
    </font>
    <font>
      <sz val="6"/>
      <name val="メイリオ"/>
      <family val="2"/>
      <charset val="128"/>
    </font>
    <font>
      <sz val="9.5"/>
      <name val="ＭＳ Ｐゴシック"/>
      <family val="3"/>
      <charset val="128"/>
    </font>
    <font>
      <sz val="9"/>
      <name val="ＭＳ Ｐゴシック"/>
      <family val="3"/>
      <charset val="128"/>
    </font>
    <font>
      <b/>
      <sz val="14"/>
      <name val="ＭＳ Ｐゴシック"/>
      <family val="3"/>
      <charset val="128"/>
    </font>
    <font>
      <sz val="9"/>
      <name val="ＭＳ ゴシック"/>
      <family val="3"/>
      <charset val="128"/>
    </font>
    <font>
      <b/>
      <sz val="16"/>
      <name val="ＭＳ Ｐゴシック"/>
      <family val="3"/>
      <charset val="128"/>
    </font>
    <font>
      <sz val="11"/>
      <color theme="1"/>
      <name val="游ゴシック"/>
      <family val="2"/>
      <charset val="128"/>
      <scheme val="minor"/>
    </font>
    <font>
      <sz val="10"/>
      <name val="ＭＳ Ｐゴシック"/>
      <family val="3"/>
      <charset val="128"/>
    </font>
    <font>
      <sz val="14"/>
      <name val="ＭＳ Ｐゴシック"/>
      <family val="3"/>
      <charset val="128"/>
    </font>
    <font>
      <sz val="6"/>
      <name val="ＭＳ Ｐゴシック"/>
      <family val="3"/>
      <charset val="128"/>
    </font>
    <font>
      <sz val="9"/>
      <name val="游ゴシック Light"/>
      <family val="3"/>
      <charset val="128"/>
      <scheme val="major"/>
    </font>
    <font>
      <sz val="8"/>
      <name val="ＭＳ Ｐゴシック"/>
      <family val="3"/>
      <charset val="128"/>
    </font>
    <font>
      <sz val="9"/>
      <name val="ＭＳ 明朝"/>
      <family val="1"/>
      <charset val="128"/>
    </font>
    <font>
      <sz val="14"/>
      <name val="游ゴシック Light"/>
      <family val="3"/>
      <charset val="128"/>
      <scheme val="major"/>
    </font>
    <font>
      <sz val="8"/>
      <name val="游ゴシック Light"/>
      <family val="3"/>
      <charset val="128"/>
      <scheme val="major"/>
    </font>
    <font>
      <b/>
      <sz val="9"/>
      <name val="ＭＳ Ｐゴシック"/>
      <family val="3"/>
      <charset val="128"/>
    </font>
    <font>
      <sz val="9"/>
      <color indexed="8"/>
      <name val="游ゴシック Light"/>
      <family val="3"/>
      <charset val="128"/>
      <scheme val="major"/>
    </font>
    <font>
      <u/>
      <sz val="9"/>
      <name val="游ゴシック Light"/>
      <family val="3"/>
      <charset val="128"/>
      <scheme val="major"/>
    </font>
    <font>
      <b/>
      <u/>
      <sz val="9"/>
      <name val="游ゴシック Light"/>
      <family val="3"/>
      <charset val="128"/>
      <scheme val="major"/>
    </font>
    <font>
      <b/>
      <sz val="9"/>
      <name val="游ゴシック Light"/>
      <family val="3"/>
      <charset val="128"/>
      <scheme val="major"/>
    </font>
    <font>
      <b/>
      <sz val="12"/>
      <name val="游ゴシック Light"/>
      <family val="3"/>
      <charset val="128"/>
      <scheme val="major"/>
    </font>
    <font>
      <sz val="11"/>
      <name val="明朝"/>
      <family val="1"/>
      <charset val="128"/>
    </font>
    <font>
      <i/>
      <sz val="9"/>
      <name val="游ゴシック Light"/>
      <family val="3"/>
      <charset val="128"/>
      <scheme val="major"/>
    </font>
    <font>
      <b/>
      <sz val="10"/>
      <name val="游ゴシック Light"/>
      <family val="3"/>
      <charset val="128"/>
      <scheme val="major"/>
    </font>
    <font>
      <sz val="10"/>
      <name val="游ゴシック Light"/>
      <family val="3"/>
      <charset val="128"/>
      <scheme val="major"/>
    </font>
    <font>
      <b/>
      <sz val="14"/>
      <name val="游ゴシック Light"/>
      <family val="3"/>
      <charset val="128"/>
      <scheme val="major"/>
    </font>
    <font>
      <sz val="11"/>
      <name val="游ゴシック Light"/>
      <family val="3"/>
      <charset val="128"/>
      <scheme val="major"/>
    </font>
    <font>
      <sz val="9"/>
      <name val="明朝"/>
      <family val="1"/>
      <charset val="128"/>
    </font>
    <font>
      <b/>
      <sz val="10"/>
      <name val="ＭＳ Ｐゴシック"/>
      <family val="3"/>
      <charset val="128"/>
    </font>
    <font>
      <b/>
      <sz val="24"/>
      <name val="ＭＳ Ｐゴシック"/>
      <family val="3"/>
      <charset val="128"/>
    </font>
    <font>
      <sz val="24"/>
      <name val="ＭＳ Ｐゴシック"/>
      <family val="3"/>
      <charset val="128"/>
    </font>
    <font>
      <vertAlign val="superscript"/>
      <sz val="9"/>
      <name val="ＭＳ Ｐゴシック"/>
      <family val="3"/>
      <charset val="128"/>
    </font>
    <font>
      <sz val="10"/>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9"/>
      <color theme="1"/>
      <name val="メイリオ"/>
      <family val="3"/>
      <charset val="128"/>
    </font>
    <font>
      <sz val="13.5"/>
      <name val="System"/>
      <charset val="128"/>
    </font>
    <font>
      <sz val="9"/>
      <name val="メイリオ"/>
      <family val="3"/>
      <charset val="128"/>
    </font>
    <font>
      <sz val="14"/>
      <color theme="1"/>
      <name val="游ゴシック"/>
      <family val="3"/>
      <charset val="128"/>
      <scheme val="minor"/>
    </font>
    <font>
      <sz val="14"/>
      <color theme="1"/>
      <name val="メイリオ"/>
      <family val="3"/>
      <charset val="128"/>
    </font>
    <font>
      <b/>
      <sz val="11"/>
      <color theme="1"/>
      <name val="メイリオ"/>
      <family val="3"/>
      <charset val="128"/>
    </font>
    <font>
      <sz val="10"/>
      <name val="明朝"/>
      <family val="1"/>
      <charset val="128"/>
    </font>
    <font>
      <sz val="9"/>
      <color indexed="9"/>
      <name val="ＭＳ Ｐゴシック"/>
      <family val="3"/>
      <charset val="128"/>
    </font>
    <font>
      <i/>
      <sz val="9"/>
      <name val="ＭＳ Ｐゴシック"/>
      <family val="3"/>
      <charset val="128"/>
    </font>
    <font>
      <sz val="9"/>
      <color indexed="81"/>
      <name val="Meiryo UI"/>
      <family val="3"/>
      <charset val="128"/>
    </font>
    <font>
      <sz val="16"/>
      <color theme="1"/>
      <name val="游ゴシック"/>
      <family val="3"/>
      <charset val="128"/>
      <scheme val="minor"/>
    </font>
    <font>
      <sz val="16"/>
      <name val="ＭＳ Ｐゴシック"/>
      <family val="3"/>
      <charset val="128"/>
    </font>
    <font>
      <b/>
      <u/>
      <sz val="9"/>
      <color rgb="FFFF0000"/>
      <name val="ＭＳ Ｐゴシック"/>
      <family val="3"/>
      <charset val="128"/>
    </font>
    <font>
      <b/>
      <vertAlign val="superscript"/>
      <sz val="9"/>
      <name val="ＭＳ Ｐゴシック"/>
      <family val="3"/>
      <charset val="128"/>
    </font>
    <font>
      <sz val="11"/>
      <color theme="1"/>
      <name val="游ゴシック"/>
      <family val="3"/>
      <charset val="128"/>
      <scheme val="minor"/>
    </font>
    <font>
      <b/>
      <sz val="11"/>
      <name val="ＭＳ Ｐゴシック"/>
      <family val="3"/>
      <charset val="128"/>
    </font>
    <font>
      <sz val="12"/>
      <color theme="1"/>
      <name val="游ゴシック"/>
      <family val="3"/>
      <charset val="128"/>
      <scheme val="minor"/>
    </font>
    <font>
      <sz val="12"/>
      <name val="ＭＳ Ｐゴシック"/>
      <family val="3"/>
      <charset val="128"/>
    </font>
    <font>
      <b/>
      <sz val="12"/>
      <name val="ＭＳ Ｐゴシック"/>
      <family val="3"/>
      <charset val="128"/>
    </font>
    <font>
      <sz val="20"/>
      <name val="ＭＳ Ｐゴシック"/>
      <family val="3"/>
      <charset val="128"/>
    </font>
    <font>
      <b/>
      <sz val="18"/>
      <name val="ＭＳ Ｐゴシック"/>
      <family val="3"/>
      <charset val="128"/>
    </font>
  </fonts>
  <fills count="27">
    <fill>
      <patternFill patternType="none"/>
    </fill>
    <fill>
      <patternFill patternType="gray125"/>
    </fill>
    <fill>
      <gradientFill degree="270">
        <stop position="0">
          <color rgb="FFFFFFFF"/>
        </stop>
        <stop position="1">
          <color rgb="FFB2B2B2"/>
        </stop>
      </gradientFill>
    </fill>
    <fill>
      <gradientFill degree="90">
        <stop position="0">
          <color rgb="FFFFFFFF"/>
        </stop>
        <stop position="1">
          <color rgb="FFB2B2B2"/>
        </stop>
      </gradientFill>
    </fill>
    <fill>
      <patternFill patternType="solid">
        <fgColor rgb="FFCCFFCC"/>
        <bgColor indexed="64"/>
      </patternFill>
    </fill>
    <fill>
      <patternFill patternType="solid">
        <fgColor rgb="FFCCECFF"/>
        <bgColor indexed="64"/>
      </patternFill>
    </fill>
    <fill>
      <patternFill patternType="solid">
        <fgColor rgb="FFCCCCFF"/>
        <bgColor indexed="64"/>
      </patternFill>
    </fill>
    <fill>
      <patternFill patternType="solid">
        <fgColor rgb="FFEAEAEA"/>
        <bgColor indexed="64"/>
      </patternFill>
    </fill>
    <fill>
      <patternFill patternType="solid">
        <fgColor rgb="FFFFCC99"/>
        <bgColor indexed="64"/>
      </patternFill>
    </fill>
    <fill>
      <patternFill patternType="solid">
        <fgColor rgb="FFFFCCCC"/>
        <bgColor indexed="64"/>
      </patternFill>
    </fill>
    <fill>
      <patternFill patternType="solid">
        <fgColor indexed="9"/>
        <bgColor indexed="64"/>
      </patternFill>
    </fill>
    <fill>
      <patternFill patternType="gray125">
        <fgColor indexed="10"/>
      </patternFill>
    </fill>
    <fill>
      <patternFill patternType="solid">
        <fgColor rgb="FFEAEAEA"/>
        <bgColor auto="1"/>
      </patternFill>
    </fill>
    <fill>
      <gradientFill degree="90">
        <stop position="0">
          <color rgb="FFFFFFFF"/>
        </stop>
        <stop position="1">
          <color rgb="FFCCFFCC"/>
        </stop>
      </gradientFill>
    </fill>
    <fill>
      <gradientFill degree="90">
        <stop position="0">
          <color rgb="FFFFFFFF"/>
        </stop>
        <stop position="1">
          <color rgb="FFCCECFF"/>
        </stop>
      </gradientFill>
    </fill>
    <fill>
      <gradientFill degree="90">
        <stop position="0">
          <color rgb="FFFFFFFF"/>
        </stop>
        <stop position="1">
          <color rgb="FFCCCCFF"/>
        </stop>
      </gradientFill>
    </fill>
    <fill>
      <gradientFill degree="90">
        <stop position="0">
          <color rgb="FFFFFFFF"/>
        </stop>
        <stop position="1">
          <color rgb="FFFFCC99"/>
        </stop>
      </gradientFill>
    </fill>
    <fill>
      <gradientFill degree="90">
        <stop position="0">
          <color rgb="FFFFFFFF"/>
        </stop>
        <stop position="1">
          <color rgb="FFFFCCCC"/>
        </stop>
      </gradientFill>
    </fill>
    <fill>
      <gradientFill>
        <stop position="0">
          <color rgb="FFFFFFFF"/>
        </stop>
        <stop position="1">
          <color rgb="FFC0C0C0"/>
        </stop>
      </gradientFill>
    </fill>
    <fill>
      <gradientFill>
        <stop position="0">
          <color rgb="FFFFFFFF"/>
        </stop>
        <stop position="1">
          <color rgb="FFEAEAEA"/>
        </stop>
      </gradientFill>
    </fill>
    <fill>
      <gradientFill degree="270">
        <stop position="0">
          <color rgb="FFFFFFFF"/>
        </stop>
        <stop position="1">
          <color rgb="FFC0C0C0"/>
        </stop>
      </gradientFill>
    </fill>
    <fill>
      <patternFill patternType="solid">
        <fgColor rgb="FFFFCCFF"/>
        <bgColor indexed="64"/>
      </patternFill>
    </fill>
    <fill>
      <patternFill patternType="solid">
        <fgColor rgb="FFCCFFFF"/>
        <bgColor indexed="64"/>
      </patternFill>
    </fill>
    <fill>
      <gradientFill degree="90">
        <stop position="0">
          <color rgb="FFEAEAEA"/>
        </stop>
        <stop position="1">
          <color rgb="FFFFFFFF"/>
        </stop>
      </gradientFill>
    </fill>
    <fill>
      <gradientFill degree="270">
        <stop position="0">
          <color rgb="FFFFFFFF"/>
        </stop>
        <stop position="1">
          <color rgb="FFCCFFCC"/>
        </stop>
      </gradientFill>
    </fill>
    <fill>
      <gradientFill degree="270">
        <stop position="0">
          <color rgb="FFFFFFFF"/>
        </stop>
        <stop position="1">
          <color rgb="FFCCECFF"/>
        </stop>
      </gradientFill>
    </fill>
    <fill>
      <gradientFill degree="270">
        <stop position="0">
          <color rgb="FFFFFFFF"/>
        </stop>
        <stop position="1">
          <color rgb="FFCCCCFF"/>
        </stop>
      </gradientFill>
    </fill>
  </fills>
  <borders count="437">
    <border>
      <left/>
      <right/>
      <top/>
      <bottom/>
      <diagonal/>
    </border>
    <border>
      <left style="thin">
        <color rgb="FFDDDDDD"/>
      </left>
      <right style="thin">
        <color rgb="FF808080"/>
      </right>
      <top style="thin">
        <color rgb="FFF8F8F8"/>
      </top>
      <bottom style="thin">
        <color rgb="FF777777"/>
      </bottom>
      <diagonal/>
    </border>
    <border>
      <left style="thin">
        <color rgb="FFDDDDDD"/>
      </left>
      <right/>
      <top style="thin">
        <color rgb="FFF8F8F8"/>
      </top>
      <bottom style="thin">
        <color rgb="FF777777"/>
      </bottom>
      <diagonal/>
    </border>
    <border>
      <left/>
      <right/>
      <top style="thin">
        <color rgb="FFF8F8F8"/>
      </top>
      <bottom style="thin">
        <color rgb="FF777777"/>
      </bottom>
      <diagonal/>
    </border>
    <border>
      <left/>
      <right style="thin">
        <color rgb="FF808080"/>
      </right>
      <top style="thin">
        <color rgb="FFF8F8F8"/>
      </top>
      <bottom style="thin">
        <color rgb="FF777777"/>
      </bottom>
      <diagonal/>
    </border>
    <border>
      <left style="thin">
        <color rgb="FFDDDDDD"/>
      </left>
      <right style="thin">
        <color rgb="FF777777"/>
      </right>
      <top style="thin">
        <color rgb="FFF8F8F8"/>
      </top>
      <bottom/>
      <diagonal/>
    </border>
    <border>
      <left style="thin">
        <color rgb="FF777777"/>
      </left>
      <right style="thin">
        <color rgb="FF777777"/>
      </right>
      <top style="thin">
        <color rgb="FFF8F8F8"/>
      </top>
      <bottom/>
      <diagonal/>
    </border>
    <border>
      <left style="thin">
        <color rgb="FF777777"/>
      </left>
      <right style="thin">
        <color rgb="FF808080"/>
      </right>
      <top style="thin">
        <color rgb="FFF8F8F8"/>
      </top>
      <bottom/>
      <diagonal/>
    </border>
    <border>
      <left style="thin">
        <color rgb="FFDDDDDD"/>
      </left>
      <right style="thin">
        <color rgb="FF777777"/>
      </right>
      <top style="thin">
        <color rgb="FFF8F8F8"/>
      </top>
      <bottom style="thin">
        <color rgb="FF777777"/>
      </bottom>
      <diagonal/>
    </border>
    <border>
      <left style="thin">
        <color rgb="FF777777"/>
      </left>
      <right style="thin">
        <color rgb="FF777777"/>
      </right>
      <top style="thin">
        <color rgb="FFF8F8F8"/>
      </top>
      <bottom style="thin">
        <color rgb="FF777777"/>
      </bottom>
      <diagonal/>
    </border>
    <border>
      <left style="thin">
        <color rgb="FF777777"/>
      </left>
      <right style="thin">
        <color rgb="FF808080"/>
      </right>
      <top style="thin">
        <color rgb="FFF8F8F8"/>
      </top>
      <bottom style="thin">
        <color rgb="FF777777"/>
      </bottom>
      <diagonal/>
    </border>
    <border>
      <left style="thin">
        <color rgb="FFDDDDDD"/>
      </left>
      <right style="thin">
        <color rgb="FF777777"/>
      </right>
      <top style="thin">
        <color rgb="FF777777"/>
      </top>
      <bottom style="thin">
        <color rgb="FF777777"/>
      </bottom>
      <diagonal/>
    </border>
    <border>
      <left style="thin">
        <color rgb="FF777777"/>
      </left>
      <right style="thin">
        <color rgb="FF777777"/>
      </right>
      <top style="thin">
        <color rgb="FF777777"/>
      </top>
      <bottom style="thin">
        <color rgb="FF777777"/>
      </bottom>
      <diagonal/>
    </border>
    <border>
      <left style="thin">
        <color rgb="FF777777"/>
      </left>
      <right style="thin">
        <color rgb="FF808080"/>
      </right>
      <top style="thin">
        <color rgb="FF777777"/>
      </top>
      <bottom style="thin">
        <color rgb="FF777777"/>
      </bottom>
      <diagonal/>
    </border>
    <border>
      <left style="thin">
        <color rgb="FFDDDDDD"/>
      </left>
      <right style="thin">
        <color rgb="FF777777"/>
      </right>
      <top/>
      <bottom style="thin">
        <color rgb="FF777777"/>
      </bottom>
      <diagonal/>
    </border>
    <border>
      <left style="thin">
        <color rgb="FF777777"/>
      </left>
      <right style="thin">
        <color rgb="FF777777"/>
      </right>
      <top/>
      <bottom style="thin">
        <color rgb="FF777777"/>
      </bottom>
      <diagonal/>
    </border>
    <border>
      <left style="thin">
        <color rgb="FF777777"/>
      </left>
      <right style="thin">
        <color rgb="FF808080"/>
      </right>
      <top/>
      <bottom style="thin">
        <color rgb="FF777777"/>
      </bottom>
      <diagonal/>
    </border>
    <border>
      <left style="thin">
        <color rgb="FFDDDDDD"/>
      </left>
      <right style="thin">
        <color rgb="FF808080"/>
      </right>
      <top style="medium">
        <color rgb="FFF8F8F8"/>
      </top>
      <bottom style="thin">
        <color rgb="FF777777"/>
      </bottom>
      <diagonal/>
    </border>
    <border>
      <left style="thin">
        <color rgb="FF777777"/>
      </left>
      <right style="thin">
        <color rgb="FF777777"/>
      </right>
      <top style="thin">
        <color rgb="FFC0C0C0"/>
      </top>
      <bottom style="thin">
        <color rgb="FF777777"/>
      </bottom>
      <diagonal/>
    </border>
    <border>
      <left style="thin">
        <color rgb="FF777777"/>
      </left>
      <right style="thin">
        <color rgb="FF808080"/>
      </right>
      <top style="thin">
        <color rgb="FFC0C0C0"/>
      </top>
      <bottom style="thin">
        <color rgb="FF777777"/>
      </bottom>
      <diagonal/>
    </border>
    <border>
      <left/>
      <right/>
      <top/>
      <bottom style="thin">
        <color auto="1"/>
      </bottom>
      <diagonal/>
    </border>
    <border>
      <left style="thin">
        <color rgb="FFDDDDDD"/>
      </left>
      <right/>
      <top style="medium">
        <color rgb="FFF8F8F8"/>
      </top>
      <bottom style="thin">
        <color rgb="FF777777"/>
      </bottom>
      <diagonal/>
    </border>
    <border>
      <left/>
      <right/>
      <top style="medium">
        <color rgb="FFF8F8F8"/>
      </top>
      <bottom style="thin">
        <color rgb="FF777777"/>
      </bottom>
      <diagonal/>
    </border>
    <border>
      <left/>
      <right style="thin">
        <color rgb="FF808080"/>
      </right>
      <top style="medium">
        <color rgb="FFF8F8F8"/>
      </top>
      <bottom style="thin">
        <color rgb="FF777777"/>
      </bottom>
      <diagonal/>
    </border>
    <border>
      <left style="thin">
        <color rgb="FFDDDDDD"/>
      </left>
      <right style="thin">
        <color rgb="FF808080"/>
      </right>
      <top style="thin">
        <color rgb="FFF8F8F8"/>
      </top>
      <bottom/>
      <diagonal/>
    </border>
    <border>
      <left/>
      <right style="hair">
        <color indexed="64"/>
      </right>
      <top style="thin">
        <color rgb="FFF8F8F8"/>
      </top>
      <bottom/>
      <diagonal/>
    </border>
    <border>
      <left style="hair">
        <color indexed="64"/>
      </left>
      <right style="hair">
        <color indexed="64"/>
      </right>
      <top style="thin">
        <color rgb="FFF8F8F8"/>
      </top>
      <bottom/>
      <diagonal/>
    </border>
    <border>
      <left style="hair">
        <color indexed="64"/>
      </left>
      <right style="thin">
        <color rgb="FF808080"/>
      </right>
      <top style="thin">
        <color rgb="FFF8F8F8"/>
      </top>
      <bottom/>
      <diagonal/>
    </border>
    <border>
      <left style="thin">
        <color rgb="FFDDDDDD"/>
      </left>
      <right style="thin">
        <color rgb="FF808080"/>
      </right>
      <top style="thin">
        <color rgb="FF777777"/>
      </top>
      <bottom style="thin">
        <color rgb="FF777777"/>
      </bottom>
      <diagonal/>
    </border>
    <border>
      <left style="thin">
        <color rgb="FF808080"/>
      </left>
      <right style="hair">
        <color rgb="FF808080"/>
      </right>
      <top style="thin">
        <color rgb="FF777777"/>
      </top>
      <bottom style="thin">
        <color rgb="FF777777"/>
      </bottom>
      <diagonal/>
    </border>
    <border>
      <left style="hair">
        <color rgb="FF808080"/>
      </left>
      <right style="hair">
        <color rgb="FF808080"/>
      </right>
      <top style="thin">
        <color rgb="FF777777"/>
      </top>
      <bottom style="thin">
        <color rgb="FF777777"/>
      </bottom>
      <diagonal/>
    </border>
    <border>
      <left/>
      <right style="thin">
        <color rgb="FF808080"/>
      </right>
      <top style="thin">
        <color rgb="FF777777"/>
      </top>
      <bottom style="thin">
        <color rgb="FF777777"/>
      </bottom>
      <diagonal/>
    </border>
    <border>
      <left style="thin">
        <color rgb="FFDDDDDD"/>
      </left>
      <right style="thin">
        <color rgb="FF808080"/>
      </right>
      <top style="thin">
        <color rgb="FF777777"/>
      </top>
      <bottom/>
      <diagonal/>
    </border>
    <border>
      <left style="thin">
        <color rgb="FF808080"/>
      </left>
      <right/>
      <top style="thin">
        <color rgb="FFF8F8F8"/>
      </top>
      <bottom/>
      <diagonal/>
    </border>
    <border>
      <left/>
      <right/>
      <top style="thin">
        <color rgb="FFF8F8F8"/>
      </top>
      <bottom/>
      <diagonal/>
    </border>
    <border>
      <left/>
      <right style="thin">
        <color rgb="FF808080"/>
      </right>
      <top style="thin">
        <color rgb="FFF8F8F8"/>
      </top>
      <bottom/>
      <diagonal/>
    </border>
    <border>
      <left style="thin">
        <color rgb="FFDDDDDD"/>
      </left>
      <right style="thin">
        <color rgb="FF808080"/>
      </right>
      <top/>
      <bottom/>
      <diagonal/>
    </border>
    <border>
      <left style="thin">
        <color rgb="FF808080"/>
      </left>
      <right/>
      <top/>
      <bottom/>
      <diagonal/>
    </border>
    <border>
      <left/>
      <right style="thin">
        <color rgb="FF808080"/>
      </right>
      <top/>
      <bottom/>
      <diagonal/>
    </border>
    <border>
      <left style="thin">
        <color rgb="FFDDDDDD"/>
      </left>
      <right style="thin">
        <color rgb="FF808080"/>
      </right>
      <top/>
      <bottom style="thin">
        <color rgb="FF777777"/>
      </bottom>
      <diagonal/>
    </border>
    <border>
      <left/>
      <right style="hair">
        <color indexed="64"/>
      </right>
      <top/>
      <bottom/>
      <diagonal/>
    </border>
    <border>
      <left style="thin">
        <color rgb="FF808080"/>
      </left>
      <right/>
      <top/>
      <bottom style="thin">
        <color rgb="FF777777"/>
      </bottom>
      <diagonal/>
    </border>
    <border>
      <left style="hair">
        <color indexed="64"/>
      </left>
      <right/>
      <top/>
      <bottom style="thin">
        <color rgb="FF777777"/>
      </bottom>
      <diagonal/>
    </border>
    <border>
      <left style="thin">
        <color rgb="FF808080"/>
      </left>
      <right style="hair">
        <color indexed="64"/>
      </right>
      <top/>
      <bottom style="thin">
        <color rgb="FF777777"/>
      </bottom>
      <diagonal/>
    </border>
    <border>
      <left style="hair">
        <color indexed="64"/>
      </left>
      <right style="thin">
        <color rgb="FF808080"/>
      </right>
      <top/>
      <bottom style="thin">
        <color rgb="FF777777"/>
      </bottom>
      <diagonal/>
    </border>
    <border>
      <left/>
      <right style="hair">
        <color indexed="64"/>
      </right>
      <top/>
      <bottom style="thin">
        <color rgb="FF777777"/>
      </bottom>
      <diagonal/>
    </border>
    <border>
      <left style="hair">
        <color indexed="64"/>
      </left>
      <right style="thin">
        <color rgb="FF808080"/>
      </right>
      <top/>
      <bottom/>
      <diagonal/>
    </border>
    <border>
      <left style="thin">
        <color rgb="FF808080"/>
      </left>
      <right style="thin">
        <color rgb="FF777777"/>
      </right>
      <top style="thin">
        <color rgb="FF777777"/>
      </top>
      <bottom/>
      <diagonal/>
    </border>
    <border>
      <left style="thin">
        <color rgb="FF777777"/>
      </left>
      <right style="thin">
        <color rgb="FF777777"/>
      </right>
      <top/>
      <bottom/>
      <diagonal/>
    </border>
    <border>
      <left/>
      <right style="thin">
        <color rgb="FF777777"/>
      </right>
      <top/>
      <bottom style="thin">
        <color rgb="FF777777"/>
      </bottom>
      <diagonal/>
    </border>
    <border>
      <left style="thin">
        <color rgb="FF777777"/>
      </left>
      <right style="thin">
        <color rgb="FF777777"/>
      </right>
      <top style="thin">
        <color rgb="FF777777"/>
      </top>
      <bottom/>
      <diagonal/>
    </border>
    <border>
      <left style="thin">
        <color rgb="FF808080"/>
      </left>
      <right style="thin">
        <color rgb="FF777777"/>
      </right>
      <top/>
      <bottom/>
      <diagonal/>
    </border>
    <border diagonalUp="1">
      <left style="thin">
        <color rgb="FF777777"/>
      </left>
      <right style="thin">
        <color rgb="FF777777"/>
      </right>
      <top style="thin">
        <color rgb="FF777777"/>
      </top>
      <bottom style="thin">
        <color rgb="FF777777"/>
      </bottom>
      <diagonal style="thin">
        <color rgb="FF777777"/>
      </diagonal>
    </border>
    <border>
      <left style="thin">
        <color rgb="FF808080"/>
      </left>
      <right style="thin">
        <color rgb="FF777777"/>
      </right>
      <top/>
      <bottom style="thin">
        <color rgb="FF777777"/>
      </bottom>
      <diagonal/>
    </border>
    <border>
      <left style="thin">
        <color rgb="FF808080"/>
      </left>
      <right/>
      <top style="thin">
        <color rgb="FFF8F8F8"/>
      </top>
      <bottom style="thin">
        <color rgb="FF777777"/>
      </bottom>
      <diagonal/>
    </border>
    <border>
      <left style="thin">
        <color rgb="FF808080"/>
      </left>
      <right style="thin">
        <color rgb="FF808080"/>
      </right>
      <top style="thin">
        <color rgb="FFF8F8F8"/>
      </top>
      <bottom/>
      <diagonal/>
    </border>
    <border>
      <left/>
      <right/>
      <top/>
      <bottom style="thin">
        <color rgb="FF777777"/>
      </bottom>
      <diagonal/>
    </border>
    <border>
      <left/>
      <right style="thin">
        <color rgb="FF808080"/>
      </right>
      <top/>
      <bottom style="thin">
        <color rgb="FF777777"/>
      </bottom>
      <diagonal/>
    </border>
    <border>
      <left style="thin">
        <color rgb="FFDDDDDD"/>
      </left>
      <right/>
      <top style="thin">
        <color rgb="FF777777"/>
      </top>
      <bottom style="thin">
        <color rgb="FF777777"/>
      </bottom>
      <diagonal/>
    </border>
    <border>
      <left style="thin">
        <color rgb="FF808080"/>
      </left>
      <right/>
      <top style="thin">
        <color rgb="FF777777"/>
      </top>
      <bottom style="thin">
        <color rgb="FF777777"/>
      </bottom>
      <diagonal/>
    </border>
    <border>
      <left style="thin">
        <color rgb="FF808080"/>
      </left>
      <right style="thin">
        <color rgb="FF808080"/>
      </right>
      <top style="thin">
        <color rgb="FF777777"/>
      </top>
      <bottom style="thin">
        <color rgb="FF777777"/>
      </bottom>
      <diagonal/>
    </border>
    <border>
      <left/>
      <right/>
      <top style="thin">
        <color rgb="FF777777"/>
      </top>
      <bottom style="thin">
        <color rgb="FF777777"/>
      </bottom>
      <diagonal/>
    </border>
    <border>
      <left style="hair">
        <color indexed="64"/>
      </left>
      <right style="hair">
        <color indexed="64"/>
      </right>
      <top/>
      <bottom/>
      <diagonal/>
    </border>
    <border>
      <left style="thin">
        <color rgb="FFDDDDDD"/>
      </left>
      <right style="thin">
        <color rgb="FF808080"/>
      </right>
      <top style="thin">
        <color rgb="FF777777"/>
      </top>
      <bottom style="hair">
        <color indexed="64"/>
      </bottom>
      <diagonal/>
    </border>
    <border>
      <left/>
      <right style="hair">
        <color indexed="64"/>
      </right>
      <top style="thin">
        <color rgb="FF777777"/>
      </top>
      <bottom style="hair">
        <color indexed="64"/>
      </bottom>
      <diagonal/>
    </border>
    <border>
      <left style="hair">
        <color indexed="64"/>
      </left>
      <right style="hair">
        <color indexed="64"/>
      </right>
      <top style="thin">
        <color rgb="FF777777"/>
      </top>
      <bottom style="hair">
        <color indexed="64"/>
      </bottom>
      <diagonal/>
    </border>
    <border>
      <left style="hair">
        <color indexed="64"/>
      </left>
      <right style="thin">
        <color rgb="FF808080"/>
      </right>
      <top style="thin">
        <color rgb="FF777777"/>
      </top>
      <bottom style="hair">
        <color indexed="64"/>
      </bottom>
      <diagonal/>
    </border>
    <border>
      <left style="thin">
        <color rgb="FFDDDDDD"/>
      </left>
      <right style="thin">
        <color rgb="FF808080"/>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rgb="FF808080"/>
      </right>
      <top style="hair">
        <color indexed="64"/>
      </top>
      <bottom style="hair">
        <color indexed="64"/>
      </bottom>
      <diagonal/>
    </border>
    <border>
      <left style="thin">
        <color rgb="FFDDDDDD"/>
      </left>
      <right style="thin">
        <color rgb="FF808080"/>
      </right>
      <top style="hair">
        <color indexed="64"/>
      </top>
      <bottom style="thin">
        <color rgb="FF777777"/>
      </bottom>
      <diagonal/>
    </border>
    <border>
      <left/>
      <right style="hair">
        <color indexed="64"/>
      </right>
      <top style="hair">
        <color indexed="64"/>
      </top>
      <bottom style="thin">
        <color rgb="FF777777"/>
      </bottom>
      <diagonal/>
    </border>
    <border>
      <left style="hair">
        <color indexed="64"/>
      </left>
      <right style="hair">
        <color indexed="64"/>
      </right>
      <top style="hair">
        <color indexed="64"/>
      </top>
      <bottom style="thin">
        <color rgb="FF777777"/>
      </bottom>
      <diagonal/>
    </border>
    <border>
      <left style="hair">
        <color indexed="64"/>
      </left>
      <right style="thin">
        <color rgb="FF808080"/>
      </right>
      <top style="hair">
        <color indexed="64"/>
      </top>
      <bottom style="thin">
        <color rgb="FF777777"/>
      </bottom>
      <diagonal/>
    </border>
    <border>
      <left style="thin">
        <color rgb="FFDDDDDD"/>
      </left>
      <right/>
      <top style="thin">
        <color rgb="FFF8F8F8"/>
      </top>
      <bottom/>
      <diagonal/>
    </border>
    <border>
      <left style="thin">
        <color rgb="FFDDDDDD"/>
      </left>
      <right/>
      <top style="thin">
        <color rgb="FF777777"/>
      </top>
      <bottom style="hair">
        <color indexed="64"/>
      </bottom>
      <diagonal/>
    </border>
    <border>
      <left/>
      <right/>
      <top style="thin">
        <color rgb="FF777777"/>
      </top>
      <bottom style="hair">
        <color indexed="64"/>
      </bottom>
      <diagonal/>
    </border>
    <border>
      <left style="thin">
        <color rgb="FFDDDDDD"/>
      </left>
      <right/>
      <top style="hair">
        <color auto="1"/>
      </top>
      <bottom style="hair">
        <color auto="1"/>
      </bottom>
      <diagonal/>
    </border>
    <border>
      <left/>
      <right/>
      <top style="hair">
        <color indexed="64"/>
      </top>
      <bottom style="hair">
        <color indexed="64"/>
      </bottom>
      <diagonal/>
    </border>
    <border>
      <left style="thin">
        <color rgb="FFDDDDDD"/>
      </left>
      <right/>
      <top style="hair">
        <color indexed="64"/>
      </top>
      <bottom style="thin">
        <color rgb="FF777777"/>
      </bottom>
      <diagonal/>
    </border>
    <border>
      <left/>
      <right/>
      <top style="hair">
        <color indexed="64"/>
      </top>
      <bottom style="thin">
        <color rgb="FF777777"/>
      </bottom>
      <diagonal/>
    </border>
    <border>
      <left style="thin">
        <color rgb="FFDDDDDD"/>
      </left>
      <right style="thin">
        <color indexed="23"/>
      </right>
      <top style="thin">
        <color rgb="FFF8F8F8"/>
      </top>
      <bottom/>
      <diagonal/>
    </border>
    <border>
      <left style="thin">
        <color indexed="23"/>
      </left>
      <right style="thin">
        <color indexed="23"/>
      </right>
      <top style="thin">
        <color rgb="FFF8F8F8"/>
      </top>
      <bottom/>
      <diagonal/>
    </border>
    <border>
      <left/>
      <right/>
      <top style="thin">
        <color rgb="FFF8F8F8"/>
      </top>
      <bottom style="hair">
        <color auto="1"/>
      </bottom>
      <diagonal/>
    </border>
    <border>
      <left/>
      <right style="thin">
        <color rgb="FF808080"/>
      </right>
      <top style="thin">
        <color rgb="FFF8F8F8"/>
      </top>
      <bottom style="hair">
        <color auto="1"/>
      </bottom>
      <diagonal/>
    </border>
    <border>
      <left style="thin">
        <color rgb="FFDDDDDD"/>
      </left>
      <right style="thin">
        <color indexed="23"/>
      </right>
      <top/>
      <bottom/>
      <diagonal/>
    </border>
    <border>
      <left style="thin">
        <color indexed="23"/>
      </left>
      <right style="thin">
        <color indexed="23"/>
      </right>
      <top/>
      <bottom style="thin">
        <color rgb="FF777777"/>
      </bottom>
      <diagonal/>
    </border>
    <border>
      <left/>
      <right style="thin">
        <color indexed="23"/>
      </right>
      <top style="hair">
        <color auto="1"/>
      </top>
      <bottom/>
      <diagonal/>
    </border>
    <border>
      <left style="thin">
        <color indexed="23"/>
      </left>
      <right style="thin">
        <color indexed="23"/>
      </right>
      <top style="hair">
        <color auto="1"/>
      </top>
      <bottom/>
      <diagonal/>
    </border>
    <border>
      <left style="thin">
        <color rgb="FFDDDDDD"/>
      </left>
      <right style="thin">
        <color indexed="23"/>
      </right>
      <top style="thin">
        <color rgb="FF777777"/>
      </top>
      <bottom style="thin">
        <color indexed="23"/>
      </bottom>
      <diagonal/>
    </border>
    <border>
      <left style="thin">
        <color indexed="23"/>
      </left>
      <right style="thin">
        <color indexed="23"/>
      </right>
      <top style="thin">
        <color rgb="FF777777"/>
      </top>
      <bottom style="thin">
        <color indexed="23"/>
      </bottom>
      <diagonal/>
    </border>
    <border>
      <left/>
      <right style="thin">
        <color rgb="FF808080"/>
      </right>
      <top style="thin">
        <color rgb="FF777777"/>
      </top>
      <bottom style="thin">
        <color indexed="23"/>
      </bottom>
      <diagonal/>
    </border>
    <border>
      <left style="thin">
        <color rgb="FFDDDDDD"/>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right style="thin">
        <color rgb="FF808080"/>
      </right>
      <top style="thin">
        <color indexed="23"/>
      </top>
      <bottom style="thin">
        <color indexed="23"/>
      </bottom>
      <diagonal/>
    </border>
    <border>
      <left style="thin">
        <color rgb="FFDDDDDD"/>
      </left>
      <right/>
      <top/>
      <bottom/>
      <diagonal/>
    </border>
    <border>
      <left style="thin">
        <color rgb="FFDDDDDD"/>
      </left>
      <right/>
      <top/>
      <bottom style="thin">
        <color rgb="FF777777"/>
      </bottom>
      <diagonal/>
    </border>
    <border>
      <left style="thin">
        <color rgb="FFDDDDDD"/>
      </left>
      <right style="hair">
        <color indexed="64"/>
      </right>
      <top style="thin">
        <color rgb="FFF8F8F8"/>
      </top>
      <bottom style="hair">
        <color indexed="64"/>
      </bottom>
      <diagonal/>
    </border>
    <border>
      <left/>
      <right style="hair">
        <color indexed="64"/>
      </right>
      <top style="thin">
        <color rgb="FFF8F8F8"/>
      </top>
      <bottom style="hair">
        <color indexed="64"/>
      </bottom>
      <diagonal/>
    </border>
    <border>
      <left style="thin">
        <color rgb="FFDDDDDD"/>
      </left>
      <right style="hair">
        <color indexed="64"/>
      </right>
      <top/>
      <bottom/>
      <diagonal/>
    </border>
    <border>
      <left style="thin">
        <color rgb="FFDDDDDD"/>
      </left>
      <right style="hair">
        <color indexed="64"/>
      </right>
      <top style="thin">
        <color rgb="FF777777"/>
      </top>
      <bottom style="thin">
        <color rgb="FF777777"/>
      </bottom>
      <diagonal/>
    </border>
    <border>
      <left/>
      <right style="hair">
        <color indexed="64"/>
      </right>
      <top style="thin">
        <color rgb="FF777777"/>
      </top>
      <bottom style="thin">
        <color rgb="FF777777"/>
      </bottom>
      <diagonal/>
    </border>
    <border>
      <left style="thin">
        <color rgb="FFDDDDDD"/>
      </left>
      <right style="thin">
        <color rgb="FF808080"/>
      </right>
      <top style="medium">
        <color rgb="FFF8F8F8"/>
      </top>
      <bottom/>
      <diagonal/>
    </border>
    <border>
      <left style="thin">
        <color rgb="FFDDDDDD"/>
      </left>
      <right style="thin">
        <color rgb="FF808080"/>
      </right>
      <top style="thin">
        <color rgb="FF777777"/>
      </top>
      <bottom style="medium">
        <color indexed="23"/>
      </bottom>
      <diagonal/>
    </border>
    <border>
      <left/>
      <right style="hair">
        <color indexed="64"/>
      </right>
      <top style="thin">
        <color rgb="FF777777"/>
      </top>
      <bottom style="medium">
        <color indexed="23"/>
      </bottom>
      <diagonal/>
    </border>
    <border>
      <left style="hair">
        <color indexed="64"/>
      </left>
      <right style="hair">
        <color indexed="64"/>
      </right>
      <top style="thin">
        <color rgb="FF777777"/>
      </top>
      <bottom style="medium">
        <color indexed="23"/>
      </bottom>
      <diagonal/>
    </border>
    <border>
      <left style="hair">
        <color indexed="64"/>
      </left>
      <right style="thin">
        <color rgb="FF808080"/>
      </right>
      <top style="thin">
        <color rgb="FF777777"/>
      </top>
      <bottom style="medium">
        <color indexed="23"/>
      </bottom>
      <diagonal/>
    </border>
    <border>
      <left style="thin">
        <color rgb="FFDDDDDD"/>
      </left>
      <right style="thin">
        <color rgb="FF808080"/>
      </right>
      <top style="medium">
        <color indexed="23"/>
      </top>
      <bottom style="medium">
        <color indexed="23"/>
      </bottom>
      <diagonal/>
    </border>
    <border>
      <left/>
      <right style="hair">
        <color indexed="64"/>
      </right>
      <top style="medium">
        <color indexed="23"/>
      </top>
      <bottom style="medium">
        <color indexed="23"/>
      </bottom>
      <diagonal/>
    </border>
    <border>
      <left style="hair">
        <color indexed="64"/>
      </left>
      <right style="hair">
        <color indexed="64"/>
      </right>
      <top style="medium">
        <color indexed="23"/>
      </top>
      <bottom style="medium">
        <color indexed="23"/>
      </bottom>
      <diagonal/>
    </border>
    <border>
      <left style="hair">
        <color indexed="64"/>
      </left>
      <right style="thin">
        <color rgb="FF808080"/>
      </right>
      <top style="medium">
        <color indexed="23"/>
      </top>
      <bottom style="medium">
        <color indexed="23"/>
      </bottom>
      <diagonal/>
    </border>
    <border>
      <left style="thin">
        <color rgb="FFDDDDDD"/>
      </left>
      <right style="thin">
        <color rgb="FF808080"/>
      </right>
      <top style="medium">
        <color indexed="23"/>
      </top>
      <bottom/>
      <diagonal/>
    </border>
    <border>
      <left/>
      <right style="hair">
        <color indexed="64"/>
      </right>
      <top style="medium">
        <color indexed="23"/>
      </top>
      <bottom style="hair">
        <color indexed="64"/>
      </bottom>
      <diagonal/>
    </border>
    <border>
      <left style="hair">
        <color indexed="64"/>
      </left>
      <right style="hair">
        <color indexed="64"/>
      </right>
      <top style="medium">
        <color indexed="23"/>
      </top>
      <bottom style="hair">
        <color indexed="64"/>
      </bottom>
      <diagonal/>
    </border>
    <border>
      <left style="hair">
        <color indexed="64"/>
      </left>
      <right style="thin">
        <color rgb="FF808080"/>
      </right>
      <top style="medium">
        <color indexed="23"/>
      </top>
      <bottom style="hair">
        <color indexed="64"/>
      </bottom>
      <diagonal/>
    </border>
    <border>
      <left style="thin">
        <color rgb="FFDDDDDD"/>
      </left>
      <right style="thin">
        <color rgb="FF808080"/>
      </right>
      <top/>
      <bottom style="medium">
        <color indexed="23"/>
      </bottom>
      <diagonal/>
    </border>
    <border>
      <left/>
      <right style="hair">
        <color indexed="64"/>
      </right>
      <top style="hair">
        <color indexed="64"/>
      </top>
      <bottom style="medium">
        <color indexed="23"/>
      </bottom>
      <diagonal/>
    </border>
    <border>
      <left style="hair">
        <color indexed="64"/>
      </left>
      <right style="hair">
        <color indexed="64"/>
      </right>
      <top style="hair">
        <color indexed="64"/>
      </top>
      <bottom style="medium">
        <color indexed="23"/>
      </bottom>
      <diagonal/>
    </border>
    <border>
      <left style="hair">
        <color indexed="64"/>
      </left>
      <right style="thin">
        <color rgb="FF808080"/>
      </right>
      <top style="hair">
        <color indexed="64"/>
      </top>
      <bottom style="medium">
        <color indexed="23"/>
      </bottom>
      <diagonal/>
    </border>
    <border>
      <left style="thin">
        <color rgb="FFDDDDDD"/>
      </left>
      <right style="thin">
        <color rgb="FF808080"/>
      </right>
      <top style="medium">
        <color indexed="23"/>
      </top>
      <bottom style="hair">
        <color indexed="64"/>
      </bottom>
      <diagonal/>
    </border>
    <border>
      <left style="thin">
        <color rgb="FFDDDDDD"/>
      </left>
      <right style="thin">
        <color rgb="FF808080"/>
      </right>
      <top style="hair">
        <color indexed="64"/>
      </top>
      <bottom style="medium">
        <color indexed="23"/>
      </bottom>
      <diagonal/>
    </border>
    <border>
      <left style="hair">
        <color indexed="64"/>
      </left>
      <right/>
      <top style="thin">
        <color rgb="FFF8F8F8"/>
      </top>
      <bottom/>
      <diagonal/>
    </border>
    <border>
      <left style="hair">
        <color indexed="64"/>
      </left>
      <right/>
      <top/>
      <bottom/>
      <diagonal/>
    </border>
    <border>
      <left/>
      <right style="hair">
        <color indexed="64"/>
      </right>
      <top style="thin">
        <color rgb="FF777777"/>
      </top>
      <bottom/>
      <diagonal/>
    </border>
    <border>
      <left/>
      <right style="thin">
        <color rgb="FF808080"/>
      </right>
      <top style="thin">
        <color rgb="FF777777"/>
      </top>
      <bottom/>
      <diagonal/>
    </border>
    <border>
      <left/>
      <right style="hair">
        <color indexed="64"/>
      </right>
      <top/>
      <bottom style="thin">
        <color indexed="64"/>
      </bottom>
      <diagonal/>
    </border>
    <border>
      <left/>
      <right style="thin">
        <color rgb="FF808080"/>
      </right>
      <top/>
      <bottom style="thin">
        <color indexed="64"/>
      </bottom>
      <diagonal/>
    </border>
    <border>
      <left/>
      <right style="hair">
        <color indexed="64"/>
      </right>
      <top/>
      <bottom style="hair">
        <color indexed="64"/>
      </bottom>
      <diagonal/>
    </border>
    <border>
      <left/>
      <right style="thin">
        <color rgb="FF808080"/>
      </right>
      <top/>
      <bottom style="hair">
        <color indexed="64"/>
      </bottom>
      <diagonal/>
    </border>
    <border>
      <left/>
      <right style="thin">
        <color rgb="FF808080"/>
      </right>
      <top style="hair">
        <color indexed="64"/>
      </top>
      <bottom style="thin">
        <color rgb="FF777777"/>
      </bottom>
      <diagonal/>
    </border>
    <border>
      <left style="hair">
        <color indexed="64"/>
      </left>
      <right style="hair">
        <color indexed="64"/>
      </right>
      <top style="thin">
        <color rgb="FF777777"/>
      </top>
      <bottom/>
      <diagonal/>
    </border>
    <border>
      <left style="hair">
        <color indexed="64"/>
      </left>
      <right style="hair">
        <color indexed="64"/>
      </right>
      <top style="thin">
        <color auto="1"/>
      </top>
      <bottom/>
      <diagonal/>
    </border>
    <border>
      <left/>
      <right style="thin">
        <color rgb="FFF8F8F8"/>
      </right>
      <top style="thin">
        <color rgb="FFF8F8F8"/>
      </top>
      <bottom style="thin">
        <color rgb="FFF8F8F8"/>
      </bottom>
      <diagonal/>
    </border>
    <border>
      <left/>
      <right/>
      <top style="thin">
        <color rgb="FFF8F8F8"/>
      </top>
      <bottom style="thin">
        <color rgb="FFF8F8F8"/>
      </bottom>
      <diagonal/>
    </border>
    <border>
      <left style="thin">
        <color rgb="FFDDDDDD"/>
      </left>
      <right style="hair">
        <color indexed="64"/>
      </right>
      <top style="thin">
        <color rgb="FFF8F8F8"/>
      </top>
      <bottom/>
      <diagonal/>
    </border>
    <border>
      <left style="hair">
        <color indexed="64"/>
      </left>
      <right style="thin">
        <color indexed="64"/>
      </right>
      <top style="thin">
        <color rgb="FFF8F8F8"/>
      </top>
      <bottom/>
      <diagonal/>
    </border>
    <border>
      <left style="thin">
        <color indexed="64"/>
      </left>
      <right style="hair">
        <color indexed="64"/>
      </right>
      <top style="thin">
        <color rgb="FFF8F8F8"/>
      </top>
      <bottom/>
      <diagonal/>
    </border>
    <border>
      <left/>
      <right style="thin">
        <color indexed="64"/>
      </right>
      <top style="thin">
        <color rgb="FFF8F8F8"/>
      </top>
      <bottom/>
      <diagonal/>
    </border>
    <border>
      <left style="thin">
        <color indexed="64"/>
      </left>
      <right/>
      <top style="thin">
        <color rgb="FFF8F8F8"/>
      </top>
      <bottom/>
      <diagonal/>
    </border>
    <border>
      <left style="thin">
        <color indexed="64"/>
      </left>
      <right/>
      <top style="thin">
        <color rgb="FFF8F8F8"/>
      </top>
      <bottom style="thin">
        <color indexed="64"/>
      </bottom>
      <diagonal/>
    </border>
    <border>
      <left/>
      <right/>
      <top style="thin">
        <color rgb="FFF8F8F8"/>
      </top>
      <bottom style="thin">
        <color indexed="64"/>
      </bottom>
      <diagonal/>
    </border>
    <border>
      <left/>
      <right style="thin">
        <color indexed="64"/>
      </right>
      <top style="thin">
        <color rgb="FFF8F8F8"/>
      </top>
      <bottom style="thin">
        <color indexed="64"/>
      </bottom>
      <diagonal/>
    </border>
    <border>
      <left style="thin">
        <color indexed="64"/>
      </left>
      <right/>
      <top style="thin">
        <color rgb="FFF8F8F8"/>
      </top>
      <bottom style="hair">
        <color indexed="64"/>
      </bottom>
      <diagonal/>
    </border>
    <border>
      <left style="thin">
        <color rgb="FFDDDDDD"/>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top/>
      <bottom/>
      <diagonal/>
    </border>
    <border>
      <left/>
      <right style="thin">
        <color rgb="FFF8F8F8"/>
      </right>
      <top/>
      <bottom style="thin">
        <color rgb="FFF8F8F8"/>
      </bottom>
      <diagonal/>
    </border>
    <border>
      <left style="thin">
        <color rgb="FFDDDDDD"/>
      </left>
      <right style="hair">
        <color indexed="64"/>
      </right>
      <top/>
      <bottom style="thin">
        <color rgb="FF777777"/>
      </bottom>
      <diagonal/>
    </border>
    <border>
      <left/>
      <right style="thin">
        <color indexed="64"/>
      </right>
      <top/>
      <bottom style="thin">
        <color rgb="FF777777"/>
      </bottom>
      <diagonal/>
    </border>
    <border>
      <left style="thin">
        <color indexed="64"/>
      </left>
      <right style="hair">
        <color indexed="64"/>
      </right>
      <top style="thin">
        <color indexed="64"/>
      </top>
      <bottom style="thin">
        <color rgb="FF777777"/>
      </bottom>
      <diagonal/>
    </border>
    <border>
      <left/>
      <right style="hair">
        <color indexed="64"/>
      </right>
      <top style="thin">
        <color indexed="64"/>
      </top>
      <bottom style="thin">
        <color rgb="FF777777"/>
      </bottom>
      <diagonal/>
    </border>
    <border>
      <left style="thin">
        <color indexed="64"/>
      </left>
      <right/>
      <top style="thin">
        <color indexed="64"/>
      </top>
      <bottom style="thin">
        <color rgb="FF777777"/>
      </bottom>
      <diagonal/>
    </border>
    <border>
      <left/>
      <right style="hair">
        <color indexed="8"/>
      </right>
      <top style="thin">
        <color indexed="64"/>
      </top>
      <bottom style="thin">
        <color rgb="FF777777"/>
      </bottom>
      <diagonal/>
    </border>
    <border>
      <left style="hair">
        <color indexed="8"/>
      </left>
      <right/>
      <top/>
      <bottom style="thin">
        <color rgb="FF777777"/>
      </bottom>
      <diagonal/>
    </border>
    <border>
      <left style="thin">
        <color indexed="64"/>
      </left>
      <right/>
      <top/>
      <bottom style="thin">
        <color rgb="FF777777"/>
      </bottom>
      <diagonal/>
    </border>
    <border>
      <left/>
      <right style="hair">
        <color indexed="8"/>
      </right>
      <top/>
      <bottom style="thin">
        <color rgb="FF777777"/>
      </bottom>
      <diagonal/>
    </border>
    <border>
      <left/>
      <right/>
      <top style="thin">
        <color rgb="FF777777"/>
      </top>
      <bottom style="medium">
        <color rgb="FFF8F8F8"/>
      </bottom>
      <diagonal/>
    </border>
    <border>
      <left style="thin">
        <color rgb="FF808080"/>
      </left>
      <right/>
      <top/>
      <bottom style="thin">
        <color rgb="FFF8F8F8"/>
      </bottom>
      <diagonal/>
    </border>
    <border>
      <left style="thin">
        <color rgb="FFDDDDDD"/>
      </left>
      <right/>
      <top style="medium">
        <color rgb="FFF8F8F8"/>
      </top>
      <bottom/>
      <diagonal/>
    </border>
    <border>
      <left/>
      <right/>
      <top style="medium">
        <color rgb="FFF8F8F8"/>
      </top>
      <bottom/>
      <diagonal/>
    </border>
    <border>
      <left/>
      <right style="double">
        <color indexed="64"/>
      </right>
      <top style="medium">
        <color rgb="FFF8F8F8"/>
      </top>
      <bottom/>
      <diagonal/>
    </border>
    <border>
      <left style="double">
        <color indexed="64"/>
      </left>
      <right/>
      <top style="medium">
        <color rgb="FFF8F8F8"/>
      </top>
      <bottom style="thin">
        <color indexed="64"/>
      </bottom>
      <diagonal/>
    </border>
    <border>
      <left/>
      <right/>
      <top style="medium">
        <color rgb="FFF8F8F8"/>
      </top>
      <bottom style="thin">
        <color indexed="64"/>
      </bottom>
      <diagonal/>
    </border>
    <border>
      <left/>
      <right style="thin">
        <color rgb="FF808080"/>
      </right>
      <top style="medium">
        <color rgb="FFF8F8F8"/>
      </top>
      <bottom style="thin">
        <color indexed="64"/>
      </bottom>
      <diagonal/>
    </border>
    <border>
      <left style="double">
        <color indexed="64"/>
      </left>
      <right/>
      <top style="medium">
        <color rgb="FFF8F8F8"/>
      </top>
      <bottom/>
      <diagonal/>
    </border>
    <border>
      <left/>
      <right style="thin">
        <color rgb="FF808080"/>
      </right>
      <top style="medium">
        <color rgb="FFF8F8F8"/>
      </top>
      <bottom/>
      <diagonal/>
    </border>
    <border>
      <left/>
      <right style="double">
        <color indexed="64"/>
      </right>
      <top/>
      <bottom style="thin">
        <color rgb="FF777777"/>
      </bottom>
      <diagonal/>
    </border>
    <border>
      <left style="double">
        <color indexed="64"/>
      </left>
      <right/>
      <top/>
      <bottom/>
      <diagonal/>
    </border>
    <border>
      <left style="thin">
        <color indexed="8"/>
      </left>
      <right/>
      <top/>
      <bottom/>
      <diagonal/>
    </border>
    <border>
      <left style="double">
        <color indexed="64"/>
      </left>
      <right/>
      <top style="thin">
        <color indexed="64"/>
      </top>
      <bottom style="thin">
        <color rgb="FF777777"/>
      </bottom>
      <diagonal/>
    </border>
    <border>
      <left/>
      <right/>
      <top style="thin">
        <color indexed="64"/>
      </top>
      <bottom style="thin">
        <color rgb="FF777777"/>
      </bottom>
      <diagonal/>
    </border>
    <border>
      <left/>
      <right style="thin">
        <color indexed="8"/>
      </right>
      <top style="thin">
        <color indexed="64"/>
      </top>
      <bottom style="thin">
        <color rgb="FF777777"/>
      </bottom>
      <diagonal/>
    </border>
    <border>
      <left style="thin">
        <color indexed="8"/>
      </left>
      <right/>
      <top style="thin">
        <color indexed="64"/>
      </top>
      <bottom style="thin">
        <color rgb="FF777777"/>
      </bottom>
      <diagonal/>
    </border>
    <border>
      <left/>
      <right style="hair">
        <color indexed="8"/>
      </right>
      <top style="thin">
        <color rgb="FF777777"/>
      </top>
      <bottom style="thin">
        <color rgb="FF777777"/>
      </bottom>
      <diagonal/>
    </border>
    <border>
      <left style="double">
        <color indexed="64"/>
      </left>
      <right style="hair">
        <color indexed="64"/>
      </right>
      <top style="thin">
        <color rgb="FF777777"/>
      </top>
      <bottom style="thin">
        <color rgb="FF777777"/>
      </bottom>
      <diagonal/>
    </border>
    <border>
      <left style="thin">
        <color indexed="64"/>
      </left>
      <right style="hair">
        <color indexed="64"/>
      </right>
      <top style="thin">
        <color rgb="FF777777"/>
      </top>
      <bottom style="thin">
        <color rgb="FF777777"/>
      </bottom>
      <diagonal/>
    </border>
    <border>
      <left/>
      <right style="hair">
        <color indexed="8"/>
      </right>
      <top/>
      <bottom style="hair">
        <color indexed="64"/>
      </bottom>
      <diagonal/>
    </border>
    <border>
      <left/>
      <right/>
      <top/>
      <bottom style="hair">
        <color indexed="64"/>
      </bottom>
      <diagonal/>
    </border>
    <border>
      <left style="hair">
        <color indexed="8"/>
      </left>
      <right style="hair">
        <color auto="1"/>
      </right>
      <top/>
      <bottom style="hair">
        <color indexed="64"/>
      </bottom>
      <diagonal/>
    </border>
    <border>
      <left style="double">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thin">
        <color rgb="FF808080"/>
      </right>
      <top style="thin">
        <color rgb="FF777777"/>
      </top>
      <bottom style="hair">
        <color indexed="64"/>
      </bottom>
      <diagonal/>
    </border>
    <border>
      <left/>
      <right style="double">
        <color indexed="64"/>
      </right>
      <top/>
      <bottom style="hair">
        <color indexed="64"/>
      </bottom>
      <diagonal/>
    </border>
    <border>
      <left style="double">
        <color indexed="64"/>
      </left>
      <right/>
      <top style="thin">
        <color indexed="64"/>
      </top>
      <bottom/>
      <diagonal/>
    </border>
    <border>
      <left/>
      <right style="thin">
        <color indexed="64"/>
      </right>
      <top style="thin">
        <color indexed="64"/>
      </top>
      <bottom/>
      <diagonal/>
    </border>
    <border>
      <left style="thin">
        <color auto="1"/>
      </left>
      <right/>
      <top style="thin">
        <color auto="1"/>
      </top>
      <bottom/>
      <diagonal/>
    </border>
    <border>
      <left style="thin">
        <color indexed="64"/>
      </left>
      <right/>
      <top style="thin">
        <color rgb="FF777777"/>
      </top>
      <bottom/>
      <diagonal/>
    </border>
    <border>
      <left/>
      <right style="hair">
        <color indexed="8"/>
      </right>
      <top style="hair">
        <color indexed="64"/>
      </top>
      <bottom style="hair">
        <color indexed="64"/>
      </bottom>
      <diagonal/>
    </border>
    <border>
      <left style="hair">
        <color indexed="8"/>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rgb="FF808080"/>
      </right>
      <top style="hair">
        <color indexed="64"/>
      </top>
      <bottom style="hair">
        <color indexed="64"/>
      </bottom>
      <diagonal/>
    </border>
    <border>
      <left/>
      <right style="double">
        <color indexed="64"/>
      </right>
      <top style="hair">
        <color indexed="64"/>
      </top>
      <bottom style="hair">
        <color indexed="64"/>
      </bottom>
      <diagonal/>
    </border>
    <border>
      <left/>
      <right style="thin">
        <color indexed="64"/>
      </right>
      <top/>
      <bottom/>
      <diagonal/>
    </border>
    <border>
      <left style="thin">
        <color indexed="64"/>
      </left>
      <right/>
      <top/>
      <bottom/>
      <diagonal/>
    </border>
    <border>
      <left/>
      <right style="thin">
        <color rgb="FF777777"/>
      </right>
      <top style="thin">
        <color rgb="FFF8F8F8"/>
      </top>
      <bottom/>
      <diagonal/>
    </border>
    <border>
      <left style="thin">
        <color rgb="FF777777"/>
      </left>
      <right/>
      <top style="thin">
        <color rgb="FFF8F8F8"/>
      </top>
      <bottom style="thin">
        <color rgb="FF777777"/>
      </bottom>
      <diagonal/>
    </border>
    <border>
      <left/>
      <right style="thin">
        <color rgb="FF777777"/>
      </right>
      <top style="thin">
        <color rgb="FFF8F8F8"/>
      </top>
      <bottom style="thin">
        <color rgb="FF777777"/>
      </bottom>
      <diagonal/>
    </border>
    <border>
      <left style="thin">
        <color rgb="FF777777"/>
      </left>
      <right/>
      <top style="thin">
        <color rgb="FFF8F8F8"/>
      </top>
      <bottom/>
      <diagonal/>
    </border>
    <border>
      <left/>
      <right style="hair">
        <color indexed="8"/>
      </right>
      <top style="hair">
        <color indexed="64"/>
      </top>
      <bottom/>
      <diagonal/>
    </border>
    <border>
      <left/>
      <right/>
      <top style="hair">
        <color indexed="64"/>
      </top>
      <bottom/>
      <diagonal/>
    </border>
    <border>
      <left style="hair">
        <color indexed="8"/>
      </left>
      <right style="hair">
        <color auto="1"/>
      </right>
      <top style="hair">
        <color indexed="64"/>
      </top>
      <bottom style="thin">
        <color indexed="64"/>
      </bottom>
      <diagonal/>
    </border>
    <border>
      <left style="double">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style="thin">
        <color rgb="FF808080"/>
      </right>
      <top style="hair">
        <color indexed="64"/>
      </top>
      <bottom/>
      <diagonal/>
    </border>
    <border>
      <left/>
      <right style="double">
        <color indexed="64"/>
      </right>
      <top style="hair">
        <color indexed="64"/>
      </top>
      <bottom/>
      <diagonal/>
    </border>
    <border>
      <left/>
      <right style="thin">
        <color rgb="FF777777"/>
      </right>
      <top style="thin">
        <color rgb="FF777777"/>
      </top>
      <bottom style="thin">
        <color rgb="FF777777"/>
      </bottom>
      <diagonal/>
    </border>
    <border>
      <left style="thin">
        <color rgb="FF777777"/>
      </left>
      <right/>
      <top style="thin">
        <color rgb="FF777777"/>
      </top>
      <bottom style="thin">
        <color rgb="FF777777"/>
      </bottom>
      <diagonal/>
    </border>
    <border>
      <left style="thin">
        <color rgb="FFDDDDDD"/>
      </left>
      <right style="thin">
        <color rgb="FF808080"/>
      </right>
      <top/>
      <bottom style="thin">
        <color indexed="23"/>
      </bottom>
      <diagonal/>
    </border>
    <border>
      <left/>
      <right/>
      <top style="thin">
        <color auto="1"/>
      </top>
      <bottom/>
      <diagonal/>
    </border>
    <border>
      <left style="hair">
        <color indexed="64"/>
      </left>
      <right/>
      <top style="thin">
        <color indexed="64"/>
      </top>
      <bottom/>
      <diagonal/>
    </border>
    <border>
      <left style="hair">
        <color indexed="64"/>
      </left>
      <right style="thin">
        <color rgb="FF808080"/>
      </right>
      <top style="thin">
        <color indexed="64"/>
      </top>
      <bottom/>
      <diagonal/>
    </border>
    <border>
      <left style="double">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double">
        <color indexed="64"/>
      </right>
      <top style="thin">
        <color indexed="64"/>
      </top>
      <bottom/>
      <diagonal/>
    </border>
    <border>
      <left style="thin">
        <color rgb="FFDDDDDD"/>
      </left>
      <right style="hair">
        <color indexed="64"/>
      </right>
      <top style="thin">
        <color rgb="FFF8F8F8"/>
      </top>
      <bottom style="thin">
        <color rgb="FF777777"/>
      </bottom>
      <diagonal/>
    </border>
    <border>
      <left style="hair">
        <color indexed="64"/>
      </left>
      <right style="hair">
        <color indexed="64"/>
      </right>
      <top style="thin">
        <color rgb="FFF8F8F8"/>
      </top>
      <bottom style="thin">
        <color rgb="FF777777"/>
      </bottom>
      <diagonal/>
    </border>
    <border>
      <left/>
      <right style="hair">
        <color indexed="64"/>
      </right>
      <top style="thin">
        <color rgb="FFF8F8F8"/>
      </top>
      <bottom style="thin">
        <color rgb="FF777777"/>
      </bottom>
      <diagonal/>
    </border>
    <border>
      <left style="hair">
        <color indexed="64"/>
      </left>
      <right/>
      <top style="thin">
        <color rgb="FFF8F8F8"/>
      </top>
      <bottom style="thin">
        <color rgb="FF777777"/>
      </bottom>
      <diagonal/>
    </border>
    <border>
      <left style="double">
        <color indexed="64"/>
      </left>
      <right style="hair">
        <color indexed="64"/>
      </right>
      <top style="thin">
        <color rgb="FFF8F8F8"/>
      </top>
      <bottom style="thin">
        <color rgb="FF777777"/>
      </bottom>
      <diagonal/>
    </border>
    <border>
      <left style="thin">
        <color indexed="8"/>
      </left>
      <right style="hair">
        <color indexed="64"/>
      </right>
      <top style="thin">
        <color rgb="FFF8F8F8"/>
      </top>
      <bottom style="thin">
        <color rgb="FF777777"/>
      </bottom>
      <diagonal/>
    </border>
    <border>
      <left/>
      <right style="double">
        <color indexed="64"/>
      </right>
      <top style="thin">
        <color rgb="FFF8F8F8"/>
      </top>
      <bottom style="thin">
        <color rgb="FF777777"/>
      </bottom>
      <diagonal/>
    </border>
    <border>
      <left style="hair">
        <color indexed="8"/>
      </left>
      <right/>
      <top/>
      <bottom style="hair">
        <color indexed="64"/>
      </bottom>
      <diagonal/>
    </border>
    <border>
      <left style="thin">
        <color indexed="8"/>
      </left>
      <right style="hair">
        <color indexed="64"/>
      </right>
      <top/>
      <bottom style="hair">
        <color indexed="64"/>
      </bottom>
      <diagonal/>
    </border>
    <border>
      <left style="hair">
        <color indexed="8"/>
      </left>
      <right/>
      <top style="hair">
        <color indexed="64"/>
      </top>
      <bottom style="hair">
        <color indexed="64"/>
      </bottom>
      <diagonal/>
    </border>
    <border>
      <left style="thin">
        <color indexed="8"/>
      </left>
      <right style="hair">
        <color indexed="64"/>
      </right>
      <top style="hair">
        <color indexed="64"/>
      </top>
      <bottom style="hair">
        <color indexed="64"/>
      </bottom>
      <diagonal/>
    </border>
    <border diagonalUp="1">
      <left style="thin">
        <color rgb="FF777777"/>
      </left>
      <right style="thin">
        <color rgb="FF808080"/>
      </right>
      <top style="thin">
        <color rgb="FF777777"/>
      </top>
      <bottom style="thin">
        <color rgb="FF777777"/>
      </bottom>
      <diagonal style="thin">
        <color rgb="FF777777"/>
      </diagonal>
    </border>
    <border>
      <left style="hair">
        <color indexed="8"/>
      </left>
      <right/>
      <top style="hair">
        <color indexed="64"/>
      </top>
      <bottom/>
      <diagonal/>
    </border>
    <border>
      <left style="thin">
        <color indexed="8"/>
      </left>
      <right style="hair">
        <color indexed="64"/>
      </right>
      <top style="hair">
        <color indexed="64"/>
      </top>
      <bottom/>
      <diagonal/>
    </border>
    <border>
      <left style="thin">
        <color indexed="8"/>
      </left>
      <right/>
      <top style="thin">
        <color indexed="64"/>
      </top>
      <bottom/>
      <diagonal/>
    </border>
    <border>
      <left style="thin">
        <color indexed="64"/>
      </left>
      <right/>
      <top style="thin">
        <color indexed="64"/>
      </top>
      <bottom/>
      <diagonal/>
    </border>
    <border>
      <left style="thin">
        <color indexed="8"/>
      </left>
      <right style="hair">
        <color indexed="64"/>
      </right>
      <top style="thin">
        <color indexed="64"/>
      </top>
      <bottom/>
      <diagonal/>
    </border>
    <border>
      <left style="thin">
        <color rgb="FFDDDDDD"/>
      </left>
      <right/>
      <top style="thin">
        <color indexed="23"/>
      </top>
      <bottom/>
      <diagonal/>
    </border>
    <border>
      <left style="thin">
        <color indexed="64"/>
      </left>
      <right style="hair">
        <color indexed="64"/>
      </right>
      <top style="thin">
        <color rgb="FFF8F8F8"/>
      </top>
      <bottom style="thin">
        <color rgb="FF777777"/>
      </bottom>
      <diagonal/>
    </border>
    <border>
      <left/>
      <right style="thin">
        <color rgb="FF777777"/>
      </right>
      <top/>
      <bottom/>
      <diagonal/>
    </border>
    <border>
      <left/>
      <right style="thin">
        <color rgb="FF777777"/>
      </right>
      <top style="medium">
        <color rgb="FFF8F8F8"/>
      </top>
      <bottom style="thin">
        <color rgb="FF777777"/>
      </bottom>
      <diagonal/>
    </border>
    <border>
      <left style="thin">
        <color rgb="FF777777"/>
      </left>
      <right style="thin">
        <color rgb="FF808080"/>
      </right>
      <top style="medium">
        <color rgb="FFF8F8F8"/>
      </top>
      <bottom style="thin">
        <color rgb="FF777777"/>
      </bottom>
      <diagonal/>
    </border>
    <border>
      <left style="thin">
        <color rgb="FF808080"/>
      </left>
      <right/>
      <top style="hair">
        <color indexed="64"/>
      </top>
      <bottom style="thin">
        <color indexed="64"/>
      </bottom>
      <diagonal/>
    </border>
    <border>
      <left/>
      <right/>
      <top style="hair">
        <color indexed="64"/>
      </top>
      <bottom style="thin">
        <color indexed="64"/>
      </bottom>
      <diagonal/>
    </border>
    <border>
      <left style="double">
        <color indexed="64"/>
      </left>
      <right style="hair">
        <color indexed="64"/>
      </right>
      <top/>
      <bottom/>
      <diagonal/>
    </border>
    <border>
      <left style="thin">
        <color indexed="64"/>
      </left>
      <right style="hair">
        <color indexed="64"/>
      </right>
      <top/>
      <bottom/>
      <diagonal/>
    </border>
    <border>
      <left style="thin">
        <color indexed="23"/>
      </left>
      <right style="thin">
        <color rgb="FF808080"/>
      </right>
      <top/>
      <bottom/>
      <diagonal/>
    </border>
    <border>
      <left/>
      <right style="double">
        <color indexed="64"/>
      </right>
      <top/>
      <bottom/>
      <diagonal/>
    </border>
    <border>
      <left/>
      <right style="thin">
        <color indexed="64"/>
      </right>
      <top style="thin">
        <color indexed="64"/>
      </top>
      <bottom/>
      <diagonal/>
    </border>
    <border>
      <left/>
      <right style="hair">
        <color indexed="64"/>
      </right>
      <top style="thin">
        <color indexed="64"/>
      </top>
      <bottom/>
      <diagonal/>
    </border>
    <border>
      <left/>
      <right style="thin">
        <color rgb="FF808080"/>
      </right>
      <top style="thin">
        <color indexed="64"/>
      </top>
      <bottom/>
      <diagonal/>
    </border>
    <border>
      <left/>
      <right style="double">
        <color indexed="64"/>
      </right>
      <top style="thin">
        <color indexed="64"/>
      </top>
      <bottom/>
      <diagonal/>
    </border>
    <border>
      <left style="thin">
        <color rgb="FFDDDDDD"/>
      </left>
      <right/>
      <top style="thin">
        <color rgb="FF808080"/>
      </top>
      <bottom/>
      <diagonal/>
    </border>
    <border>
      <left style="hair">
        <color indexed="8"/>
      </left>
      <right/>
      <top style="thin">
        <color rgb="FF777777"/>
      </top>
      <bottom style="hair">
        <color indexed="64"/>
      </bottom>
      <diagonal/>
    </border>
    <border>
      <left style="hair">
        <color indexed="64"/>
      </left>
      <right/>
      <top style="thin">
        <color rgb="FF777777"/>
      </top>
      <bottom style="hair">
        <color indexed="64"/>
      </bottom>
      <diagonal/>
    </border>
    <border>
      <left/>
      <right style="double">
        <color indexed="64"/>
      </right>
      <top style="thin">
        <color rgb="FF777777"/>
      </top>
      <bottom style="hair">
        <color indexed="64"/>
      </bottom>
      <diagonal/>
    </border>
    <border>
      <left style="hair">
        <color indexed="64"/>
      </left>
      <right/>
      <top style="hair">
        <color indexed="64"/>
      </top>
      <bottom style="hair">
        <color indexed="64"/>
      </bottom>
      <diagonal/>
    </border>
    <border>
      <left style="thin">
        <color rgb="FFDDDDDD"/>
      </left>
      <right style="thin">
        <color rgb="FF808080"/>
      </right>
      <top/>
      <bottom style="thin">
        <color rgb="FF808080"/>
      </bottom>
      <diagonal/>
    </border>
    <border>
      <left style="thin">
        <color rgb="FF777777"/>
      </left>
      <right style="thin">
        <color rgb="FF808080"/>
      </right>
      <top/>
      <bottom/>
      <diagonal/>
    </border>
    <border>
      <left style="thin">
        <color rgb="FF808080"/>
      </left>
      <right/>
      <top style="thin">
        <color rgb="FF777777"/>
      </top>
      <bottom style="hair">
        <color indexed="64"/>
      </bottom>
      <diagonal/>
    </border>
    <border>
      <left/>
      <right style="double">
        <color indexed="64"/>
      </right>
      <top style="hair">
        <color indexed="64"/>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rgb="FFDDDDDD"/>
      </left>
      <right/>
      <top style="thin">
        <color rgb="FF777777"/>
      </top>
      <bottom/>
      <diagonal/>
    </border>
    <border>
      <left/>
      <right style="thin">
        <color rgb="FF777777"/>
      </right>
      <top style="thin">
        <color rgb="FF777777"/>
      </top>
      <bottom/>
      <diagonal/>
    </border>
    <border>
      <left style="thin">
        <color rgb="FF777777"/>
      </left>
      <right style="thin">
        <color rgb="FF808080"/>
      </right>
      <top style="thin">
        <color rgb="FF777777"/>
      </top>
      <bottom/>
      <diagonal/>
    </border>
    <border>
      <left style="thin">
        <color rgb="FFDDDDDD"/>
      </left>
      <right style="thin">
        <color rgb="FF808080"/>
      </right>
      <top/>
      <bottom style="double">
        <color indexed="64"/>
      </bottom>
      <diagonal/>
    </border>
    <border>
      <left style="thin">
        <color rgb="FFDDDDDD"/>
      </left>
      <right style="thin">
        <color rgb="FF808080"/>
      </right>
      <top style="thin">
        <color rgb="FF777777"/>
      </top>
      <bottom style="double">
        <color indexed="64"/>
      </bottom>
      <diagonal/>
    </border>
    <border>
      <left style="thin">
        <color rgb="FFDDDDDD"/>
      </left>
      <right/>
      <top/>
      <bottom style="thin">
        <color indexed="64"/>
      </bottom>
      <diagonal/>
    </border>
    <border>
      <left/>
      <right/>
      <top style="double">
        <color indexed="64"/>
      </top>
      <bottom style="thin">
        <color indexed="64"/>
      </bottom>
      <diagonal/>
    </border>
    <border>
      <left style="double">
        <color indexed="64"/>
      </left>
      <right style="hair">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23"/>
      </left>
      <right style="thin">
        <color rgb="FF808080"/>
      </right>
      <top style="double">
        <color indexed="64"/>
      </top>
      <bottom style="thin">
        <color indexed="64"/>
      </bottom>
      <diagonal/>
    </border>
    <border>
      <left/>
      <right style="hair">
        <color indexed="64"/>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rgb="FF777777"/>
      </top>
      <bottom/>
      <diagonal/>
    </border>
    <border>
      <left style="thin">
        <color rgb="FFDDDDDD"/>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808080"/>
      </right>
      <top style="thin">
        <color indexed="64"/>
      </top>
      <bottom style="thin">
        <color indexed="64"/>
      </bottom>
      <diagonal/>
    </border>
    <border>
      <left style="double">
        <color indexed="64"/>
      </left>
      <right style="hair">
        <color indexed="64"/>
      </right>
      <top style="thin">
        <color indexed="64"/>
      </top>
      <bottom style="thin">
        <color auto="1"/>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rgb="FFDDDDDD"/>
      </left>
      <right/>
      <top style="thin">
        <color indexed="64"/>
      </top>
      <bottom/>
      <diagonal/>
    </border>
    <border>
      <left style="hair">
        <color indexed="64"/>
      </left>
      <right style="thin">
        <color indexed="64"/>
      </right>
      <top style="thin">
        <color indexed="64"/>
      </top>
      <bottom/>
      <diagonal/>
    </border>
    <border>
      <left style="thin">
        <color indexed="23"/>
      </left>
      <right style="thin">
        <color rgb="FF808080"/>
      </right>
      <top style="thin">
        <color indexed="64"/>
      </top>
      <bottom/>
      <diagonal/>
    </border>
    <border>
      <left style="double">
        <color auto="1"/>
      </left>
      <right style="hair">
        <color auto="1"/>
      </right>
      <top style="thin">
        <color auto="1"/>
      </top>
      <bottom style="thin">
        <color rgb="FFF8F8F8"/>
      </bottom>
      <diagonal/>
    </border>
    <border>
      <left style="thin">
        <color rgb="FFDDDDDD"/>
      </left>
      <right/>
      <top style="medium">
        <color theme="0" tint="-0.14993743705557422"/>
      </top>
      <bottom/>
      <diagonal/>
    </border>
    <border>
      <left style="hair">
        <color indexed="64"/>
      </left>
      <right style="thin">
        <color indexed="64"/>
      </right>
      <top style="thin">
        <color rgb="FFF8F8F8"/>
      </top>
      <bottom style="thin">
        <color rgb="FF777777"/>
      </bottom>
      <diagonal/>
    </border>
    <border>
      <left style="thin">
        <color indexed="23"/>
      </left>
      <right style="thin">
        <color rgb="FF808080"/>
      </right>
      <top style="thin">
        <color rgb="FFF8F8F8"/>
      </top>
      <bottom style="thin">
        <color rgb="FF777777"/>
      </bottom>
      <diagonal/>
    </border>
    <border>
      <left style="hair">
        <color indexed="64"/>
      </left>
      <right style="thin">
        <color indexed="64"/>
      </right>
      <top/>
      <bottom style="hair">
        <color indexed="64"/>
      </bottom>
      <diagonal/>
    </border>
    <border>
      <left style="double">
        <color indexed="64"/>
      </left>
      <right/>
      <top style="thin">
        <color rgb="FF777777"/>
      </top>
      <bottom/>
      <diagonal/>
    </border>
    <border>
      <left/>
      <right style="thin">
        <color indexed="64"/>
      </right>
      <top style="thin">
        <color rgb="FF777777"/>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diagonal/>
    </border>
    <border>
      <left style="thin">
        <color rgb="FFDDDDDD"/>
      </left>
      <right/>
      <top/>
      <bottom style="double">
        <color indexed="64"/>
      </bottom>
      <diagonal/>
    </border>
    <border>
      <left style="thin">
        <color indexed="23"/>
      </left>
      <right/>
      <top style="thin">
        <color indexed="64"/>
      </top>
      <bottom style="double">
        <color indexed="64"/>
      </bottom>
      <diagonal/>
    </border>
    <border>
      <left/>
      <right/>
      <top style="thin">
        <color indexed="64"/>
      </top>
      <bottom style="double">
        <color indexed="64"/>
      </bottom>
      <diagonal/>
    </border>
    <border>
      <left style="double">
        <color indexed="64"/>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right style="thin">
        <color rgb="FF808080"/>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rgb="FFDDDDDD"/>
      </left>
      <right style="thin">
        <color rgb="FF777777"/>
      </right>
      <top style="thin">
        <color rgb="FF777777"/>
      </top>
      <bottom/>
      <diagonal/>
    </border>
    <border>
      <left style="thin">
        <color rgb="FFDDDDDD"/>
      </left>
      <right/>
      <top style="double">
        <color indexed="64"/>
      </top>
      <bottom/>
      <diagonal/>
    </border>
    <border>
      <left style="thin">
        <color indexed="23"/>
      </left>
      <right/>
      <top style="double">
        <color indexed="64"/>
      </top>
      <bottom/>
      <diagonal/>
    </border>
    <border>
      <left/>
      <right/>
      <top style="double">
        <color indexed="64"/>
      </top>
      <bottom/>
      <diagonal/>
    </border>
    <border>
      <left style="double">
        <color indexed="64"/>
      </left>
      <right style="hair">
        <color indexed="64"/>
      </right>
      <top style="double">
        <color indexed="64"/>
      </top>
      <bottom/>
      <diagonal/>
    </border>
    <border>
      <left style="thin">
        <color indexed="64"/>
      </left>
      <right style="hair">
        <color indexed="64"/>
      </right>
      <top style="double">
        <color indexed="64"/>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diagonal/>
    </border>
    <border>
      <left/>
      <right style="thin">
        <color rgb="FF808080"/>
      </right>
      <top style="double">
        <color indexed="64"/>
      </top>
      <bottom/>
      <diagonal/>
    </border>
    <border>
      <left/>
      <right style="double">
        <color indexed="64"/>
      </right>
      <top style="double">
        <color indexed="64"/>
      </top>
      <bottom/>
      <diagonal/>
    </border>
    <border>
      <left style="thin">
        <color rgb="FFDDDDDD"/>
      </left>
      <right/>
      <top style="thin">
        <color indexed="64"/>
      </top>
      <bottom style="thin">
        <color rgb="FF777777"/>
      </bottom>
      <diagonal/>
    </border>
    <border>
      <left style="thin">
        <color indexed="23"/>
      </left>
      <right/>
      <top style="thin">
        <color indexed="64"/>
      </top>
      <bottom style="thin">
        <color rgb="FF777777"/>
      </bottom>
      <diagonal/>
    </border>
    <border>
      <left style="double">
        <color indexed="64"/>
      </left>
      <right style="hair">
        <color indexed="64"/>
      </right>
      <top style="thin">
        <color indexed="64"/>
      </top>
      <bottom style="thin">
        <color rgb="FF777777"/>
      </bottom>
      <diagonal/>
    </border>
    <border>
      <left/>
      <right style="thin">
        <color indexed="64"/>
      </right>
      <top style="thin">
        <color indexed="64"/>
      </top>
      <bottom style="thin">
        <color rgb="FF777777"/>
      </bottom>
      <diagonal/>
    </border>
    <border>
      <left/>
      <right style="thin">
        <color rgb="FF808080"/>
      </right>
      <top style="thin">
        <color indexed="64"/>
      </top>
      <bottom style="thin">
        <color rgb="FF777777"/>
      </bottom>
      <diagonal/>
    </border>
    <border>
      <left/>
      <right style="double">
        <color indexed="64"/>
      </right>
      <top style="thin">
        <color indexed="64"/>
      </top>
      <bottom style="thin">
        <color rgb="FF777777"/>
      </bottom>
      <diagonal/>
    </border>
    <border>
      <left/>
      <right style="double">
        <color indexed="64"/>
      </right>
      <top style="thin">
        <color rgb="FFF8F8F8"/>
      </top>
      <bottom/>
      <diagonal/>
    </border>
    <border>
      <left style="double">
        <color indexed="64"/>
      </left>
      <right/>
      <top style="thin">
        <color rgb="FFF8F8F8"/>
      </top>
      <bottom style="thin">
        <color indexed="23"/>
      </bottom>
      <diagonal/>
    </border>
    <border>
      <left/>
      <right/>
      <top style="thin">
        <color rgb="FFF8F8F8"/>
      </top>
      <bottom style="thin">
        <color indexed="23"/>
      </bottom>
      <diagonal/>
    </border>
    <border>
      <left style="thin">
        <color indexed="8"/>
      </left>
      <right/>
      <top style="thin">
        <color rgb="FFF8F8F8"/>
      </top>
      <bottom style="thin">
        <color indexed="23"/>
      </bottom>
      <diagonal/>
    </border>
    <border>
      <left/>
      <right style="thin">
        <color rgb="FF808080"/>
      </right>
      <top style="thin">
        <color rgb="FFF8F8F8"/>
      </top>
      <bottom style="thin">
        <color indexed="23"/>
      </bottom>
      <diagonal/>
    </border>
    <border>
      <left style="double">
        <color indexed="64"/>
      </left>
      <right style="hair">
        <color indexed="64"/>
      </right>
      <top style="medium">
        <color rgb="FFF8F8F8"/>
      </top>
      <bottom style="thin">
        <color rgb="FF777777"/>
      </bottom>
      <diagonal/>
    </border>
    <border>
      <left/>
      <right style="thin">
        <color indexed="8"/>
      </right>
      <top style="medium">
        <color rgb="FFF8F8F8"/>
      </top>
      <bottom style="thin">
        <color rgb="FF777777"/>
      </bottom>
      <diagonal/>
    </border>
    <border>
      <left style="thin">
        <color indexed="8"/>
      </left>
      <right style="hair">
        <color indexed="64"/>
      </right>
      <top style="medium">
        <color rgb="FFF8F8F8"/>
      </top>
      <bottom style="thin">
        <color rgb="FF777777"/>
      </bottom>
      <diagonal/>
    </border>
    <border>
      <left/>
      <right style="double">
        <color indexed="64"/>
      </right>
      <top style="medium">
        <color rgb="FFF8F8F8"/>
      </top>
      <bottom style="thin">
        <color rgb="FF777777"/>
      </bottom>
      <diagonal/>
    </border>
    <border>
      <left style="thin">
        <color indexed="8"/>
      </left>
      <right style="hair">
        <color indexed="64"/>
      </right>
      <top/>
      <bottom/>
      <diagonal/>
    </border>
    <border>
      <left style="double">
        <color indexed="64"/>
      </left>
      <right style="hair">
        <color indexed="64"/>
      </right>
      <top style="thin">
        <color rgb="FF777777"/>
      </top>
      <bottom style="hair">
        <color indexed="64"/>
      </bottom>
      <diagonal/>
    </border>
    <border>
      <left/>
      <right style="thin">
        <color indexed="64"/>
      </right>
      <top style="thin">
        <color rgb="FF777777"/>
      </top>
      <bottom style="hair">
        <color indexed="64"/>
      </bottom>
      <diagonal/>
    </border>
    <border>
      <left style="thin">
        <color indexed="64"/>
      </left>
      <right style="hair">
        <color indexed="64"/>
      </right>
      <top style="thin">
        <color rgb="FF777777"/>
      </top>
      <bottom style="hair">
        <color indexed="64"/>
      </bottom>
      <diagonal/>
    </border>
    <border>
      <left style="hair">
        <color indexed="64"/>
      </left>
      <right style="thin">
        <color indexed="64"/>
      </right>
      <top style="thin">
        <color rgb="FF777777"/>
      </top>
      <bottom style="hair">
        <color indexed="64"/>
      </bottom>
      <diagonal/>
    </border>
    <border>
      <left style="thin">
        <color rgb="FFDDDDDD"/>
      </left>
      <right/>
      <top/>
      <bottom style="hair">
        <color indexed="64"/>
      </bottom>
      <diagonal/>
    </border>
    <border>
      <left style="double">
        <color indexed="64"/>
      </left>
      <right style="hair">
        <color indexed="64"/>
      </right>
      <top/>
      <bottom style="thin">
        <color rgb="FF777777"/>
      </bottom>
      <diagonal/>
    </border>
    <border>
      <left style="thin">
        <color indexed="64"/>
      </left>
      <right style="hair">
        <color indexed="64"/>
      </right>
      <top/>
      <bottom style="thin">
        <color rgb="FF777777"/>
      </bottom>
      <diagonal/>
    </border>
    <border>
      <left style="double">
        <color indexed="64"/>
      </left>
      <right style="hair">
        <color indexed="64"/>
      </right>
      <top style="hair">
        <color indexed="64"/>
      </top>
      <bottom style="thin">
        <color rgb="FF777777"/>
      </bottom>
      <diagonal/>
    </border>
    <border>
      <left/>
      <right style="thin">
        <color indexed="64"/>
      </right>
      <top style="hair">
        <color indexed="64"/>
      </top>
      <bottom style="thin">
        <color rgb="FF777777"/>
      </bottom>
      <diagonal/>
    </border>
    <border>
      <left style="thin">
        <color indexed="64"/>
      </left>
      <right style="hair">
        <color indexed="64"/>
      </right>
      <top style="hair">
        <color indexed="64"/>
      </top>
      <bottom style="thin">
        <color rgb="FF777777"/>
      </bottom>
      <diagonal/>
    </border>
    <border>
      <left/>
      <right style="double">
        <color auto="1"/>
      </right>
      <top style="hair">
        <color indexed="64"/>
      </top>
      <bottom style="thin">
        <color rgb="FF777777"/>
      </bottom>
      <diagonal/>
    </border>
    <border diagonalUp="1">
      <left style="thin">
        <color indexed="64"/>
      </left>
      <right/>
      <top style="thin">
        <color rgb="FF777777"/>
      </top>
      <bottom style="hair">
        <color indexed="64"/>
      </bottom>
      <diagonal style="thin">
        <color indexed="64"/>
      </diagonal>
    </border>
    <border diagonalUp="1">
      <left/>
      <right style="thin">
        <color rgb="FF808080"/>
      </right>
      <top style="thin">
        <color rgb="FF777777"/>
      </top>
      <bottom style="hair">
        <color indexed="64"/>
      </bottom>
      <diagonal style="thin">
        <color indexed="64"/>
      </diagonal>
    </border>
    <border diagonalUp="1">
      <left style="double">
        <color auto="1"/>
      </left>
      <right/>
      <top style="hair">
        <color indexed="64"/>
      </top>
      <bottom style="thin">
        <color rgb="FF777777"/>
      </bottom>
      <diagonal style="thin">
        <color auto="1"/>
      </diagonal>
    </border>
    <border diagonalUp="1">
      <left/>
      <right/>
      <top style="hair">
        <color indexed="64"/>
      </top>
      <bottom style="thin">
        <color rgb="FF777777"/>
      </bottom>
      <diagonal style="thin">
        <color auto="1"/>
      </diagonal>
    </border>
    <border diagonalUp="1">
      <left/>
      <right style="thin">
        <color indexed="64"/>
      </right>
      <top style="hair">
        <color indexed="64"/>
      </top>
      <bottom style="thin">
        <color rgb="FF777777"/>
      </bottom>
      <diagonal style="thin">
        <color auto="1"/>
      </diagonal>
    </border>
    <border>
      <left style="double">
        <color indexed="64"/>
      </left>
      <right/>
      <top style="medium">
        <color rgb="FFF8F8F8"/>
      </top>
      <bottom style="thin">
        <color rgb="FF777777"/>
      </bottom>
      <diagonal/>
    </border>
    <border>
      <left/>
      <right style="thin">
        <color indexed="64"/>
      </right>
      <top style="medium">
        <color rgb="FFF8F8F8"/>
      </top>
      <bottom style="thin">
        <color rgb="FF777777"/>
      </bottom>
      <diagonal/>
    </border>
    <border>
      <left style="double">
        <color indexed="64"/>
      </left>
      <right/>
      <top style="hair">
        <color indexed="64"/>
      </top>
      <bottom style="hair">
        <color indexed="64"/>
      </bottom>
      <diagonal/>
    </border>
    <border>
      <left style="thin">
        <color indexed="64"/>
      </left>
      <right/>
      <top style="hair">
        <color indexed="64"/>
      </top>
      <bottom style="hair">
        <color indexed="64"/>
      </bottom>
      <diagonal/>
    </border>
    <border>
      <left style="double">
        <color auto="1"/>
      </left>
      <right/>
      <top style="hair">
        <color indexed="64"/>
      </top>
      <bottom style="thin">
        <color rgb="FF777777"/>
      </bottom>
      <diagonal/>
    </border>
    <border>
      <left style="thin">
        <color indexed="64"/>
      </left>
      <right/>
      <top style="hair">
        <color indexed="64"/>
      </top>
      <bottom style="thin">
        <color rgb="FF777777"/>
      </bottom>
      <diagonal/>
    </border>
    <border>
      <left style="hair">
        <color indexed="64"/>
      </left>
      <right style="hair">
        <color indexed="64"/>
      </right>
      <top/>
      <bottom style="thin">
        <color rgb="FF777777"/>
      </bottom>
      <diagonal/>
    </border>
    <border>
      <left style="thin">
        <color indexed="64"/>
      </left>
      <right style="thin">
        <color indexed="64"/>
      </right>
      <top/>
      <bottom style="thin">
        <color rgb="FF777777"/>
      </bottom>
      <diagonal/>
    </border>
    <border>
      <left style="hair">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rgb="FFDDDDDD"/>
      </left>
      <right style="hair">
        <color indexed="64"/>
      </right>
      <top/>
      <bottom style="hair">
        <color indexed="64"/>
      </bottom>
      <diagonal/>
    </border>
    <border>
      <left style="thin">
        <color indexed="64"/>
      </left>
      <right style="thin">
        <color indexed="64"/>
      </right>
      <top style="thin">
        <color rgb="FF777777"/>
      </top>
      <bottom style="hair">
        <color indexed="64"/>
      </bottom>
      <diagonal/>
    </border>
    <border>
      <left style="thin">
        <color rgb="FFDDDDDD"/>
      </left>
      <right style="hair">
        <color indexed="64"/>
      </right>
      <top style="thin">
        <color rgb="FF777777"/>
      </top>
      <bottom style="hair">
        <color indexed="64"/>
      </bottom>
      <diagonal/>
    </border>
    <border>
      <left style="thin">
        <color rgb="FF777777"/>
      </left>
      <right/>
      <top/>
      <bottom style="thin">
        <color rgb="FF777777"/>
      </bottom>
      <diagonal/>
    </border>
    <border>
      <left style="thin">
        <color rgb="FF777777"/>
      </left>
      <right style="thin">
        <color rgb="FF808080"/>
      </right>
      <top style="medium">
        <color rgb="FFF8F8F8"/>
      </top>
      <bottom/>
      <diagonal/>
    </border>
    <border>
      <left style="thin">
        <color rgb="FF777777"/>
      </left>
      <right style="thin">
        <color rgb="FF777777"/>
      </right>
      <top style="medium">
        <color rgb="FFF8F8F8"/>
      </top>
      <bottom/>
      <diagonal/>
    </border>
    <border>
      <left style="thin">
        <color rgb="FFDDDDDD"/>
      </left>
      <right style="thin">
        <color rgb="FF777777"/>
      </right>
      <top style="medium">
        <color rgb="FFF8F8F8"/>
      </top>
      <bottom/>
      <diagonal/>
    </border>
    <border>
      <left style="thin">
        <color rgb="FF777777"/>
      </left>
      <right/>
      <top style="medium">
        <color rgb="FFF8F8F8"/>
      </top>
      <bottom/>
      <diagonal/>
    </border>
    <border>
      <left/>
      <right style="thin">
        <color rgb="FF777777"/>
      </right>
      <top style="medium">
        <color rgb="FFF8F8F8"/>
      </top>
      <bottom/>
      <diagonal/>
    </border>
    <border>
      <left style="hair">
        <color indexed="64"/>
      </left>
      <right style="hair">
        <color indexed="64"/>
      </right>
      <top style="hair">
        <color indexed="64"/>
      </top>
      <bottom/>
      <diagonal/>
    </border>
    <border>
      <left style="thin">
        <color indexed="64"/>
      </left>
      <right style="thin">
        <color indexed="64"/>
      </right>
      <top/>
      <bottom/>
      <diagonal/>
    </border>
    <border>
      <left style="hair">
        <color indexed="64"/>
      </left>
      <right style="thin">
        <color indexed="64"/>
      </right>
      <top style="hair">
        <color indexed="64"/>
      </top>
      <bottom/>
      <diagonal/>
    </border>
    <border>
      <left/>
      <right style="thin">
        <color indexed="64"/>
      </right>
      <top style="thin">
        <color rgb="FFF8F8F8"/>
      </top>
      <bottom style="hair">
        <color indexed="64"/>
      </bottom>
      <diagonal/>
    </border>
    <border>
      <left style="thin">
        <color indexed="64"/>
      </left>
      <right style="thin">
        <color indexed="64"/>
      </right>
      <top style="thin">
        <color rgb="FFF8F8F8"/>
      </top>
      <bottom/>
      <diagonal/>
    </border>
    <border>
      <left style="thin">
        <color rgb="FF777777"/>
      </left>
      <right style="thin">
        <color rgb="FF777777"/>
      </right>
      <top style="medium">
        <color rgb="FFF8F8F8"/>
      </top>
      <bottom style="thin">
        <color rgb="FF777777"/>
      </bottom>
      <diagonal/>
    </border>
    <border>
      <left style="thin">
        <color rgb="FFDDDDDD"/>
      </left>
      <right style="thin">
        <color rgb="FF777777"/>
      </right>
      <top style="medium">
        <color rgb="FFF8F8F8"/>
      </top>
      <bottom style="thin">
        <color rgb="FF777777"/>
      </bottom>
      <diagonal/>
    </border>
    <border>
      <left/>
      <right/>
      <top style="double">
        <color rgb="FF777777"/>
      </top>
      <bottom style="thin">
        <color rgb="FF777777"/>
      </bottom>
      <diagonal/>
    </border>
    <border>
      <left style="thin">
        <color rgb="FFDDDDDD"/>
      </left>
      <right/>
      <top style="double">
        <color rgb="FF777777"/>
      </top>
      <bottom style="thin">
        <color rgb="FF777777"/>
      </bottom>
      <diagonal/>
    </border>
    <border>
      <left style="hair">
        <color rgb="FF000000"/>
      </left>
      <right/>
      <top style="double">
        <color rgb="FF777777"/>
      </top>
      <bottom style="thin">
        <color rgb="FF777777"/>
      </bottom>
      <diagonal/>
    </border>
    <border>
      <left style="thin">
        <color rgb="FF000000"/>
      </left>
      <right/>
      <top style="double">
        <color rgb="FF777777"/>
      </top>
      <bottom style="thin">
        <color rgb="FF777777"/>
      </bottom>
      <diagonal/>
    </border>
    <border>
      <left style="hair">
        <color rgb="FF000000"/>
      </left>
      <right style="thin">
        <color rgb="FF808080"/>
      </right>
      <top style="double">
        <color rgb="FF777777"/>
      </top>
      <bottom style="thin">
        <color rgb="FF777777"/>
      </bottom>
      <diagonal/>
    </border>
    <border>
      <left/>
      <right style="hair">
        <color rgb="FF000000"/>
      </right>
      <top style="double">
        <color rgb="FF777777"/>
      </top>
      <bottom style="thin">
        <color rgb="FF777777"/>
      </bottom>
      <diagonal/>
    </border>
    <border>
      <left style="thin">
        <color indexed="64"/>
      </left>
      <right/>
      <top style="hair">
        <color indexed="64"/>
      </top>
      <bottom/>
      <diagonal/>
    </border>
    <border>
      <left/>
      <right/>
      <top/>
      <bottom style="thin">
        <color rgb="FFF8F8F8"/>
      </bottom>
      <diagonal/>
    </border>
    <border>
      <left/>
      <right/>
      <top style="medium">
        <color rgb="FF5F5F5F"/>
      </top>
      <bottom/>
      <diagonal/>
    </border>
    <border>
      <left/>
      <right/>
      <top/>
      <bottom style="medium">
        <color rgb="FF5F5F5F"/>
      </bottom>
      <diagonal/>
    </border>
    <border>
      <left/>
      <right style="thin">
        <color rgb="FFF8F8F8"/>
      </right>
      <top/>
      <bottom style="medium">
        <color rgb="FFF8F8F8"/>
      </bottom>
      <diagonal/>
    </border>
    <border>
      <left style="thin">
        <color rgb="FFDDDDDD"/>
      </left>
      <right/>
      <top/>
      <bottom style="medium">
        <color rgb="FFF8F8F8"/>
      </bottom>
      <diagonal/>
    </border>
    <border>
      <left/>
      <right style="thin">
        <color rgb="FFF8F8F8"/>
      </right>
      <top style="thin">
        <color rgb="FFB2B2B2"/>
      </top>
      <bottom/>
      <diagonal/>
    </border>
    <border>
      <left style="thin">
        <color rgb="FFDDDDDD"/>
      </left>
      <right/>
      <top style="thin">
        <color rgb="FFB2B2B2"/>
      </top>
      <bottom/>
      <diagonal/>
    </border>
    <border>
      <left style="thin">
        <color indexed="64"/>
      </left>
      <right style="thin">
        <color rgb="FF808080"/>
      </right>
      <top style="thin">
        <color rgb="FFF8F8F8"/>
      </top>
      <bottom/>
      <diagonal/>
    </border>
    <border>
      <left style="thin">
        <color indexed="64"/>
      </left>
      <right style="thin">
        <color rgb="FF808080"/>
      </right>
      <top/>
      <bottom/>
      <diagonal/>
    </border>
    <border>
      <left style="hair">
        <color indexed="64"/>
      </left>
      <right style="thin">
        <color indexed="64"/>
      </right>
      <top style="thin">
        <color rgb="FFDDDDDD"/>
      </top>
      <bottom style="thin">
        <color rgb="FF777777"/>
      </bottom>
      <diagonal/>
    </border>
    <border>
      <left/>
      <right style="hair">
        <color indexed="64"/>
      </right>
      <top style="thin">
        <color rgb="FFDDDDDD"/>
      </top>
      <bottom style="thin">
        <color rgb="FF777777"/>
      </bottom>
      <diagonal/>
    </border>
    <border>
      <left style="thin">
        <color indexed="64"/>
      </left>
      <right style="hair">
        <color indexed="64"/>
      </right>
      <top style="thin">
        <color rgb="FFDDDDDD"/>
      </top>
      <bottom style="thin">
        <color rgb="FF777777"/>
      </bottom>
      <diagonal/>
    </border>
    <border>
      <left/>
      <right style="thin">
        <color indexed="64"/>
      </right>
      <top style="thin">
        <color rgb="FFDDDDDD"/>
      </top>
      <bottom style="thin">
        <color rgb="FF777777"/>
      </bottom>
      <diagonal/>
    </border>
    <border>
      <left/>
      <right style="thin">
        <color rgb="FF808080"/>
      </right>
      <top style="thin">
        <color rgb="FFDDDDDD"/>
      </top>
      <bottom style="thin">
        <color rgb="FF777777"/>
      </bottom>
      <diagonal/>
    </border>
    <border>
      <left style="thin">
        <color rgb="FFDDDDDD"/>
      </left>
      <right/>
      <top style="thin">
        <color rgb="FFDDDDDD"/>
      </top>
      <bottom style="thin">
        <color rgb="FF777777"/>
      </bottom>
      <diagonal/>
    </border>
    <border>
      <left/>
      <right/>
      <top style="thin">
        <color rgb="FFDDDDDD"/>
      </top>
      <bottom style="thin">
        <color rgb="FF777777"/>
      </bottom>
      <diagonal/>
    </border>
    <border>
      <left style="thin">
        <color rgb="FFDDDDDD"/>
      </left>
      <right/>
      <top style="thin">
        <color rgb="FFDDDDDD"/>
      </top>
      <bottom/>
      <diagonal/>
    </border>
    <border>
      <left/>
      <right/>
      <top style="thin">
        <color rgb="FFDDDDDD"/>
      </top>
      <bottom/>
      <diagonal/>
    </border>
    <border>
      <left/>
      <right style="thin">
        <color rgb="FF808080"/>
      </right>
      <top style="thin">
        <color rgb="FFDDDDDD"/>
      </top>
      <bottom/>
      <diagonal/>
    </border>
    <border>
      <left style="thin">
        <color rgb="FFDDDDDD"/>
      </left>
      <right/>
      <top style="hair">
        <color auto="1"/>
      </top>
      <bottom/>
      <diagonal/>
    </border>
    <border>
      <left style="hair">
        <color rgb="FF000000"/>
      </left>
      <right/>
      <top style="hair">
        <color indexed="64"/>
      </top>
      <bottom/>
      <diagonal/>
    </border>
    <border>
      <left/>
      <right style="thin">
        <color rgb="FF000000"/>
      </right>
      <top style="hair">
        <color indexed="64"/>
      </top>
      <bottom/>
      <diagonal/>
    </border>
    <border>
      <left style="thin">
        <color rgb="FF000000"/>
      </left>
      <right/>
      <top style="hair">
        <color indexed="64"/>
      </top>
      <bottom/>
      <diagonal/>
    </border>
    <border>
      <left style="thin">
        <color rgb="FF000000"/>
      </left>
      <right style="thin">
        <color rgb="FF808080"/>
      </right>
      <top style="hair">
        <color indexed="64"/>
      </top>
      <bottom/>
      <diagonal/>
    </border>
    <border>
      <left style="thin">
        <color rgb="FFDDDDDD"/>
      </left>
      <right/>
      <top style="double">
        <color rgb="FF000000"/>
      </top>
      <bottom style="hair">
        <color rgb="FF000000"/>
      </bottom>
      <diagonal/>
    </border>
    <border>
      <left style="hair">
        <color rgb="FF000000"/>
      </left>
      <right/>
      <top style="double">
        <color rgb="FF000000"/>
      </top>
      <bottom style="hair">
        <color rgb="FF000000"/>
      </bottom>
      <diagonal/>
    </border>
    <border>
      <left style="thin">
        <color rgb="FF000000"/>
      </left>
      <right/>
      <top style="double">
        <color rgb="FF000000"/>
      </top>
      <bottom style="hair">
        <color rgb="FF000000"/>
      </bottom>
      <diagonal/>
    </border>
    <border>
      <left style="thin">
        <color rgb="FF000000"/>
      </left>
      <right style="thin">
        <color rgb="FF808080"/>
      </right>
      <top style="double">
        <color rgb="FF000000"/>
      </top>
      <bottom style="hair">
        <color rgb="FF000000"/>
      </bottom>
      <diagonal/>
    </border>
    <border>
      <left/>
      <right/>
      <top style="double">
        <color rgb="FF000000"/>
      </top>
      <bottom style="hair">
        <color rgb="FF000000"/>
      </bottom>
      <diagonal/>
    </border>
    <border>
      <left/>
      <right style="thin">
        <color rgb="FF000000"/>
      </right>
      <top style="double">
        <color rgb="FF000000"/>
      </top>
      <bottom style="hair">
        <color rgb="FF000000"/>
      </bottom>
      <diagonal/>
    </border>
    <border>
      <left style="thin">
        <color rgb="FFDDDDDD"/>
      </left>
      <right/>
      <top style="double">
        <color rgb="FF000000"/>
      </top>
      <bottom style="thin">
        <color rgb="FF777777"/>
      </bottom>
      <diagonal/>
    </border>
    <border>
      <left style="hair">
        <color rgb="FF000000"/>
      </left>
      <right/>
      <top style="double">
        <color rgb="FF000000"/>
      </top>
      <bottom style="thin">
        <color rgb="FF777777"/>
      </bottom>
      <diagonal/>
    </border>
    <border>
      <left style="thin">
        <color rgb="FF000000"/>
      </left>
      <right/>
      <top style="double">
        <color rgb="FF000000"/>
      </top>
      <bottom style="thin">
        <color rgb="FF777777"/>
      </bottom>
      <diagonal/>
    </border>
    <border>
      <left style="thin">
        <color rgb="FF000000"/>
      </left>
      <right style="thin">
        <color rgb="FF808080"/>
      </right>
      <top style="double">
        <color rgb="FF000000"/>
      </top>
      <bottom style="thin">
        <color rgb="FF777777"/>
      </bottom>
      <diagonal/>
    </border>
    <border>
      <left style="thin">
        <color rgb="FFDDDDDD"/>
      </left>
      <right/>
      <top style="double">
        <color rgb="FF777777"/>
      </top>
      <bottom/>
      <diagonal/>
    </border>
    <border>
      <left/>
      <right/>
      <top style="double">
        <color rgb="FF777777"/>
      </top>
      <bottom/>
      <diagonal/>
    </border>
    <border>
      <left/>
      <right style="thin">
        <color rgb="FF000000"/>
      </right>
      <top style="double">
        <color rgb="FF777777"/>
      </top>
      <bottom/>
      <diagonal/>
    </border>
    <border>
      <left style="thin">
        <color rgb="FF000000"/>
      </left>
      <right/>
      <top style="double">
        <color rgb="FF777777"/>
      </top>
      <bottom/>
      <diagonal/>
    </border>
    <border>
      <left style="hair">
        <color rgb="FF000000"/>
      </left>
      <right/>
      <top style="double">
        <color rgb="FF777777"/>
      </top>
      <bottom/>
      <diagonal/>
    </border>
    <border>
      <left style="thin">
        <color rgb="FF000000"/>
      </left>
      <right style="thin">
        <color rgb="FF808080"/>
      </right>
      <top style="double">
        <color rgb="FF777777"/>
      </top>
      <bottom/>
      <diagonal/>
    </border>
    <border>
      <left style="thin">
        <color rgb="FF000000"/>
      </left>
      <right/>
      <top style="thin">
        <color rgb="FFDDDDDD"/>
      </top>
      <bottom style="thin">
        <color rgb="FF777777"/>
      </bottom>
      <diagonal/>
    </border>
    <border>
      <left style="hair">
        <color rgb="FF000000"/>
      </left>
      <right/>
      <top style="thin">
        <color rgb="FFDDDDDD"/>
      </top>
      <bottom style="thin">
        <color rgb="FF777777"/>
      </bottom>
      <diagonal/>
    </border>
    <border>
      <left style="thin">
        <color rgb="FF000000"/>
      </left>
      <right style="thin">
        <color rgb="FF808080"/>
      </right>
      <top style="thin">
        <color rgb="FFDDDDDD"/>
      </top>
      <bottom style="thin">
        <color rgb="FF777777"/>
      </bottom>
      <diagonal/>
    </border>
    <border>
      <left/>
      <right style="thin">
        <color rgb="FF000000"/>
      </right>
      <top style="thin">
        <color rgb="FFDDDDDD"/>
      </top>
      <bottom style="thin">
        <color rgb="FF777777"/>
      </bottom>
      <diagonal/>
    </border>
  </borders>
  <cellStyleXfs count="19">
    <xf numFmtId="0" fontId="0" fillId="0" borderId="0">
      <alignment vertical="center"/>
    </xf>
    <xf numFmtId="0" fontId="2" fillId="0" borderId="0"/>
    <xf numFmtId="0" fontId="7" fillId="0" borderId="0"/>
    <xf numFmtId="0" fontId="10" fillId="0" borderId="0"/>
    <xf numFmtId="0" fontId="5" fillId="0" borderId="0">
      <alignment vertical="center"/>
    </xf>
    <xf numFmtId="0" fontId="15" fillId="0" borderId="0"/>
    <xf numFmtId="0" fontId="24" fillId="0" borderId="0"/>
    <xf numFmtId="0" fontId="15" fillId="0" borderId="0"/>
    <xf numFmtId="0" fontId="2" fillId="0" borderId="0"/>
    <xf numFmtId="0" fontId="30" fillId="0" borderId="0"/>
    <xf numFmtId="0" fontId="24" fillId="0" borderId="0"/>
    <xf numFmtId="0" fontId="7" fillId="0" borderId="0"/>
    <xf numFmtId="38" fontId="10" fillId="0" borderId="0" applyFont="0" applyFill="0" applyBorder="0" applyAlignment="0" applyProtection="0"/>
    <xf numFmtId="0" fontId="9" fillId="0" borderId="0">
      <alignment vertical="center"/>
    </xf>
    <xf numFmtId="0" fontId="39" fillId="0" borderId="0"/>
    <xf numFmtId="0" fontId="10" fillId="0" borderId="0">
      <alignment vertical="center"/>
    </xf>
    <xf numFmtId="0" fontId="44" fillId="0" borderId="0"/>
    <xf numFmtId="0" fontId="39" fillId="0" borderId="0"/>
    <xf numFmtId="0" fontId="15" fillId="0" borderId="0"/>
  </cellStyleXfs>
  <cellXfs count="1672">
    <xf numFmtId="0" fontId="0" fillId="0" borderId="0" xfId="0">
      <alignment vertical="center"/>
    </xf>
    <xf numFmtId="0" fontId="2" fillId="0" borderId="0" xfId="1" applyFont="1" applyBorder="1" applyAlignment="1" applyProtection="1">
      <alignment vertical="center"/>
      <protection locked="0"/>
    </xf>
    <xf numFmtId="0" fontId="2" fillId="0" borderId="0" xfId="1" applyFont="1" applyBorder="1" applyProtection="1">
      <protection locked="0"/>
    </xf>
    <xf numFmtId="0" fontId="4" fillId="0" borderId="0" xfId="1" applyFont="1" applyAlignment="1" applyProtection="1">
      <alignment horizontal="right"/>
      <protection locked="0"/>
    </xf>
    <xf numFmtId="176" fontId="4" fillId="0" borderId="0" xfId="1" applyNumberFormat="1" applyFont="1" applyProtection="1"/>
    <xf numFmtId="0" fontId="2" fillId="0" borderId="0" xfId="1" applyFont="1" applyProtection="1">
      <protection locked="0"/>
    </xf>
    <xf numFmtId="0" fontId="5" fillId="0" borderId="0" xfId="1" applyFont="1" applyAlignment="1" applyProtection="1">
      <alignment vertical="center"/>
      <protection locked="0"/>
    </xf>
    <xf numFmtId="0" fontId="2" fillId="0" borderId="0" xfId="1" applyNumberFormat="1" applyFont="1" applyProtection="1">
      <protection locked="0"/>
    </xf>
    <xf numFmtId="0" fontId="6" fillId="2" borderId="1" xfId="1" applyFont="1" applyFill="1" applyBorder="1" applyAlignment="1" applyProtection="1">
      <alignment horizontal="center" vertical="center" shrinkToFit="1"/>
      <protection locked="0"/>
    </xf>
    <xf numFmtId="0" fontId="4" fillId="0" borderId="0" xfId="1" applyFont="1" applyAlignment="1" applyProtection="1">
      <alignment vertical="center"/>
      <protection locked="0"/>
    </xf>
    <xf numFmtId="0" fontId="8" fillId="2" borderId="2" xfId="2" applyFont="1" applyFill="1" applyBorder="1" applyAlignment="1" applyProtection="1">
      <alignment horizontal="left" vertical="center" indent="1"/>
      <protection locked="0"/>
    </xf>
    <xf numFmtId="0" fontId="11" fillId="2" borderId="3" xfId="3" applyFont="1" applyFill="1" applyBorder="1" applyAlignment="1">
      <alignment horizontal="center" vertical="center"/>
    </xf>
    <xf numFmtId="0" fontId="11" fillId="2" borderId="3" xfId="3" applyFont="1" applyFill="1" applyBorder="1"/>
    <xf numFmtId="0" fontId="11" fillId="2" borderId="4" xfId="3" applyFont="1" applyFill="1" applyBorder="1" applyAlignment="1">
      <alignment horizontal="center" vertical="center"/>
    </xf>
    <xf numFmtId="0" fontId="11" fillId="0" borderId="0" xfId="3" applyFont="1"/>
    <xf numFmtId="0" fontId="5" fillId="0" borderId="0" xfId="3" applyFont="1"/>
    <xf numFmtId="0" fontId="2" fillId="0" borderId="0" xfId="3" applyFont="1" applyBorder="1" applyAlignment="1">
      <alignment horizontal="center" vertical="center"/>
    </xf>
    <xf numFmtId="0" fontId="5" fillId="0" borderId="0" xfId="3" applyFont="1" applyBorder="1"/>
    <xf numFmtId="0" fontId="5" fillId="0" borderId="0" xfId="3" applyFont="1" applyBorder="1" applyAlignment="1"/>
    <xf numFmtId="0" fontId="5" fillId="0" borderId="0" xfId="3" applyFont="1" applyBorder="1" applyAlignment="1">
      <alignment horizontal="center"/>
    </xf>
    <xf numFmtId="0" fontId="5" fillId="3" borderId="5" xfId="3" applyFont="1" applyFill="1" applyBorder="1" applyAlignment="1">
      <alignment horizontal="center" vertical="center"/>
    </xf>
    <xf numFmtId="0" fontId="5" fillId="3" borderId="6" xfId="3" applyFont="1" applyFill="1" applyBorder="1" applyAlignment="1">
      <alignment horizontal="center" vertical="center"/>
    </xf>
    <xf numFmtId="0" fontId="5" fillId="3" borderId="6" xfId="3" applyFont="1" applyFill="1" applyBorder="1" applyAlignment="1">
      <alignment horizontal="center" vertical="center"/>
    </xf>
    <xf numFmtId="0" fontId="5" fillId="3" borderId="7" xfId="3" applyFont="1" applyFill="1" applyBorder="1" applyAlignment="1">
      <alignment horizontal="center" vertical="center"/>
    </xf>
    <xf numFmtId="0" fontId="5" fillId="3" borderId="8" xfId="3" applyFont="1" applyFill="1" applyBorder="1" applyAlignment="1">
      <alignment horizontal="center" vertical="center"/>
    </xf>
    <xf numFmtId="0" fontId="5" fillId="3" borderId="9" xfId="3" applyFont="1" applyFill="1" applyBorder="1" applyAlignment="1">
      <alignment horizontal="center" vertical="center"/>
    </xf>
    <xf numFmtId="0" fontId="5" fillId="3" borderId="9" xfId="3" applyFont="1" applyFill="1" applyBorder="1" applyAlignment="1">
      <alignment horizontal="center" vertical="center"/>
    </xf>
    <xf numFmtId="0" fontId="5" fillId="3" borderId="10" xfId="3" applyFont="1" applyFill="1" applyBorder="1" applyAlignment="1">
      <alignment horizontal="center" vertical="center"/>
    </xf>
    <xf numFmtId="0" fontId="5" fillId="0" borderId="11" xfId="3" applyFont="1" applyBorder="1" applyAlignment="1">
      <alignment horizontal="center" vertical="center"/>
    </xf>
    <xf numFmtId="0" fontId="5" fillId="0" borderId="12" xfId="3" applyFont="1" applyBorder="1" applyAlignment="1">
      <alignment horizontal="center" vertical="center"/>
    </xf>
    <xf numFmtId="177" fontId="5" fillId="0" borderId="12" xfId="3" applyNumberFormat="1" applyFont="1" applyBorder="1" applyAlignment="1">
      <alignment horizontal="right" vertical="center"/>
    </xf>
    <xf numFmtId="177" fontId="5" fillId="0" borderId="12" xfId="3" applyNumberFormat="1" applyFont="1" applyBorder="1" applyAlignment="1">
      <alignment horizontal="right" vertical="center"/>
    </xf>
    <xf numFmtId="177" fontId="5" fillId="0" borderId="13" xfId="3" applyNumberFormat="1" applyFont="1" applyBorder="1" applyAlignment="1">
      <alignment horizontal="right" vertical="center"/>
    </xf>
    <xf numFmtId="0" fontId="5" fillId="0" borderId="14" xfId="3" applyFont="1" applyBorder="1" applyAlignment="1">
      <alignment horizontal="center" vertical="center"/>
    </xf>
    <xf numFmtId="0" fontId="5" fillId="0" borderId="15" xfId="3" applyFont="1" applyBorder="1" applyAlignment="1">
      <alignment horizontal="center" vertical="center"/>
    </xf>
    <xf numFmtId="177" fontId="5" fillId="0" borderId="15" xfId="3" applyNumberFormat="1" applyFont="1" applyBorder="1" applyAlignment="1">
      <alignment horizontal="right" vertical="center"/>
    </xf>
    <xf numFmtId="177" fontId="5" fillId="0" borderId="16" xfId="3" applyNumberFormat="1" applyFont="1" applyBorder="1" applyAlignment="1">
      <alignment horizontal="right" vertical="center"/>
    </xf>
    <xf numFmtId="0" fontId="13" fillId="4" borderId="17" xfId="4" applyFont="1" applyFill="1" applyBorder="1" applyAlignment="1">
      <alignment horizontal="center" vertical="center"/>
    </xf>
    <xf numFmtId="0" fontId="13" fillId="5" borderId="17" xfId="4" applyFont="1" applyFill="1" applyBorder="1" applyAlignment="1">
      <alignment horizontal="center" vertical="center"/>
    </xf>
    <xf numFmtId="0" fontId="13" fillId="6" borderId="17" xfId="4" applyFont="1" applyFill="1" applyBorder="1" applyAlignment="1">
      <alignment horizontal="center" vertical="center"/>
    </xf>
    <xf numFmtId="0" fontId="14" fillId="3" borderId="5" xfId="3" applyFont="1" applyFill="1" applyBorder="1" applyAlignment="1">
      <alignment horizontal="justify" vertical="justify" wrapText="1"/>
    </xf>
    <xf numFmtId="0" fontId="14" fillId="3" borderId="6" xfId="3" applyFont="1" applyFill="1" applyBorder="1" applyAlignment="1">
      <alignment horizontal="justify" vertical="justify" wrapText="1"/>
    </xf>
    <xf numFmtId="178" fontId="5" fillId="3" borderId="6" xfId="3" applyNumberFormat="1" applyFont="1" applyFill="1" applyBorder="1" applyAlignment="1">
      <alignment horizontal="center" vertical="center"/>
    </xf>
    <xf numFmtId="178" fontId="5" fillId="3" borderId="7" xfId="3" applyNumberFormat="1" applyFont="1" applyFill="1" applyBorder="1" applyAlignment="1">
      <alignment horizontal="center" vertical="center"/>
    </xf>
    <xf numFmtId="0" fontId="5" fillId="0" borderId="11" xfId="3" applyFont="1" applyFill="1" applyBorder="1" applyAlignment="1">
      <alignment horizontal="center" vertical="center"/>
    </xf>
    <xf numFmtId="0" fontId="5" fillId="0" borderId="12" xfId="3" applyFont="1" applyFill="1" applyBorder="1" applyAlignment="1">
      <alignment horizontal="center" vertical="center"/>
    </xf>
    <xf numFmtId="179" fontId="5" fillId="0" borderId="18" xfId="3" applyNumberFormat="1" applyFont="1" applyFill="1" applyBorder="1" applyAlignment="1">
      <alignment horizontal="right" shrinkToFit="1"/>
    </xf>
    <xf numFmtId="179" fontId="5" fillId="0" borderId="19" xfId="3" applyNumberFormat="1" applyFont="1" applyFill="1" applyBorder="1" applyAlignment="1">
      <alignment horizontal="right" shrinkToFit="1"/>
    </xf>
    <xf numFmtId="179" fontId="5" fillId="0" borderId="12" xfId="3" applyNumberFormat="1" applyFont="1" applyFill="1" applyBorder="1" applyAlignment="1">
      <alignment horizontal="right" shrinkToFit="1"/>
    </xf>
    <xf numFmtId="179" fontId="5" fillId="0" borderId="13" xfId="3" applyNumberFormat="1" applyFont="1" applyFill="1" applyBorder="1" applyAlignment="1">
      <alignment horizontal="right" shrinkToFit="1"/>
    </xf>
    <xf numFmtId="0" fontId="16" fillId="2" borderId="3" xfId="5" applyFont="1" applyFill="1" applyBorder="1"/>
    <xf numFmtId="49" fontId="16" fillId="2" borderId="3" xfId="5" applyNumberFormat="1" applyFont="1" applyFill="1" applyBorder="1" applyAlignment="1">
      <alignment horizontal="center"/>
    </xf>
    <xf numFmtId="0" fontId="16" fillId="2" borderId="4" xfId="5" applyFont="1" applyFill="1" applyBorder="1"/>
    <xf numFmtId="0" fontId="16" fillId="0" borderId="0" xfId="5" applyFont="1" applyBorder="1"/>
    <xf numFmtId="0" fontId="13" fillId="0" borderId="0" xfId="5" applyFont="1"/>
    <xf numFmtId="0" fontId="5" fillId="0" borderId="20" xfId="4" applyBorder="1">
      <alignment vertical="center"/>
    </xf>
    <xf numFmtId="0" fontId="5" fillId="0" borderId="0" xfId="4">
      <alignment vertical="center"/>
    </xf>
    <xf numFmtId="0" fontId="17" fillId="0" borderId="0" xfId="5" applyFont="1" applyFill="1" applyBorder="1" applyAlignment="1">
      <alignment horizontal="left" vertical="center" wrapText="1"/>
    </xf>
    <xf numFmtId="0" fontId="13" fillId="7" borderId="21" xfId="5" applyFont="1" applyFill="1" applyBorder="1" applyAlignment="1">
      <alignment horizontal="center" vertical="center"/>
    </xf>
    <xf numFmtId="0" fontId="13" fillId="7" borderId="22" xfId="5" applyFont="1" applyFill="1" applyBorder="1" applyAlignment="1">
      <alignment horizontal="center" vertical="center"/>
    </xf>
    <xf numFmtId="0" fontId="13" fillId="7" borderId="23" xfId="5" applyFont="1" applyFill="1" applyBorder="1" applyAlignment="1">
      <alignment horizontal="center" vertical="center"/>
    </xf>
    <xf numFmtId="0" fontId="13" fillId="0" borderId="0" xfId="5" applyFont="1" applyBorder="1"/>
    <xf numFmtId="49" fontId="13" fillId="0" borderId="0" xfId="5" applyNumberFormat="1" applyFont="1" applyBorder="1" applyAlignment="1">
      <alignment horizontal="center"/>
    </xf>
    <xf numFmtId="0" fontId="13" fillId="0" borderId="0" xfId="5" applyFont="1" applyAlignment="1">
      <alignment horizontal="right"/>
    </xf>
    <xf numFmtId="0" fontId="13" fillId="3" borderId="24" xfId="5" applyFont="1" applyFill="1" applyBorder="1" applyAlignment="1">
      <alignment vertical="center"/>
    </xf>
    <xf numFmtId="178" fontId="13" fillId="3" borderId="25" xfId="5" applyNumberFormat="1" applyFont="1" applyFill="1" applyBorder="1" applyAlignment="1">
      <alignment horizontal="center" vertical="center"/>
    </xf>
    <xf numFmtId="178" fontId="13" fillId="3" borderId="26" xfId="5" applyNumberFormat="1" applyFont="1" applyFill="1" applyBorder="1" applyAlignment="1">
      <alignment horizontal="center" vertical="center"/>
    </xf>
    <xf numFmtId="178" fontId="13" fillId="3" borderId="27" xfId="5" applyNumberFormat="1" applyFont="1" applyFill="1" applyBorder="1" applyAlignment="1">
      <alignment horizontal="center" vertical="center"/>
    </xf>
    <xf numFmtId="0" fontId="13" fillId="0" borderId="28" xfId="5" applyFont="1" applyFill="1" applyBorder="1"/>
    <xf numFmtId="180" fontId="13" fillId="0" borderId="29" xfId="5" applyNumberFormat="1" applyFont="1" applyFill="1" applyBorder="1" applyAlignment="1"/>
    <xf numFmtId="180" fontId="13" fillId="0" borderId="30" xfId="5" applyNumberFormat="1" applyFont="1" applyFill="1" applyBorder="1" applyAlignment="1"/>
    <xf numFmtId="180" fontId="13" fillId="0" borderId="31" xfId="5" applyNumberFormat="1" applyFont="1" applyFill="1" applyBorder="1" applyAlignment="1"/>
    <xf numFmtId="49" fontId="13" fillId="0" borderId="0" xfId="5" applyNumberFormat="1" applyFont="1" applyAlignment="1">
      <alignment horizontal="center"/>
    </xf>
    <xf numFmtId="0" fontId="13" fillId="0" borderId="0" xfId="4" applyFont="1">
      <alignment vertical="center"/>
    </xf>
    <xf numFmtId="0" fontId="13" fillId="8" borderId="17" xfId="4" applyFont="1" applyFill="1" applyBorder="1" applyAlignment="1">
      <alignment horizontal="center" vertical="center"/>
    </xf>
    <xf numFmtId="0" fontId="13" fillId="3" borderId="32" xfId="5" applyFont="1" applyFill="1" applyBorder="1" applyAlignment="1">
      <alignment horizontal="center" vertical="center"/>
    </xf>
    <xf numFmtId="178" fontId="13" fillId="3" borderId="33" xfId="5" applyNumberFormat="1" applyFont="1" applyFill="1" applyBorder="1" applyAlignment="1">
      <alignment horizontal="center" vertical="center"/>
    </xf>
    <xf numFmtId="178" fontId="13" fillId="3" borderId="34" xfId="5" applyNumberFormat="1" applyFont="1" applyFill="1" applyBorder="1" applyAlignment="1">
      <alignment horizontal="center" vertical="center"/>
    </xf>
    <xf numFmtId="178" fontId="13" fillId="3" borderId="35" xfId="5" applyNumberFormat="1" applyFont="1" applyFill="1" applyBorder="1" applyAlignment="1">
      <alignment horizontal="center" vertical="center"/>
    </xf>
    <xf numFmtId="0" fontId="13" fillId="3" borderId="36" xfId="5" applyFont="1" applyFill="1" applyBorder="1" applyAlignment="1">
      <alignment horizontal="center" vertical="center"/>
    </xf>
    <xf numFmtId="178" fontId="13" fillId="3" borderId="37" xfId="5" applyNumberFormat="1" applyFont="1" applyFill="1" applyBorder="1" applyAlignment="1">
      <alignment horizontal="center" vertical="center"/>
    </xf>
    <xf numFmtId="178" fontId="13" fillId="3" borderId="38" xfId="5" applyNumberFormat="1" applyFont="1" applyFill="1" applyBorder="1" applyAlignment="1">
      <alignment horizontal="center" vertical="center"/>
    </xf>
    <xf numFmtId="178" fontId="13" fillId="3" borderId="0" xfId="5" applyNumberFormat="1" applyFont="1" applyFill="1" applyBorder="1" applyAlignment="1">
      <alignment horizontal="center" vertical="center"/>
    </xf>
    <xf numFmtId="0" fontId="13" fillId="0" borderId="0" xfId="5" applyFont="1" applyAlignment="1">
      <alignment horizontal="left" indent="1"/>
    </xf>
    <xf numFmtId="0" fontId="13" fillId="3" borderId="39" xfId="5" applyFont="1" applyFill="1" applyBorder="1" applyAlignment="1">
      <alignment horizontal="center" vertical="center"/>
    </xf>
    <xf numFmtId="178" fontId="13" fillId="3" borderId="0" xfId="5" applyNumberFormat="1" applyFont="1" applyFill="1" applyBorder="1" applyAlignment="1">
      <alignment horizontal="center" vertical="center" shrinkToFit="1"/>
    </xf>
    <xf numFmtId="178" fontId="13" fillId="3" borderId="40" xfId="5" applyNumberFormat="1" applyFont="1" applyFill="1" applyBorder="1" applyAlignment="1">
      <alignment horizontal="center" vertical="center"/>
    </xf>
    <xf numFmtId="178" fontId="13" fillId="3" borderId="37" xfId="5" applyNumberFormat="1" applyFont="1" applyFill="1" applyBorder="1" applyAlignment="1">
      <alignment horizontal="center" vertical="center"/>
    </xf>
    <xf numFmtId="178" fontId="13" fillId="3" borderId="41" xfId="5" applyNumberFormat="1" applyFont="1" applyFill="1" applyBorder="1" applyAlignment="1">
      <alignment horizontal="center" vertical="center" shrinkToFit="1"/>
    </xf>
    <xf numFmtId="178" fontId="13" fillId="3" borderId="42" xfId="5" applyNumberFormat="1" applyFont="1" applyFill="1" applyBorder="1" applyAlignment="1">
      <alignment horizontal="center" vertical="center" shrinkToFit="1"/>
    </xf>
    <xf numFmtId="178" fontId="13" fillId="3" borderId="43" xfId="5" applyNumberFormat="1" applyFont="1" applyFill="1" applyBorder="1" applyAlignment="1">
      <alignment horizontal="center" vertical="center" shrinkToFit="1"/>
    </xf>
    <xf numFmtId="178" fontId="13" fillId="3" borderId="44" xfId="5" applyNumberFormat="1" applyFont="1" applyFill="1" applyBorder="1" applyAlignment="1">
      <alignment horizontal="center" vertical="center" shrinkToFit="1"/>
    </xf>
    <xf numFmtId="178" fontId="13" fillId="3" borderId="45" xfId="5" applyNumberFormat="1" applyFont="1" applyFill="1" applyBorder="1" applyAlignment="1">
      <alignment horizontal="center" vertical="center" shrinkToFit="1"/>
    </xf>
    <xf numFmtId="178" fontId="13" fillId="3" borderId="40" xfId="5" applyNumberFormat="1" applyFont="1" applyFill="1" applyBorder="1" applyAlignment="1">
      <alignment horizontal="center" vertical="center" shrinkToFit="1"/>
    </xf>
    <xf numFmtId="178" fontId="13" fillId="3" borderId="46" xfId="5" applyNumberFormat="1" applyFont="1" applyFill="1" applyBorder="1" applyAlignment="1">
      <alignment horizontal="center" vertical="center" shrinkToFit="1"/>
    </xf>
    <xf numFmtId="49" fontId="13" fillId="0" borderId="0" xfId="5" applyNumberFormat="1" applyFont="1" applyAlignment="1">
      <alignment horizontal="left" indent="1"/>
    </xf>
    <xf numFmtId="178" fontId="13" fillId="0" borderId="47" xfId="5" applyNumberFormat="1" applyFont="1" applyFill="1" applyBorder="1" applyAlignment="1">
      <alignment horizontal="center" vertical="center"/>
    </xf>
    <xf numFmtId="181" fontId="13" fillId="0" borderId="15" xfId="5" applyNumberFormat="1" applyFont="1" applyFill="1" applyBorder="1" applyAlignment="1"/>
    <xf numFmtId="178" fontId="13" fillId="0" borderId="48" xfId="5" applyNumberFormat="1" applyFont="1" applyFill="1" applyBorder="1" applyAlignment="1">
      <alignment horizontal="center" vertical="center"/>
    </xf>
    <xf numFmtId="181" fontId="13" fillId="0" borderId="49" xfId="5" applyNumberFormat="1" applyFont="1" applyFill="1" applyBorder="1" applyAlignment="1"/>
    <xf numFmtId="178" fontId="13" fillId="0" borderId="50" xfId="5" applyNumberFormat="1" applyFont="1" applyFill="1" applyBorder="1" applyAlignment="1">
      <alignment horizontal="center" vertical="center"/>
    </xf>
    <xf numFmtId="181" fontId="13" fillId="0" borderId="13" xfId="5" applyNumberFormat="1" applyFont="1" applyFill="1" applyBorder="1" applyAlignment="1"/>
    <xf numFmtId="178" fontId="13" fillId="0" borderId="51" xfId="5" applyNumberFormat="1" applyFont="1" applyFill="1" applyBorder="1" applyAlignment="1">
      <alignment horizontal="center" vertical="center"/>
    </xf>
    <xf numFmtId="181" fontId="13" fillId="0" borderId="12" xfId="5" applyNumberFormat="1" applyFont="1" applyFill="1" applyBorder="1"/>
    <xf numFmtId="181" fontId="13" fillId="0" borderId="52" xfId="5" applyNumberFormat="1" applyFont="1" applyFill="1" applyBorder="1"/>
    <xf numFmtId="181" fontId="13" fillId="0" borderId="52" xfId="5" applyNumberFormat="1" applyFont="1" applyFill="1" applyBorder="1" applyAlignment="1">
      <alignment horizontal="center"/>
    </xf>
    <xf numFmtId="178" fontId="13" fillId="0" borderId="53" xfId="5" applyNumberFormat="1" applyFont="1" applyFill="1" applyBorder="1" applyAlignment="1">
      <alignment horizontal="center" vertical="center"/>
    </xf>
    <xf numFmtId="178" fontId="13" fillId="0" borderId="15" xfId="5" applyNumberFormat="1" applyFont="1" applyFill="1" applyBorder="1" applyAlignment="1">
      <alignment horizontal="center" vertical="center"/>
    </xf>
    <xf numFmtId="49" fontId="13" fillId="0" borderId="0" xfId="5" applyNumberFormat="1" applyFont="1"/>
    <xf numFmtId="0" fontId="13" fillId="9" borderId="17" xfId="4" applyFont="1" applyFill="1" applyBorder="1" applyAlignment="1">
      <alignment horizontal="center" vertical="center"/>
    </xf>
    <xf numFmtId="49" fontId="13" fillId="3" borderId="2" xfId="5" applyNumberFormat="1" applyFont="1" applyFill="1" applyBorder="1" applyAlignment="1">
      <alignment horizontal="center" vertical="center"/>
    </xf>
    <xf numFmtId="182" fontId="19" fillId="3" borderId="54" xfId="5" applyNumberFormat="1" applyFont="1" applyFill="1" applyBorder="1" applyAlignment="1">
      <alignment horizontal="center" vertical="center"/>
    </xf>
    <xf numFmtId="182" fontId="19" fillId="3" borderId="3" xfId="5" applyNumberFormat="1" applyFont="1" applyFill="1" applyBorder="1" applyAlignment="1">
      <alignment horizontal="center" vertical="center"/>
    </xf>
    <xf numFmtId="182" fontId="19" fillId="3" borderId="54" xfId="5" applyNumberFormat="1" applyFont="1" applyFill="1" applyBorder="1" applyAlignment="1">
      <alignment horizontal="center" vertical="center" shrinkToFit="1"/>
    </xf>
    <xf numFmtId="182" fontId="19" fillId="3" borderId="4" xfId="5" applyNumberFormat="1" applyFont="1" applyFill="1" applyBorder="1" applyAlignment="1">
      <alignment horizontal="center" vertical="center" shrinkToFit="1"/>
    </xf>
    <xf numFmtId="182" fontId="19" fillId="3" borderId="3" xfId="5" applyNumberFormat="1" applyFont="1" applyFill="1" applyBorder="1" applyAlignment="1">
      <alignment horizontal="center" vertical="center" shrinkToFit="1"/>
    </xf>
    <xf numFmtId="182" fontId="19" fillId="3" borderId="4" xfId="5" applyNumberFormat="1" applyFont="1" applyFill="1" applyBorder="1" applyAlignment="1">
      <alignment horizontal="center" vertical="center"/>
    </xf>
    <xf numFmtId="49" fontId="13" fillId="3" borderId="2" xfId="5" applyNumberFormat="1" applyFont="1" applyFill="1" applyBorder="1" applyAlignment="1">
      <alignment horizontal="center" vertical="center"/>
    </xf>
    <xf numFmtId="49" fontId="13" fillId="3" borderId="3" xfId="5" applyNumberFormat="1" applyFont="1" applyFill="1" applyBorder="1" applyAlignment="1">
      <alignment horizontal="center" vertical="center"/>
    </xf>
    <xf numFmtId="182" fontId="19" fillId="3" borderId="33" xfId="5" applyNumberFormat="1" applyFont="1" applyFill="1" applyBorder="1" applyAlignment="1">
      <alignment horizontal="center" vertical="center"/>
    </xf>
    <xf numFmtId="182" fontId="19" fillId="3" borderId="55" xfId="5" applyNumberFormat="1" applyFont="1" applyFill="1" applyBorder="1" applyAlignment="1">
      <alignment horizontal="center" vertical="center"/>
    </xf>
    <xf numFmtId="182" fontId="19" fillId="3" borderId="35" xfId="5" applyNumberFormat="1" applyFont="1" applyFill="1" applyBorder="1" applyAlignment="1">
      <alignment horizontal="center" vertical="center"/>
    </xf>
    <xf numFmtId="0" fontId="13" fillId="8" borderId="39" xfId="5" applyFont="1" applyFill="1" applyBorder="1" applyAlignment="1">
      <alignment horizontal="center"/>
    </xf>
    <xf numFmtId="181" fontId="13" fillId="0" borderId="56" xfId="5" applyNumberFormat="1" applyFont="1" applyBorder="1"/>
    <xf numFmtId="181" fontId="13" fillId="0" borderId="41" xfId="5" applyNumberFormat="1" applyFont="1" applyBorder="1"/>
    <xf numFmtId="181" fontId="13" fillId="0" borderId="57" xfId="5" applyNumberFormat="1" applyFont="1" applyBorder="1"/>
    <xf numFmtId="0" fontId="13" fillId="8" borderId="58" xfId="5" applyFont="1" applyFill="1" applyBorder="1" applyAlignment="1">
      <alignment horizontal="center"/>
    </xf>
    <xf numFmtId="0" fontId="13" fillId="8" borderId="31" xfId="5" applyFont="1" applyFill="1" applyBorder="1" applyAlignment="1">
      <alignment horizontal="center"/>
    </xf>
    <xf numFmtId="181" fontId="13" fillId="0" borderId="59" xfId="5" applyNumberFormat="1" applyFont="1" applyBorder="1"/>
    <xf numFmtId="181" fontId="13" fillId="0" borderId="60" xfId="5" applyNumberFormat="1" applyFont="1" applyBorder="1"/>
    <xf numFmtId="181" fontId="13" fillId="0" borderId="31" xfId="5" applyNumberFormat="1" applyFont="1" applyBorder="1"/>
    <xf numFmtId="0" fontId="13" fillId="9" borderId="39" xfId="5" applyFont="1" applyFill="1" applyBorder="1" applyAlignment="1">
      <alignment horizontal="center"/>
    </xf>
    <xf numFmtId="181" fontId="13" fillId="0" borderId="61" xfId="5" applyNumberFormat="1" applyFont="1" applyBorder="1"/>
    <xf numFmtId="181" fontId="13" fillId="0" borderId="59" xfId="5" applyNumberFormat="1" applyFont="1" applyBorder="1"/>
    <xf numFmtId="181" fontId="13" fillId="0" borderId="31" xfId="5" applyNumberFormat="1" applyFont="1" applyBorder="1"/>
    <xf numFmtId="0" fontId="13" fillId="9" borderId="58" xfId="5" applyFont="1" applyFill="1" applyBorder="1" applyAlignment="1">
      <alignment horizontal="center"/>
    </xf>
    <xf numFmtId="0" fontId="13" fillId="9" borderId="31" xfId="5" applyFont="1" applyFill="1" applyBorder="1" applyAlignment="1">
      <alignment horizontal="center"/>
    </xf>
    <xf numFmtId="180" fontId="20" fillId="0" borderId="30" xfId="5" applyNumberFormat="1" applyFont="1" applyFill="1" applyBorder="1" applyAlignment="1"/>
    <xf numFmtId="180" fontId="21" fillId="0" borderId="30" xfId="5" applyNumberFormat="1" applyFont="1" applyFill="1" applyBorder="1" applyAlignment="1"/>
    <xf numFmtId="180" fontId="22" fillId="0" borderId="30" xfId="5" applyNumberFormat="1" applyFont="1" applyFill="1" applyBorder="1" applyAlignment="1"/>
    <xf numFmtId="0" fontId="23" fillId="2" borderId="2" xfId="4" applyFont="1" applyFill="1" applyBorder="1" applyAlignment="1">
      <alignment horizontal="left" vertical="center" indent="1"/>
    </xf>
    <xf numFmtId="0" fontId="16" fillId="2" borderId="3" xfId="4" applyFont="1" applyFill="1" applyBorder="1">
      <alignment vertical="center"/>
    </xf>
    <xf numFmtId="0" fontId="16" fillId="2" borderId="3" xfId="5" applyFont="1" applyFill="1" applyBorder="1" applyAlignment="1">
      <alignment horizontal="right"/>
    </xf>
    <xf numFmtId="0" fontId="16" fillId="2" borderId="4" xfId="5" applyFont="1" applyFill="1" applyBorder="1" applyAlignment="1">
      <alignment horizontal="right"/>
    </xf>
    <xf numFmtId="0" fontId="16" fillId="0" borderId="0" xfId="4" applyFont="1">
      <alignment vertical="center"/>
    </xf>
    <xf numFmtId="0" fontId="13" fillId="0" borderId="0" xfId="4" applyFont="1" applyBorder="1">
      <alignment vertical="center"/>
    </xf>
    <xf numFmtId="0" fontId="13" fillId="0" borderId="0" xfId="5" applyFont="1" applyBorder="1" applyAlignment="1">
      <alignment horizontal="right"/>
    </xf>
    <xf numFmtId="0" fontId="13" fillId="3" borderId="24" xfId="5" applyFont="1" applyFill="1" applyBorder="1" applyAlignment="1">
      <alignment horizontal="center"/>
    </xf>
    <xf numFmtId="183" fontId="13" fillId="3" borderId="25" xfId="5" applyNumberFormat="1" applyFont="1" applyFill="1" applyBorder="1" applyAlignment="1">
      <alignment horizontal="center"/>
    </xf>
    <xf numFmtId="183" fontId="13" fillId="3" borderId="26" xfId="5" applyNumberFormat="1" applyFont="1" applyFill="1" applyBorder="1" applyAlignment="1">
      <alignment horizontal="center"/>
    </xf>
    <xf numFmtId="183" fontId="13" fillId="3" borderId="62" xfId="5" applyNumberFormat="1" applyFont="1" applyFill="1" applyBorder="1" applyAlignment="1">
      <alignment horizontal="center"/>
    </xf>
    <xf numFmtId="183" fontId="13" fillId="3" borderId="26" xfId="4" applyNumberFormat="1" applyFont="1" applyFill="1" applyBorder="1" applyAlignment="1">
      <alignment horizontal="center"/>
    </xf>
    <xf numFmtId="183" fontId="13" fillId="3" borderId="27" xfId="4" applyNumberFormat="1" applyFont="1" applyFill="1" applyBorder="1" applyAlignment="1">
      <alignment horizontal="center"/>
    </xf>
    <xf numFmtId="184" fontId="13" fillId="0" borderId="63" xfId="5" applyNumberFormat="1" applyFont="1" applyFill="1" applyBorder="1" applyAlignment="1">
      <alignment horizontal="center" vertical="center" shrinkToFit="1"/>
    </xf>
    <xf numFmtId="0" fontId="13" fillId="0" borderId="64" xfId="5" applyNumberFormat="1" applyFont="1" applyFill="1" applyBorder="1" applyAlignment="1">
      <alignment horizontal="right" vertical="center"/>
    </xf>
    <xf numFmtId="0" fontId="13" fillId="0" borderId="65" xfId="5" applyNumberFormat="1" applyFont="1" applyFill="1" applyBorder="1" applyAlignment="1">
      <alignment horizontal="right" vertical="center"/>
    </xf>
    <xf numFmtId="0" fontId="13" fillId="0" borderId="65" xfId="4" applyFont="1" applyBorder="1" applyAlignment="1">
      <alignment horizontal="right" vertical="center"/>
    </xf>
    <xf numFmtId="0" fontId="13" fillId="0" borderId="66" xfId="4" applyFont="1" applyBorder="1" applyAlignment="1">
      <alignment horizontal="right" vertical="center"/>
    </xf>
    <xf numFmtId="184" fontId="13" fillId="0" borderId="67" xfId="5" applyNumberFormat="1" applyFont="1" applyFill="1" applyBorder="1" applyAlignment="1">
      <alignment horizontal="center" vertical="center" shrinkToFit="1"/>
    </xf>
    <xf numFmtId="0" fontId="13" fillId="0" borderId="68" xfId="5" applyNumberFormat="1" applyFont="1" applyFill="1" applyBorder="1" applyAlignment="1">
      <alignment horizontal="right" vertical="center"/>
    </xf>
    <xf numFmtId="0" fontId="13" fillId="0" borderId="69" xfId="5" applyNumberFormat="1" applyFont="1" applyFill="1" applyBorder="1" applyAlignment="1">
      <alignment horizontal="right" vertical="center"/>
    </xf>
    <xf numFmtId="0" fontId="13" fillId="0" borderId="69" xfId="4" applyFont="1" applyBorder="1" applyAlignment="1">
      <alignment horizontal="right" vertical="center"/>
    </xf>
    <xf numFmtId="0" fontId="13" fillId="0" borderId="70" xfId="4" applyFont="1" applyBorder="1" applyAlignment="1">
      <alignment horizontal="right" vertical="center"/>
    </xf>
    <xf numFmtId="184" fontId="13" fillId="0" borderId="71" xfId="5" applyNumberFormat="1" applyFont="1" applyFill="1" applyBorder="1" applyAlignment="1">
      <alignment horizontal="center" vertical="center" shrinkToFit="1"/>
    </xf>
    <xf numFmtId="0" fontId="13" fillId="0" borderId="72" xfId="5" applyNumberFormat="1" applyFont="1" applyFill="1" applyBorder="1" applyAlignment="1">
      <alignment horizontal="right" vertical="center"/>
    </xf>
    <xf numFmtId="0" fontId="13" fillId="0" borderId="73" xfId="5" applyNumberFormat="1" applyFont="1" applyFill="1" applyBorder="1" applyAlignment="1">
      <alignment horizontal="right" vertical="center"/>
    </xf>
    <xf numFmtId="0" fontId="13" fillId="0" borderId="73" xfId="4" applyFont="1" applyBorder="1" applyAlignment="1">
      <alignment horizontal="right" vertical="center"/>
    </xf>
    <xf numFmtId="0" fontId="13" fillId="0" borderId="74" xfId="4" applyFont="1" applyBorder="1" applyAlignment="1">
      <alignment horizontal="right" vertical="center"/>
    </xf>
    <xf numFmtId="0" fontId="19" fillId="3" borderId="75" xfId="6" applyFont="1" applyFill="1" applyBorder="1" applyAlignment="1" applyProtection="1">
      <alignment horizontal="center"/>
    </xf>
    <xf numFmtId="0" fontId="13" fillId="3" borderId="27" xfId="4" applyFont="1" applyFill="1" applyBorder="1" applyAlignment="1">
      <alignment horizontal="center"/>
    </xf>
    <xf numFmtId="0" fontId="13" fillId="3" borderId="34" xfId="4" applyFont="1" applyFill="1" applyBorder="1" applyAlignment="1">
      <alignment horizontal="center"/>
    </xf>
    <xf numFmtId="0" fontId="13" fillId="3" borderId="25" xfId="4" applyFont="1" applyFill="1" applyBorder="1" applyAlignment="1">
      <alignment horizontal="center"/>
    </xf>
    <xf numFmtId="0" fontId="19" fillId="7" borderId="76" xfId="6" applyNumberFormat="1" applyFont="1" applyFill="1" applyBorder="1" applyAlignment="1" applyProtection="1">
      <alignment horizontal="center" vertical="center"/>
    </xf>
    <xf numFmtId="185" fontId="13" fillId="0" borderId="66" xfId="4" applyNumberFormat="1" applyFont="1" applyBorder="1" applyAlignment="1">
      <alignment horizontal="right" vertical="center" shrinkToFit="1"/>
    </xf>
    <xf numFmtId="0" fontId="13" fillId="7" borderId="77" xfId="4" applyNumberFormat="1" applyFont="1" applyFill="1" applyBorder="1" applyAlignment="1">
      <alignment horizontal="center" vertical="center" shrinkToFit="1"/>
    </xf>
    <xf numFmtId="185" fontId="13" fillId="0" borderId="66" xfId="4" applyNumberFormat="1" applyFont="1" applyFill="1" applyBorder="1" applyAlignment="1">
      <alignment horizontal="right" vertical="center" shrinkToFit="1"/>
    </xf>
    <xf numFmtId="0" fontId="13" fillId="7" borderId="64" xfId="4" applyNumberFormat="1" applyFont="1" applyFill="1" applyBorder="1" applyAlignment="1">
      <alignment horizontal="center" vertical="center" shrinkToFit="1"/>
    </xf>
    <xf numFmtId="185" fontId="13" fillId="0" borderId="66" xfId="4" applyNumberFormat="1" applyFont="1" applyBorder="1" applyAlignment="1">
      <alignment horizontal="right" vertical="center"/>
    </xf>
    <xf numFmtId="0" fontId="13" fillId="0" borderId="0" xfId="4" applyFont="1" applyAlignment="1">
      <alignment horizontal="left" vertical="center" indent="1"/>
    </xf>
    <xf numFmtId="0" fontId="19" fillId="7" borderId="78" xfId="6" applyNumberFormat="1" applyFont="1" applyFill="1" applyBorder="1" applyAlignment="1" applyProtection="1">
      <alignment horizontal="center" vertical="center"/>
    </xf>
    <xf numFmtId="185" fontId="13" fillId="0" borderId="70" xfId="4" applyNumberFormat="1" applyFont="1" applyBorder="1" applyAlignment="1">
      <alignment horizontal="right" vertical="center" shrinkToFit="1"/>
    </xf>
    <xf numFmtId="0" fontId="13" fillId="7" borderId="79" xfId="4" applyNumberFormat="1" applyFont="1" applyFill="1" applyBorder="1" applyAlignment="1">
      <alignment horizontal="center" vertical="center" shrinkToFit="1"/>
    </xf>
    <xf numFmtId="185" fontId="13" fillId="0" borderId="70" xfId="4" applyNumberFormat="1" applyFont="1" applyFill="1" applyBorder="1" applyAlignment="1">
      <alignment horizontal="right" vertical="center" shrinkToFit="1"/>
    </xf>
    <xf numFmtId="0" fontId="13" fillId="7" borderId="68" xfId="4" applyNumberFormat="1" applyFont="1" applyFill="1" applyBorder="1" applyAlignment="1">
      <alignment horizontal="center" vertical="center" shrinkToFit="1"/>
    </xf>
    <xf numFmtId="185" fontId="13" fillId="0" borderId="70" xfId="4" applyNumberFormat="1" applyFont="1" applyBorder="1" applyAlignment="1">
      <alignment horizontal="right" vertical="center"/>
    </xf>
    <xf numFmtId="186" fontId="5" fillId="0" borderId="0" xfId="2" applyNumberFormat="1" applyFont="1" applyFill="1" applyBorder="1" applyAlignment="1" applyProtection="1">
      <alignment horizontal="left" vertical="center" indent="1"/>
    </xf>
    <xf numFmtId="0" fontId="19" fillId="7" borderId="80" xfId="6" applyNumberFormat="1" applyFont="1" applyFill="1" applyBorder="1" applyAlignment="1" applyProtection="1">
      <alignment horizontal="center" vertical="center"/>
    </xf>
    <xf numFmtId="185" fontId="13" fillId="0" borderId="74" xfId="4" applyNumberFormat="1" applyFont="1" applyBorder="1" applyAlignment="1">
      <alignment horizontal="right" vertical="center" shrinkToFit="1"/>
    </xf>
    <xf numFmtId="0" fontId="13" fillId="7" borderId="81" xfId="4" applyNumberFormat="1" applyFont="1" applyFill="1" applyBorder="1" applyAlignment="1">
      <alignment horizontal="center" vertical="center" shrinkToFit="1"/>
    </xf>
    <xf numFmtId="185" fontId="13" fillId="0" borderId="74" xfId="4" applyNumberFormat="1" applyFont="1" applyFill="1" applyBorder="1" applyAlignment="1">
      <alignment horizontal="right" vertical="center" shrinkToFit="1"/>
    </xf>
    <xf numFmtId="0" fontId="13" fillId="7" borderId="72" xfId="4" applyNumberFormat="1" applyFont="1" applyFill="1" applyBorder="1" applyAlignment="1">
      <alignment horizontal="center" vertical="center" shrinkToFit="1"/>
    </xf>
    <xf numFmtId="185" fontId="13" fillId="0" borderId="74" xfId="4" applyNumberFormat="1" applyFont="1" applyBorder="1" applyAlignment="1">
      <alignment horizontal="right" vertical="center"/>
    </xf>
    <xf numFmtId="0" fontId="25" fillId="0" borderId="68" xfId="5" applyNumberFormat="1" applyFont="1" applyFill="1" applyBorder="1" applyAlignment="1">
      <alignment horizontal="right" vertical="center"/>
    </xf>
    <xf numFmtId="0" fontId="25" fillId="0" borderId="69" xfId="5" applyNumberFormat="1" applyFont="1" applyFill="1" applyBorder="1" applyAlignment="1">
      <alignment horizontal="right" vertical="center"/>
    </xf>
    <xf numFmtId="0" fontId="25" fillId="0" borderId="69" xfId="4" applyFont="1" applyBorder="1" applyAlignment="1">
      <alignment horizontal="right" vertical="center"/>
    </xf>
    <xf numFmtId="0" fontId="25" fillId="0" borderId="70" xfId="4" applyFont="1" applyBorder="1" applyAlignment="1">
      <alignment horizontal="right" vertical="center"/>
    </xf>
    <xf numFmtId="0" fontId="25" fillId="0" borderId="72" xfId="5" applyNumberFormat="1" applyFont="1" applyFill="1" applyBorder="1" applyAlignment="1">
      <alignment horizontal="right" vertical="center"/>
    </xf>
    <xf numFmtId="0" fontId="25" fillId="0" borderId="73" xfId="5" applyNumberFormat="1" applyFont="1" applyFill="1" applyBorder="1" applyAlignment="1">
      <alignment horizontal="right" vertical="center"/>
    </xf>
    <xf numFmtId="0" fontId="25" fillId="0" borderId="73" xfId="4" applyFont="1" applyBorder="1" applyAlignment="1">
      <alignment horizontal="right" vertical="center"/>
    </xf>
    <xf numFmtId="0" fontId="25" fillId="0" borderId="74" xfId="4" applyFont="1" applyBorder="1" applyAlignment="1">
      <alignment horizontal="right" vertical="center"/>
    </xf>
    <xf numFmtId="0" fontId="25" fillId="0" borderId="64" xfId="5" applyNumberFormat="1" applyFont="1" applyFill="1" applyBorder="1" applyAlignment="1">
      <alignment horizontal="right" vertical="center"/>
    </xf>
    <xf numFmtId="0" fontId="25" fillId="0" borderId="65" xfId="5" applyNumberFormat="1" applyFont="1" applyFill="1" applyBorder="1" applyAlignment="1">
      <alignment horizontal="right" vertical="center"/>
    </xf>
    <xf numFmtId="0" fontId="25" fillId="0" borderId="65" xfId="4" applyFont="1" applyBorder="1" applyAlignment="1">
      <alignment horizontal="right" vertical="center"/>
    </xf>
    <xf numFmtId="0" fontId="25" fillId="0" borderId="66" xfId="4" applyFont="1" applyBorder="1" applyAlignment="1">
      <alignment horizontal="right" vertical="center"/>
    </xf>
    <xf numFmtId="0" fontId="26" fillId="2" borderId="2" xfId="7" applyNumberFormat="1" applyFont="1" applyFill="1" applyBorder="1" applyAlignment="1">
      <alignment horizontal="left" vertical="center" indent="1"/>
    </xf>
    <xf numFmtId="0" fontId="13" fillId="2" borderId="3" xfId="7" applyNumberFormat="1" applyFont="1" applyFill="1" applyBorder="1"/>
    <xf numFmtId="0" fontId="13" fillId="2" borderId="4" xfId="7" applyNumberFormat="1" applyFont="1" applyFill="1" applyBorder="1"/>
    <xf numFmtId="0" fontId="13" fillId="0" borderId="0" xfId="8" applyFont="1"/>
    <xf numFmtId="0" fontId="13" fillId="0" borderId="0" xfId="8" applyNumberFormat="1" applyFont="1" applyBorder="1" applyAlignment="1">
      <alignment horizontal="center"/>
    </xf>
    <xf numFmtId="0" fontId="13" fillId="0" borderId="0" xfId="8" applyNumberFormat="1" applyFont="1" applyBorder="1"/>
    <xf numFmtId="0" fontId="13" fillId="0" borderId="0" xfId="8" applyNumberFormat="1" applyFont="1" applyBorder="1" applyAlignment="1">
      <alignment horizontal="right"/>
    </xf>
    <xf numFmtId="49" fontId="27" fillId="3" borderId="82" xfId="3" applyNumberFormat="1" applyFont="1" applyFill="1" applyBorder="1" applyAlignment="1">
      <alignment horizontal="center" vertical="center"/>
    </xf>
    <xf numFmtId="0" fontId="27" fillId="3" borderId="83" xfId="3" applyFont="1" applyFill="1" applyBorder="1" applyAlignment="1">
      <alignment horizontal="center" vertical="center" wrapText="1"/>
    </xf>
    <xf numFmtId="0" fontId="27" fillId="3" borderId="84" xfId="3" applyFont="1" applyFill="1" applyBorder="1" applyAlignment="1">
      <alignment horizontal="center" vertical="center" wrapText="1"/>
    </xf>
    <xf numFmtId="0" fontId="27" fillId="3" borderId="85" xfId="3" applyFont="1" applyFill="1" applyBorder="1" applyAlignment="1">
      <alignment horizontal="center" vertical="center" wrapText="1"/>
    </xf>
    <xf numFmtId="0" fontId="13" fillId="0" borderId="0" xfId="8" applyFont="1" applyBorder="1"/>
    <xf numFmtId="49" fontId="27" fillId="3" borderId="86" xfId="3" applyNumberFormat="1" applyFont="1" applyFill="1" applyBorder="1" applyAlignment="1">
      <alignment horizontal="center" vertical="center"/>
    </xf>
    <xf numFmtId="0" fontId="27" fillId="3" borderId="87" xfId="3" applyFont="1" applyFill="1" applyBorder="1" applyAlignment="1">
      <alignment horizontal="center" vertical="center" wrapText="1"/>
    </xf>
    <xf numFmtId="0" fontId="27" fillId="3" borderId="88" xfId="3" applyFont="1" applyFill="1" applyBorder="1" applyAlignment="1">
      <alignment horizontal="center" vertical="center" wrapText="1"/>
    </xf>
    <xf numFmtId="0" fontId="27" fillId="3" borderId="89" xfId="3" applyFont="1" applyFill="1" applyBorder="1" applyAlignment="1">
      <alignment horizontal="center" vertical="center" wrapText="1"/>
    </xf>
    <xf numFmtId="0" fontId="27" fillId="3" borderId="38" xfId="3" applyFont="1" applyFill="1" applyBorder="1" applyAlignment="1">
      <alignment horizontal="center" vertical="center" wrapText="1"/>
    </xf>
    <xf numFmtId="49" fontId="27" fillId="0" borderId="90" xfId="3" applyNumberFormat="1" applyFont="1" applyFill="1" applyBorder="1" applyAlignment="1">
      <alignment horizontal="center"/>
    </xf>
    <xf numFmtId="181" fontId="27" fillId="0" borderId="91" xfId="3" applyNumberFormat="1" applyFont="1" applyFill="1" applyBorder="1" applyAlignment="1"/>
    <xf numFmtId="181" fontId="27" fillId="0" borderId="91" xfId="3" applyNumberFormat="1" applyFont="1" applyFill="1" applyBorder="1" applyAlignment="1">
      <alignment horizontal="center"/>
    </xf>
    <xf numFmtId="181" fontId="27" fillId="0" borderId="92" xfId="3" applyNumberFormat="1" applyFont="1" applyFill="1" applyBorder="1" applyAlignment="1">
      <alignment horizontal="center"/>
    </xf>
    <xf numFmtId="0" fontId="27" fillId="0" borderId="93" xfId="3" applyFont="1" applyFill="1" applyBorder="1" applyAlignment="1">
      <alignment horizontal="center"/>
    </xf>
    <xf numFmtId="181" fontId="27" fillId="0" borderId="94" xfId="3" applyNumberFormat="1" applyFont="1" applyFill="1" applyBorder="1" applyAlignment="1"/>
    <xf numFmtId="181" fontId="27" fillId="0" borderId="94" xfId="3" applyNumberFormat="1" applyFont="1" applyFill="1" applyBorder="1" applyAlignment="1">
      <alignment horizontal="center"/>
    </xf>
    <xf numFmtId="181" fontId="27" fillId="0" borderId="95" xfId="3" applyNumberFormat="1" applyFont="1" applyFill="1" applyBorder="1" applyAlignment="1">
      <alignment horizontal="center"/>
    </xf>
    <xf numFmtId="49" fontId="27" fillId="0" borderId="93" xfId="3" applyNumberFormat="1" applyFont="1" applyFill="1" applyBorder="1" applyAlignment="1">
      <alignment horizontal="center"/>
    </xf>
    <xf numFmtId="0" fontId="13" fillId="0" borderId="96" xfId="8" applyFont="1" applyBorder="1"/>
    <xf numFmtId="0" fontId="13" fillId="0" borderId="97" xfId="8" applyFont="1" applyBorder="1"/>
    <xf numFmtId="0" fontId="13" fillId="0" borderId="56" xfId="8" applyFont="1" applyBorder="1"/>
    <xf numFmtId="49" fontId="28" fillId="2" borderId="2" xfId="5" applyNumberFormat="1" applyFont="1" applyFill="1" applyBorder="1" applyAlignment="1">
      <alignment horizontal="left" vertical="center" indent="1"/>
    </xf>
    <xf numFmtId="0" fontId="29" fillId="0" borderId="0" xfId="5" applyFont="1" applyBorder="1"/>
    <xf numFmtId="0" fontId="13" fillId="0" borderId="20" xfId="5" applyFont="1" applyBorder="1"/>
    <xf numFmtId="0" fontId="13" fillId="3" borderId="98" xfId="9" applyFont="1" applyFill="1" applyBorder="1" applyAlignment="1">
      <alignment horizontal="centerContinuous"/>
    </xf>
    <xf numFmtId="0" fontId="13" fillId="3" borderId="99" xfId="5" applyFont="1" applyFill="1" applyBorder="1" applyAlignment="1">
      <alignment horizontal="centerContinuous"/>
    </xf>
    <xf numFmtId="0" fontId="13" fillId="3" borderId="85" xfId="5" applyFont="1" applyFill="1" applyBorder="1" applyAlignment="1">
      <alignment horizontal="centerContinuous"/>
    </xf>
    <xf numFmtId="0" fontId="13" fillId="3" borderId="100" xfId="9" applyFont="1" applyFill="1" applyBorder="1" applyAlignment="1">
      <alignment horizontal="center"/>
    </xf>
    <xf numFmtId="0" fontId="13" fillId="3" borderId="40" xfId="9" applyFont="1" applyFill="1" applyBorder="1" applyAlignment="1">
      <alignment horizontal="center"/>
    </xf>
    <xf numFmtId="0" fontId="13" fillId="3" borderId="38" xfId="9" applyFont="1" applyFill="1" applyBorder="1" applyAlignment="1">
      <alignment horizontal="center"/>
    </xf>
    <xf numFmtId="187" fontId="13" fillId="0" borderId="101" xfId="5" applyNumberFormat="1" applyFont="1" applyBorder="1" applyAlignment="1">
      <alignment horizontal="center" shrinkToFit="1"/>
    </xf>
    <xf numFmtId="187" fontId="13" fillId="0" borderId="102" xfId="5" applyNumberFormat="1" applyFont="1" applyBorder="1" applyAlignment="1">
      <alignment horizontal="center" shrinkToFit="1"/>
    </xf>
    <xf numFmtId="187" fontId="13" fillId="0" borderId="31" xfId="5" applyNumberFormat="1" applyFont="1" applyBorder="1" applyAlignment="1">
      <alignment horizontal="center" shrinkToFit="1"/>
    </xf>
    <xf numFmtId="0" fontId="13" fillId="4" borderId="103" xfId="4" applyFont="1" applyFill="1" applyBorder="1" applyAlignment="1">
      <alignment horizontal="center" vertical="center"/>
    </xf>
    <xf numFmtId="0" fontId="13" fillId="3" borderId="32" xfId="5" applyFont="1" applyFill="1" applyBorder="1" applyAlignment="1">
      <alignment horizontal="center"/>
    </xf>
    <xf numFmtId="0" fontId="13" fillId="3" borderId="25" xfId="5" applyFont="1" applyFill="1" applyBorder="1" applyAlignment="1">
      <alignment horizontal="center"/>
    </xf>
    <xf numFmtId="0" fontId="13" fillId="3" borderId="26" xfId="5" applyFont="1" applyFill="1" applyBorder="1" applyAlignment="1">
      <alignment horizontal="center"/>
    </xf>
    <xf numFmtId="0" fontId="13" fillId="3" borderId="27" xfId="5" applyFont="1" applyFill="1" applyBorder="1" applyAlignment="1">
      <alignment horizontal="center"/>
    </xf>
    <xf numFmtId="0" fontId="13" fillId="0" borderId="104" xfId="5" applyFont="1" applyBorder="1" applyAlignment="1">
      <alignment horizontal="center" shrinkToFit="1"/>
    </xf>
    <xf numFmtId="0" fontId="13" fillId="0" borderId="105" xfId="5" applyFont="1" applyBorder="1"/>
    <xf numFmtId="0" fontId="13" fillId="0" borderId="106" xfId="5" applyFont="1" applyBorder="1"/>
    <xf numFmtId="0" fontId="13" fillId="0" borderId="107" xfId="5" applyFont="1" applyBorder="1"/>
    <xf numFmtId="0" fontId="13" fillId="0" borderId="105" xfId="5" applyFont="1" applyBorder="1"/>
    <xf numFmtId="0" fontId="13" fillId="0" borderId="106" xfId="5" applyFont="1" applyBorder="1"/>
    <xf numFmtId="0" fontId="13" fillId="0" borderId="107" xfId="5" applyFont="1" applyBorder="1"/>
    <xf numFmtId="0" fontId="13" fillId="0" borderId="108" xfId="5" applyFont="1" applyBorder="1" applyAlignment="1">
      <alignment horizontal="center" shrinkToFit="1"/>
    </xf>
    <xf numFmtId="0" fontId="13" fillId="0" borderId="109" xfId="5" applyFont="1" applyBorder="1"/>
    <xf numFmtId="0" fontId="13" fillId="0" borderId="110" xfId="5" applyFont="1" applyBorder="1"/>
    <xf numFmtId="0" fontId="13" fillId="0" borderId="111" xfId="5" applyFont="1" applyBorder="1"/>
    <xf numFmtId="0" fontId="13" fillId="0" borderId="109" xfId="5" applyFont="1" applyBorder="1"/>
    <xf numFmtId="0" fontId="13" fillId="0" borderId="110" xfId="5" applyFont="1" applyBorder="1"/>
    <xf numFmtId="0" fontId="13" fillId="0" borderId="111" xfId="5" applyFont="1" applyBorder="1"/>
    <xf numFmtId="0" fontId="13" fillId="0" borderId="108" xfId="5" applyFont="1" applyBorder="1" applyAlignment="1">
      <alignment horizontal="center"/>
    </xf>
    <xf numFmtId="0" fontId="13" fillId="0" borderId="112" xfId="5" applyFont="1" applyBorder="1" applyAlignment="1">
      <alignment horizontal="center" vertical="center"/>
    </xf>
    <xf numFmtId="0" fontId="13" fillId="0" borderId="113" xfId="5" applyFont="1" applyBorder="1" applyAlignment="1">
      <alignment wrapText="1"/>
    </xf>
    <xf numFmtId="0" fontId="13" fillId="0" borderId="114" xfId="5" applyFont="1" applyBorder="1"/>
    <xf numFmtId="0" fontId="13" fillId="0" borderId="115" xfId="5" applyFont="1" applyBorder="1"/>
    <xf numFmtId="0" fontId="13" fillId="0" borderId="36" xfId="5" applyFont="1" applyBorder="1" applyAlignment="1">
      <alignment horizontal="center" vertical="center"/>
    </xf>
    <xf numFmtId="0" fontId="13" fillId="0" borderId="68" xfId="5" applyFont="1" applyBorder="1"/>
    <xf numFmtId="0" fontId="13" fillId="0" borderId="69" xfId="5" applyFont="1" applyBorder="1"/>
    <xf numFmtId="0" fontId="13" fillId="0" borderId="70" xfId="5" applyFont="1" applyBorder="1"/>
    <xf numFmtId="0" fontId="13" fillId="0" borderId="116" xfId="5" applyFont="1" applyBorder="1" applyAlignment="1">
      <alignment horizontal="center" vertical="center"/>
    </xf>
    <xf numFmtId="0" fontId="13" fillId="0" borderId="117" xfId="5" applyFont="1" applyBorder="1" applyAlignment="1">
      <alignment shrinkToFit="1"/>
    </xf>
    <xf numFmtId="0" fontId="13" fillId="0" borderId="118" xfId="5" applyFont="1" applyBorder="1" applyAlignment="1">
      <alignment shrinkToFit="1"/>
    </xf>
    <xf numFmtId="0" fontId="13" fillId="0" borderId="119" xfId="5" applyFont="1" applyBorder="1" applyAlignment="1">
      <alignment shrinkToFit="1"/>
    </xf>
    <xf numFmtId="0" fontId="13" fillId="0" borderId="120" xfId="5" applyFont="1" applyBorder="1" applyAlignment="1">
      <alignment horizontal="center" vertical="center"/>
    </xf>
    <xf numFmtId="0" fontId="13" fillId="0" borderId="67" xfId="5" applyFont="1" applyBorder="1" applyAlignment="1">
      <alignment horizontal="center" vertical="center"/>
    </xf>
    <xf numFmtId="0" fontId="13" fillId="0" borderId="121" xfId="5" applyFont="1" applyBorder="1" applyAlignment="1">
      <alignment horizontal="center" vertical="center"/>
    </xf>
    <xf numFmtId="0" fontId="13" fillId="5" borderId="39" xfId="4" applyFont="1" applyFill="1" applyBorder="1" applyAlignment="1">
      <alignment horizontal="center" vertical="center"/>
    </xf>
    <xf numFmtId="184" fontId="13" fillId="3" borderId="26" xfId="5" applyNumberFormat="1" applyFont="1" applyFill="1" applyBorder="1" applyAlignment="1">
      <alignment horizontal="center"/>
    </xf>
    <xf numFmtId="184" fontId="13" fillId="3" borderId="26" xfId="4" applyNumberFormat="1" applyFont="1" applyFill="1" applyBorder="1" applyAlignment="1">
      <alignment horizontal="center"/>
    </xf>
    <xf numFmtId="184" fontId="13" fillId="3" borderId="27" xfId="4" applyNumberFormat="1" applyFont="1" applyFill="1" applyBorder="1" applyAlignment="1">
      <alignment horizontal="center"/>
    </xf>
    <xf numFmtId="0" fontId="25" fillId="0" borderId="113" xfId="5" applyFont="1" applyBorder="1"/>
    <xf numFmtId="0" fontId="25" fillId="0" borderId="114" xfId="5" applyFont="1" applyBorder="1"/>
    <xf numFmtId="0" fontId="25" fillId="0" borderId="115" xfId="5" applyFont="1" applyBorder="1"/>
    <xf numFmtId="0" fontId="25" fillId="0" borderId="68" xfId="5" applyFont="1" applyBorder="1"/>
    <xf numFmtId="0" fontId="25" fillId="0" borderId="69" xfId="5" applyFont="1" applyBorder="1"/>
    <xf numFmtId="0" fontId="25" fillId="0" borderId="70" xfId="5" applyFont="1" applyBorder="1"/>
    <xf numFmtId="0" fontId="25" fillId="0" borderId="117" xfId="5" applyFont="1" applyBorder="1"/>
    <xf numFmtId="0" fontId="25" fillId="0" borderId="118" xfId="5" applyFont="1" applyBorder="1"/>
    <xf numFmtId="0" fontId="25" fillId="0" borderId="119" xfId="5" applyFont="1" applyBorder="1"/>
    <xf numFmtId="0" fontId="31" fillId="2" borderId="2" xfId="2" applyFont="1" applyFill="1" applyBorder="1" applyAlignment="1" applyProtection="1">
      <alignment horizontal="left" vertical="center" indent="1"/>
      <protection locked="0"/>
    </xf>
    <xf numFmtId="0" fontId="2" fillId="2" borderId="3" xfId="2" applyFont="1" applyFill="1" applyBorder="1" applyProtection="1">
      <protection locked="0"/>
    </xf>
    <xf numFmtId="0" fontId="2" fillId="2" borderId="3" xfId="2" applyFont="1" applyFill="1" applyBorder="1" applyAlignment="1" applyProtection="1">
      <alignment horizontal="center"/>
      <protection locked="0"/>
    </xf>
    <xf numFmtId="0" fontId="2" fillId="2" borderId="4" xfId="2" applyFont="1" applyFill="1" applyBorder="1" applyProtection="1">
      <protection locked="0"/>
    </xf>
    <xf numFmtId="0" fontId="2" fillId="0" borderId="0" xfId="2" applyFont="1" applyProtection="1">
      <protection locked="0"/>
    </xf>
    <xf numFmtId="0" fontId="5" fillId="0" borderId="0" xfId="10" applyFont="1" applyBorder="1"/>
    <xf numFmtId="0" fontId="5" fillId="0" borderId="0" xfId="10" applyFont="1" applyBorder="1" applyAlignment="1">
      <alignment horizontal="center"/>
    </xf>
    <xf numFmtId="188" fontId="5" fillId="0" borderId="0" xfId="10" applyNumberFormat="1" applyFont="1" applyBorder="1" applyAlignment="1"/>
    <xf numFmtId="0" fontId="5" fillId="0" borderId="0" xfId="10" applyFont="1" applyBorder="1" applyAlignment="1"/>
    <xf numFmtId="0" fontId="5" fillId="0" borderId="0" xfId="10" applyFont="1"/>
    <xf numFmtId="0" fontId="18" fillId="3" borderId="75" xfId="10" applyFont="1" applyFill="1" applyBorder="1" applyAlignment="1">
      <alignment horizontal="center" vertical="center"/>
    </xf>
    <xf numFmtId="0" fontId="18" fillId="3" borderId="122" xfId="10" applyFont="1" applyFill="1" applyBorder="1" applyAlignment="1">
      <alignment horizontal="center" vertical="center" textRotation="255"/>
    </xf>
    <xf numFmtId="0" fontId="18" fillId="3" borderId="122" xfId="10" applyFont="1" applyFill="1" applyBorder="1" applyAlignment="1">
      <alignment horizontal="center" vertical="center"/>
    </xf>
    <xf numFmtId="188" fontId="18" fillId="3" borderId="26" xfId="10" applyNumberFormat="1" applyFont="1" applyFill="1" applyBorder="1" applyAlignment="1">
      <alignment horizontal="center" vertical="center" wrapText="1"/>
    </xf>
    <xf numFmtId="0" fontId="18" fillId="3" borderId="26" xfId="10" applyFont="1" applyFill="1" applyBorder="1" applyAlignment="1">
      <alignment horizontal="center" vertical="center" wrapText="1" shrinkToFit="1"/>
    </xf>
    <xf numFmtId="0" fontId="18" fillId="3" borderId="122" xfId="10" applyFont="1" applyFill="1" applyBorder="1" applyAlignment="1">
      <alignment horizontal="center" vertical="center" wrapText="1"/>
    </xf>
    <xf numFmtId="0" fontId="18" fillId="3" borderId="27" xfId="10" applyFont="1" applyFill="1" applyBorder="1" applyAlignment="1">
      <alignment horizontal="center" vertical="center" wrapText="1"/>
    </xf>
    <xf numFmtId="0" fontId="18" fillId="3" borderId="100" xfId="10" applyFont="1" applyFill="1" applyBorder="1" applyAlignment="1">
      <alignment horizontal="center" vertical="center"/>
    </xf>
    <xf numFmtId="0" fontId="18" fillId="3" borderId="40" xfId="10" applyFont="1" applyFill="1" applyBorder="1" applyAlignment="1">
      <alignment horizontal="center" vertical="center" textRotation="255"/>
    </xf>
    <xf numFmtId="0" fontId="18" fillId="3" borderId="62" xfId="10" applyFont="1" applyFill="1" applyBorder="1" applyAlignment="1">
      <alignment horizontal="center" vertical="center"/>
    </xf>
    <xf numFmtId="188" fontId="18" fillId="3" borderId="62" xfId="10" applyNumberFormat="1" applyFont="1" applyFill="1" applyBorder="1" applyAlignment="1">
      <alignment horizontal="center" vertical="center" wrapText="1"/>
    </xf>
    <xf numFmtId="0" fontId="18" fillId="3" borderId="62" xfId="10" applyFont="1" applyFill="1" applyBorder="1" applyAlignment="1">
      <alignment horizontal="center" vertical="center" wrapText="1" shrinkToFit="1"/>
    </xf>
    <xf numFmtId="0" fontId="18" fillId="3" borderId="123" xfId="10" applyFont="1" applyFill="1" applyBorder="1" applyAlignment="1">
      <alignment horizontal="center" vertical="center" wrapText="1"/>
    </xf>
    <xf numFmtId="0" fontId="18" fillId="3" borderId="62" xfId="10" applyFont="1" applyFill="1" applyBorder="1" applyAlignment="1">
      <alignment horizontal="center" vertical="center" textRotation="255"/>
    </xf>
    <xf numFmtId="0" fontId="18" fillId="3" borderId="46" xfId="10" applyFont="1" applyFill="1" applyBorder="1" applyAlignment="1">
      <alignment horizontal="center" vertical="center" wrapText="1"/>
    </xf>
    <xf numFmtId="0" fontId="18" fillId="0" borderId="124" xfId="10" applyFont="1" applyBorder="1"/>
    <xf numFmtId="0" fontId="5" fillId="0" borderId="124" xfId="10" applyFont="1" applyBorder="1" applyAlignment="1">
      <alignment horizontal="center"/>
    </xf>
    <xf numFmtId="0" fontId="5" fillId="0" borderId="124" xfId="10" applyFont="1" applyBorder="1" applyAlignment="1">
      <alignment shrinkToFit="1"/>
    </xf>
    <xf numFmtId="188" fontId="5" fillId="0" borderId="124" xfId="10" applyNumberFormat="1" applyFont="1" applyBorder="1" applyAlignment="1"/>
    <xf numFmtId="0" fontId="5" fillId="0" borderId="124" xfId="10" applyNumberFormat="1" applyFont="1" applyBorder="1" applyAlignment="1">
      <alignment horizontal="right"/>
    </xf>
    <xf numFmtId="188" fontId="5" fillId="10" borderId="125" xfId="10" applyNumberFormat="1" applyFont="1" applyFill="1" applyBorder="1" applyAlignment="1"/>
    <xf numFmtId="0" fontId="18" fillId="0" borderId="40" xfId="10" applyFont="1" applyBorder="1"/>
    <xf numFmtId="0" fontId="5" fillId="0" borderId="40" xfId="10" applyFont="1" applyBorder="1" applyAlignment="1">
      <alignment horizontal="center"/>
    </xf>
    <xf numFmtId="0" fontId="5" fillId="0" borderId="40" xfId="10" applyFont="1" applyBorder="1" applyAlignment="1">
      <alignment shrinkToFit="1"/>
    </xf>
    <xf numFmtId="188" fontId="5" fillId="0" borderId="40" xfId="10" applyNumberFormat="1" applyFont="1" applyBorder="1" applyAlignment="1"/>
    <xf numFmtId="0" fontId="5" fillId="0" borderId="40" xfId="10" applyNumberFormat="1" applyFont="1" applyBorder="1" applyAlignment="1">
      <alignment horizontal="right"/>
    </xf>
    <xf numFmtId="188" fontId="5" fillId="10" borderId="38" xfId="10" applyNumberFormat="1" applyFont="1" applyFill="1" applyBorder="1" applyAlignment="1"/>
    <xf numFmtId="0" fontId="18" fillId="0" borderId="126" xfId="10" applyFont="1" applyBorder="1"/>
    <xf numFmtId="0" fontId="5" fillId="0" borderId="126" xfId="10" applyFont="1" applyBorder="1" applyAlignment="1">
      <alignment horizontal="center"/>
    </xf>
    <xf numFmtId="0" fontId="5" fillId="0" borderId="126" xfId="10" applyFont="1" applyBorder="1" applyAlignment="1">
      <alignment shrinkToFit="1"/>
    </xf>
    <xf numFmtId="188" fontId="5" fillId="0" borderId="126" xfId="10" applyNumberFormat="1" applyFont="1" applyBorder="1" applyAlignment="1"/>
    <xf numFmtId="0" fontId="5" fillId="0" borderId="126" xfId="10" applyNumberFormat="1" applyFont="1" applyBorder="1" applyAlignment="1">
      <alignment horizontal="right"/>
    </xf>
    <xf numFmtId="188" fontId="5" fillId="10" borderId="127" xfId="10" applyNumberFormat="1" applyFont="1" applyFill="1" applyBorder="1" applyAlignment="1"/>
    <xf numFmtId="0" fontId="5" fillId="0" borderId="128" xfId="10" applyFont="1" applyBorder="1"/>
    <xf numFmtId="0" fontId="5" fillId="0" borderId="128" xfId="10" applyFont="1" applyBorder="1" applyAlignment="1">
      <alignment horizontal="center"/>
    </xf>
    <xf numFmtId="188" fontId="5" fillId="0" borderId="128" xfId="10" applyNumberFormat="1" applyFont="1" applyBorder="1" applyAlignment="1"/>
    <xf numFmtId="188" fontId="5" fillId="10" borderId="129" xfId="10" applyNumberFormat="1" applyFont="1" applyFill="1" applyBorder="1" applyAlignment="1"/>
    <xf numFmtId="0" fontId="18" fillId="0" borderId="20" xfId="10" applyFont="1" applyBorder="1"/>
    <xf numFmtId="0" fontId="18" fillId="0" borderId="20" xfId="10" applyFont="1" applyBorder="1" applyAlignment="1">
      <alignment horizontal="center"/>
    </xf>
    <xf numFmtId="0" fontId="18" fillId="0" borderId="20" xfId="10" applyFont="1" applyFill="1" applyBorder="1" applyAlignment="1"/>
    <xf numFmtId="188" fontId="18" fillId="0" borderId="20" xfId="10" applyNumberFormat="1" applyFont="1" applyFill="1" applyBorder="1" applyAlignment="1"/>
    <xf numFmtId="0" fontId="18" fillId="0" borderId="20" xfId="10" applyNumberFormat="1" applyFont="1" applyFill="1" applyBorder="1" applyAlignment="1"/>
    <xf numFmtId="188" fontId="18" fillId="0" borderId="127" xfId="10" applyNumberFormat="1" applyFont="1" applyFill="1" applyBorder="1" applyAlignment="1"/>
    <xf numFmtId="0" fontId="5" fillId="0" borderId="40" xfId="10" applyFont="1" applyFill="1" applyBorder="1" applyAlignment="1">
      <alignment shrinkToFit="1"/>
    </xf>
    <xf numFmtId="188" fontId="5" fillId="0" borderId="40" xfId="10" applyNumberFormat="1" applyFont="1" applyFill="1" applyBorder="1" applyAlignment="1"/>
    <xf numFmtId="0" fontId="5" fillId="0" borderId="40" xfId="10" applyNumberFormat="1" applyFont="1" applyFill="1" applyBorder="1" applyAlignment="1">
      <alignment horizontal="right"/>
    </xf>
    <xf numFmtId="188" fontId="5" fillId="0" borderId="38" xfId="10" applyNumberFormat="1" applyFont="1" applyFill="1" applyBorder="1" applyAlignment="1"/>
    <xf numFmtId="0" fontId="5" fillId="0" borderId="126" xfId="10" applyFont="1" applyFill="1" applyBorder="1" applyAlignment="1">
      <alignment shrinkToFit="1"/>
    </xf>
    <xf numFmtId="188" fontId="5" fillId="0" borderId="126" xfId="10" applyNumberFormat="1" applyFont="1" applyFill="1" applyBorder="1" applyAlignment="1"/>
    <xf numFmtId="0" fontId="5" fillId="0" borderId="126" xfId="10" applyNumberFormat="1" applyFont="1" applyFill="1" applyBorder="1" applyAlignment="1">
      <alignment horizontal="right"/>
    </xf>
    <xf numFmtId="188" fontId="5" fillId="0" borderId="127" xfId="10" applyNumberFormat="1" applyFont="1" applyFill="1" applyBorder="1" applyAlignment="1"/>
    <xf numFmtId="0" fontId="5" fillId="0" borderId="128" xfId="10" applyFont="1" applyFill="1" applyBorder="1" applyAlignment="1"/>
    <xf numFmtId="188" fontId="5" fillId="0" borderId="128" xfId="10" applyNumberFormat="1" applyFont="1" applyFill="1" applyBorder="1" applyAlignment="1"/>
    <xf numFmtId="188" fontId="5" fillId="0" borderId="129" xfId="10" applyNumberFormat="1" applyFont="1" applyFill="1" applyBorder="1" applyAlignment="1"/>
    <xf numFmtId="0" fontId="18" fillId="0" borderId="81" xfId="10" applyFont="1" applyBorder="1"/>
    <xf numFmtId="0" fontId="18" fillId="0" borderId="81" xfId="10" applyFont="1" applyBorder="1" applyAlignment="1">
      <alignment horizontal="center"/>
    </xf>
    <xf numFmtId="0" fontId="18" fillId="0" borderId="81" xfId="10" applyFont="1" applyFill="1" applyBorder="1" applyAlignment="1"/>
    <xf numFmtId="188" fontId="18" fillId="0" borderId="81" xfId="10" applyNumberFormat="1" applyFont="1" applyFill="1" applyBorder="1" applyAlignment="1"/>
    <xf numFmtId="0" fontId="18" fillId="0" borderId="81" xfId="10" applyNumberFormat="1" applyFont="1" applyFill="1" applyBorder="1" applyAlignment="1"/>
    <xf numFmtId="188" fontId="18" fillId="0" borderId="130" xfId="10" applyNumberFormat="1" applyFont="1" applyFill="1" applyBorder="1" applyAlignment="1"/>
    <xf numFmtId="0" fontId="5" fillId="0" borderId="0" xfId="10" applyFont="1" applyAlignment="1">
      <alignment horizontal="center"/>
    </xf>
    <xf numFmtId="188" fontId="5" fillId="0" borderId="0" xfId="10" applyNumberFormat="1" applyFont="1" applyAlignment="1"/>
    <xf numFmtId="0" fontId="5" fillId="0" borderId="0" xfId="10" applyFont="1" applyAlignment="1"/>
    <xf numFmtId="0" fontId="18" fillId="11" borderId="0" xfId="10" applyFont="1" applyFill="1"/>
    <xf numFmtId="188" fontId="5" fillId="0" borderId="124" xfId="10" applyNumberFormat="1" applyFont="1" applyBorder="1" applyAlignment="1">
      <alignment horizontal="center"/>
    </xf>
    <xf numFmtId="188" fontId="5" fillId="0" borderId="40" xfId="10" applyNumberFormat="1" applyFont="1" applyBorder="1" applyAlignment="1">
      <alignment horizontal="center"/>
    </xf>
    <xf numFmtId="0" fontId="5" fillId="0" borderId="40" xfId="10" applyNumberFormat="1" applyFont="1" applyBorder="1" applyAlignment="1">
      <alignment horizontal="center"/>
    </xf>
    <xf numFmtId="188" fontId="5" fillId="0" borderId="40" xfId="10" applyNumberFormat="1" applyFont="1" applyFill="1" applyBorder="1" applyAlignment="1">
      <alignment horizontal="center"/>
    </xf>
    <xf numFmtId="0" fontId="5" fillId="0" borderId="40" xfId="10" applyNumberFormat="1" applyFont="1" applyFill="1" applyBorder="1" applyAlignment="1">
      <alignment horizontal="center"/>
    </xf>
    <xf numFmtId="0" fontId="5" fillId="0" borderId="131" xfId="10" applyFont="1" applyBorder="1" applyAlignment="1">
      <alignment vertical="top" wrapText="1" shrinkToFit="1"/>
    </xf>
    <xf numFmtId="0" fontId="0" fillId="0" borderId="62" xfId="0" applyBorder="1" applyAlignment="1">
      <alignment vertical="top" wrapText="1" shrinkToFit="1"/>
    </xf>
    <xf numFmtId="0" fontId="5" fillId="0" borderId="132" xfId="10" applyFont="1" applyFill="1" applyBorder="1" applyAlignment="1">
      <alignment vertical="top" wrapText="1" shrinkToFit="1"/>
    </xf>
    <xf numFmtId="0" fontId="32" fillId="2" borderId="21" xfId="2" applyFont="1" applyFill="1" applyBorder="1" applyAlignment="1" applyProtection="1">
      <alignment horizontal="left" vertical="center" indent="1"/>
      <protection locked="0"/>
    </xf>
    <xf numFmtId="0" fontId="33" fillId="2" borderId="22" xfId="2" applyFont="1" applyFill="1" applyBorder="1" applyAlignment="1" applyProtection="1">
      <alignment horizontal="left" vertical="center" indent="1"/>
      <protection locked="0"/>
    </xf>
    <xf numFmtId="0" fontId="33" fillId="2" borderId="22" xfId="2" applyFont="1" applyFill="1" applyBorder="1" applyAlignment="1" applyProtection="1">
      <alignment horizontal="left" vertical="center" indent="1"/>
      <protection locked="0"/>
    </xf>
    <xf numFmtId="0" fontId="33" fillId="2" borderId="22" xfId="2" applyFont="1" applyFill="1" applyBorder="1" applyAlignment="1" applyProtection="1">
      <alignment horizontal="right" vertical="center" indent="1"/>
      <protection locked="0"/>
    </xf>
    <xf numFmtId="0" fontId="33" fillId="2" borderId="23" xfId="2" applyFont="1" applyFill="1" applyBorder="1" applyAlignment="1" applyProtection="1">
      <alignment horizontal="left" vertical="center" indent="1"/>
      <protection locked="0"/>
    </xf>
    <xf numFmtId="0" fontId="33" fillId="0" borderId="133" xfId="2" applyFont="1" applyFill="1" applyBorder="1" applyAlignment="1" applyProtection="1">
      <alignment horizontal="left" vertical="center" indent="1"/>
      <protection locked="0"/>
    </xf>
    <xf numFmtId="0" fontId="33" fillId="0" borderId="134" xfId="2" applyFont="1" applyFill="1" applyBorder="1" applyAlignment="1" applyProtection="1">
      <alignment horizontal="left" vertical="center" indent="1"/>
      <protection locked="0"/>
    </xf>
    <xf numFmtId="0" fontId="33" fillId="0" borderId="0" xfId="2" applyFont="1" applyFill="1" applyBorder="1" applyAlignment="1" applyProtection="1">
      <alignment horizontal="left" vertical="center" indent="1"/>
      <protection locked="0"/>
    </xf>
    <xf numFmtId="0" fontId="33" fillId="0" borderId="0" xfId="2" applyNumberFormat="1" applyFont="1" applyFill="1" applyBorder="1" applyAlignment="1" applyProtection="1">
      <alignment horizontal="left" vertical="center" indent="1"/>
      <protection locked="0"/>
    </xf>
    <xf numFmtId="176" fontId="18" fillId="0" borderId="0" xfId="2" applyNumberFormat="1" applyFont="1" applyFill="1" applyAlignment="1" applyProtection="1">
      <alignment horizontal="left" vertical="center" indent="1"/>
      <protection locked="0"/>
    </xf>
    <xf numFmtId="0" fontId="33" fillId="0" borderId="0" xfId="2" applyFont="1" applyFill="1" applyAlignment="1" applyProtection="1">
      <alignment horizontal="left" vertical="center" indent="1"/>
      <protection locked="0"/>
    </xf>
    <xf numFmtId="0" fontId="33" fillId="0" borderId="0" xfId="2" applyFont="1" applyAlignment="1" applyProtection="1">
      <alignment horizontal="left" vertical="center" indent="1"/>
      <protection locked="0"/>
    </xf>
    <xf numFmtId="0" fontId="5" fillId="0" borderId="0" xfId="2" applyFont="1" applyFill="1" applyBorder="1" applyProtection="1">
      <protection locked="0"/>
    </xf>
    <xf numFmtId="0" fontId="5" fillId="0" borderId="0" xfId="2" applyFont="1" applyFill="1" applyProtection="1">
      <protection locked="0"/>
    </xf>
    <xf numFmtId="0" fontId="5" fillId="0" borderId="34" xfId="2" applyFont="1" applyFill="1" applyBorder="1" applyProtection="1">
      <protection locked="0"/>
    </xf>
    <xf numFmtId="0" fontId="5" fillId="0" borderId="134" xfId="2" applyFont="1" applyFill="1" applyBorder="1" applyProtection="1">
      <protection locked="0"/>
    </xf>
    <xf numFmtId="0" fontId="5" fillId="0" borderId="0" xfId="2" applyFont="1" applyFill="1" applyAlignment="1" applyProtection="1">
      <alignment vertical="center"/>
      <protection locked="0"/>
    </xf>
    <xf numFmtId="0" fontId="5" fillId="0" borderId="0" xfId="2" applyFont="1" applyFill="1" applyBorder="1" applyAlignment="1" applyProtection="1">
      <alignment vertical="center"/>
      <protection locked="0"/>
    </xf>
    <xf numFmtId="0" fontId="5" fillId="0" borderId="0" xfId="2" applyFont="1" applyProtection="1">
      <protection locked="0"/>
    </xf>
    <xf numFmtId="0" fontId="5" fillId="12" borderId="135" xfId="2" applyFont="1" applyFill="1" applyBorder="1" applyAlignment="1" applyProtection="1">
      <alignment horizontal="center" vertical="center"/>
    </xf>
    <xf numFmtId="0" fontId="5" fillId="12" borderId="136" xfId="2" applyNumberFormat="1" applyFont="1" applyFill="1" applyBorder="1" applyAlignment="1" applyProtection="1">
      <alignment horizontal="center" vertical="center" shrinkToFit="1"/>
    </xf>
    <xf numFmtId="0" fontId="5" fillId="12" borderId="137" xfId="2" applyFont="1" applyFill="1" applyBorder="1" applyAlignment="1" applyProtection="1">
      <alignment horizontal="center" vertical="center"/>
    </xf>
    <xf numFmtId="189" fontId="5" fillId="12" borderId="34" xfId="2" applyNumberFormat="1" applyFont="1" applyFill="1" applyBorder="1" applyAlignment="1" applyProtection="1">
      <alignment horizontal="left" vertical="center" indent="1" shrinkToFit="1"/>
    </xf>
    <xf numFmtId="189" fontId="5" fillId="12" borderId="138" xfId="2" applyNumberFormat="1" applyFont="1" applyFill="1" applyBorder="1" applyAlignment="1" applyProtection="1">
      <alignment horizontal="left" vertical="center" indent="1" shrinkToFit="1"/>
    </xf>
    <xf numFmtId="0" fontId="5" fillId="12" borderId="139" xfId="2" applyFont="1" applyFill="1" applyBorder="1" applyAlignment="1" applyProtection="1">
      <alignment horizontal="center" vertical="center" wrapText="1"/>
    </xf>
    <xf numFmtId="0" fontId="5" fillId="12" borderId="138" xfId="2" applyFont="1" applyFill="1" applyBorder="1" applyAlignment="1" applyProtection="1">
      <alignment horizontal="center" vertical="center" wrapText="1"/>
    </xf>
    <xf numFmtId="0" fontId="5" fillId="12" borderId="140" xfId="2" applyFont="1" applyFill="1" applyBorder="1" applyAlignment="1" applyProtection="1">
      <alignment horizontal="center" vertical="center"/>
    </xf>
    <xf numFmtId="0" fontId="5" fillId="12" borderId="141" xfId="2" applyFont="1" applyFill="1" applyBorder="1" applyAlignment="1" applyProtection="1">
      <alignment horizontal="center" vertical="center"/>
    </xf>
    <xf numFmtId="0" fontId="5" fillId="12" borderId="142" xfId="2" applyFont="1" applyFill="1" applyBorder="1" applyAlignment="1" applyProtection="1">
      <alignment horizontal="center" vertical="center"/>
    </xf>
    <xf numFmtId="0" fontId="5" fillId="12" borderId="143" xfId="2" applyFont="1" applyFill="1" applyBorder="1" applyAlignment="1" applyProtection="1">
      <alignment horizontal="center" vertical="center"/>
    </xf>
    <xf numFmtId="0" fontId="5" fillId="12" borderId="84" xfId="2" applyFont="1" applyFill="1" applyBorder="1" applyAlignment="1" applyProtection="1">
      <alignment horizontal="center" vertical="center"/>
    </xf>
    <xf numFmtId="0" fontId="5" fillId="12" borderId="85" xfId="2" applyFont="1" applyFill="1" applyBorder="1" applyAlignment="1" applyProtection="1">
      <alignment horizontal="center" vertical="center"/>
    </xf>
    <xf numFmtId="0" fontId="5" fillId="0" borderId="0" xfId="2" applyFont="1" applyFill="1" applyBorder="1" applyAlignment="1" applyProtection="1">
      <alignment horizontal="center"/>
    </xf>
    <xf numFmtId="189" fontId="5" fillId="12" borderId="34" xfId="2" applyNumberFormat="1" applyFont="1" applyFill="1" applyBorder="1" applyAlignment="1" applyProtection="1">
      <alignment vertical="center" shrinkToFit="1"/>
    </xf>
    <xf numFmtId="189" fontId="5" fillId="12" borderId="138" xfId="2" applyNumberFormat="1" applyFont="1" applyFill="1" applyBorder="1" applyAlignment="1" applyProtection="1">
      <alignment vertical="center" shrinkToFit="1"/>
    </xf>
    <xf numFmtId="0" fontId="5" fillId="0" borderId="0" xfId="2" applyFont="1" applyFill="1" applyBorder="1" applyAlignment="1" applyProtection="1">
      <alignment vertical="center"/>
    </xf>
    <xf numFmtId="177" fontId="18" fillId="7" borderId="21" xfId="2" applyNumberFormat="1" applyFont="1" applyFill="1" applyBorder="1" applyAlignment="1" applyProtection="1">
      <alignment horizontal="center" vertical="center"/>
    </xf>
    <xf numFmtId="177" fontId="18" fillId="7" borderId="22" xfId="2" applyNumberFormat="1" applyFont="1" applyFill="1" applyBorder="1" applyAlignment="1" applyProtection="1">
      <alignment horizontal="center" vertical="center"/>
    </xf>
    <xf numFmtId="177" fontId="18" fillId="7" borderId="23" xfId="2" applyNumberFormat="1" applyFont="1" applyFill="1" applyBorder="1" applyAlignment="1" applyProtection="1">
      <alignment horizontal="center" vertical="center"/>
    </xf>
    <xf numFmtId="177" fontId="5" fillId="0" borderId="0" xfId="2" applyNumberFormat="1" applyFont="1" applyFill="1" applyBorder="1" applyAlignment="1" applyProtection="1">
      <alignment vertical="center"/>
    </xf>
    <xf numFmtId="0" fontId="5" fillId="0" borderId="0" xfId="2" applyFont="1" applyFill="1" applyBorder="1" applyAlignment="1" applyProtection="1">
      <alignment horizontal="center" shrinkToFit="1"/>
      <protection locked="0"/>
    </xf>
    <xf numFmtId="0" fontId="5" fillId="0" borderId="0" xfId="2" applyFont="1" applyFill="1" applyAlignment="1" applyProtection="1">
      <alignment horizontal="left"/>
      <protection locked="0"/>
    </xf>
    <xf numFmtId="0" fontId="5" fillId="0" borderId="0" xfId="11" applyFont="1" applyFill="1" applyBorder="1" applyAlignment="1">
      <alignment horizontal="left"/>
    </xf>
    <xf numFmtId="0" fontId="5" fillId="12" borderId="144" xfId="2" applyFont="1" applyFill="1" applyBorder="1" applyAlignment="1" applyProtection="1">
      <alignment horizontal="center" vertical="center"/>
    </xf>
    <xf numFmtId="0" fontId="5" fillId="12" borderId="145" xfId="2" applyNumberFormat="1" applyFont="1" applyFill="1" applyBorder="1" applyAlignment="1" applyProtection="1">
      <alignment horizontal="center" vertical="center" shrinkToFit="1"/>
    </xf>
    <xf numFmtId="0" fontId="5" fillId="12" borderId="146" xfId="2" applyFont="1" applyFill="1" applyBorder="1" applyAlignment="1" applyProtection="1">
      <alignment horizontal="center" vertical="center"/>
    </xf>
    <xf numFmtId="189" fontId="5" fillId="12" borderId="20" xfId="2" applyNumberFormat="1" applyFont="1" applyFill="1" applyBorder="1" applyAlignment="1" applyProtection="1">
      <alignment horizontal="left" vertical="center" indent="1" shrinkToFit="1"/>
    </xf>
    <xf numFmtId="189" fontId="5" fillId="12" borderId="147" xfId="2" applyNumberFormat="1" applyFont="1" applyFill="1" applyBorder="1" applyAlignment="1" applyProtection="1">
      <alignment horizontal="left" vertical="center" indent="1" shrinkToFit="1"/>
    </xf>
    <xf numFmtId="0" fontId="5" fillId="12" borderId="148" xfId="2" applyFont="1" applyFill="1" applyBorder="1" applyAlignment="1" applyProtection="1">
      <alignment horizontal="center" vertical="center" wrapText="1"/>
    </xf>
    <xf numFmtId="0" fontId="5" fillId="12" borderId="149" xfId="2" applyFont="1" applyFill="1" applyBorder="1" applyAlignment="1" applyProtection="1">
      <alignment horizontal="center" vertical="center" wrapText="1"/>
    </xf>
    <xf numFmtId="0" fontId="5" fillId="12" borderId="150" xfId="2" applyFont="1" applyFill="1" applyBorder="1" applyAlignment="1" applyProtection="1">
      <alignment horizontal="center" vertical="center"/>
    </xf>
    <xf numFmtId="0" fontId="5" fillId="12" borderId="151" xfId="2" applyFont="1" applyFill="1" applyBorder="1" applyAlignment="1" applyProtection="1">
      <alignment horizontal="center" vertical="center"/>
    </xf>
    <xf numFmtId="0" fontId="5" fillId="12" borderId="152" xfId="2" applyFont="1" applyFill="1" applyBorder="1" applyAlignment="1" applyProtection="1">
      <alignment horizontal="center" vertical="center"/>
    </xf>
    <xf numFmtId="0" fontId="5" fillId="12" borderId="153" xfId="2" applyFont="1" applyFill="1" applyBorder="1" applyAlignment="1" applyProtection="1">
      <alignment horizontal="center" vertical="center"/>
    </xf>
    <xf numFmtId="0" fontId="5" fillId="12" borderId="154" xfId="2" applyFont="1" applyFill="1" applyBorder="1" applyAlignment="1" applyProtection="1">
      <alignment horizontal="center" vertical="center"/>
    </xf>
    <xf numFmtId="0" fontId="5" fillId="12" borderId="155" xfId="2" applyFont="1" applyFill="1" applyBorder="1" applyAlignment="1" applyProtection="1">
      <alignment horizontal="center" vertical="center"/>
    </xf>
    <xf numFmtId="0" fontId="5" fillId="12" borderId="156" xfId="2" applyFont="1" applyFill="1" applyBorder="1" applyAlignment="1" applyProtection="1">
      <alignment horizontal="center" vertical="center"/>
    </xf>
    <xf numFmtId="189" fontId="5" fillId="12" borderId="157" xfId="2" applyNumberFormat="1" applyFont="1" applyFill="1" applyBorder="1" applyAlignment="1" applyProtection="1">
      <alignment horizontal="center" vertical="center" shrinkToFit="1"/>
    </xf>
    <xf numFmtId="189" fontId="5" fillId="12" borderId="0" xfId="2" applyNumberFormat="1" applyFont="1" applyFill="1" applyBorder="1" applyAlignment="1" applyProtection="1">
      <alignment horizontal="center" vertical="center" shrinkToFit="1"/>
    </xf>
    <xf numFmtId="189" fontId="5" fillId="12" borderId="38" xfId="2" applyNumberFormat="1" applyFont="1" applyFill="1" applyBorder="1" applyAlignment="1" applyProtection="1">
      <alignment horizontal="center" vertical="center" shrinkToFit="1"/>
    </xf>
    <xf numFmtId="189" fontId="5" fillId="12" borderId="20" xfId="2" applyNumberFormat="1" applyFont="1" applyFill="1" applyBorder="1" applyAlignment="1" applyProtection="1">
      <alignment vertical="center" shrinkToFit="1"/>
    </xf>
    <xf numFmtId="189" fontId="5" fillId="12" borderId="147" xfId="2" applyNumberFormat="1" applyFont="1" applyFill="1" applyBorder="1" applyAlignment="1" applyProtection="1">
      <alignment vertical="center" shrinkToFit="1"/>
    </xf>
    <xf numFmtId="177" fontId="18" fillId="0" borderId="0" xfId="2" applyNumberFormat="1" applyFont="1" applyFill="1" applyBorder="1" applyAlignment="1" applyProtection="1">
      <alignment horizontal="center" vertical="center"/>
    </xf>
    <xf numFmtId="0" fontId="5" fillId="0" borderId="0" xfId="2" applyFont="1" applyFill="1" applyBorder="1" applyAlignment="1" applyProtection="1">
      <alignment horizontal="left"/>
      <protection locked="0"/>
    </xf>
    <xf numFmtId="0" fontId="5" fillId="12" borderId="159" xfId="2" applyFont="1" applyFill="1" applyBorder="1" applyAlignment="1" applyProtection="1">
      <alignment horizontal="center" vertical="center"/>
    </xf>
    <xf numFmtId="0" fontId="5" fillId="12" borderId="160" xfId="2" applyNumberFormat="1" applyFont="1" applyFill="1" applyBorder="1" applyAlignment="1" applyProtection="1">
      <alignment horizontal="center" vertical="center"/>
    </xf>
    <xf numFmtId="0" fontId="5" fillId="12" borderId="161" xfId="2" applyFont="1" applyFill="1" applyBorder="1" applyAlignment="1" applyProtection="1">
      <alignment horizontal="center" vertical="center"/>
    </xf>
    <xf numFmtId="190" fontId="5" fillId="12" borderId="160" xfId="2" applyNumberFormat="1" applyFont="1" applyFill="1" applyBorder="1" applyAlignment="1" applyProtection="1">
      <alignment vertical="center"/>
    </xf>
    <xf numFmtId="0" fontId="5" fillId="12" borderId="162" xfId="2" applyFont="1" applyFill="1" applyBorder="1" applyAlignment="1" applyProtection="1">
      <alignment horizontal="center" vertical="center"/>
    </xf>
    <xf numFmtId="191" fontId="5" fillId="12" borderId="160" xfId="2" applyNumberFormat="1" applyFont="1" applyFill="1" applyBorder="1" applyAlignment="1" applyProtection="1">
      <alignment vertical="center"/>
      <protection locked="0"/>
    </xf>
    <xf numFmtId="0" fontId="5" fillId="12" borderId="163" xfId="2" applyFont="1" applyFill="1" applyBorder="1" applyAlignment="1" applyProtection="1">
      <alignment horizontal="center" vertical="center" shrinkToFit="1"/>
    </xf>
    <xf numFmtId="0" fontId="5" fillId="12" borderId="164" xfId="2" applyFont="1" applyFill="1" applyBorder="1" applyAlignment="1" applyProtection="1">
      <alignment horizontal="center" vertical="center" shrinkToFit="1"/>
    </xf>
    <xf numFmtId="192" fontId="5" fillId="12" borderId="165" xfId="2" applyNumberFormat="1" applyFont="1" applyFill="1" applyBorder="1" applyAlignment="1" applyProtection="1">
      <alignment vertical="center"/>
      <protection locked="0"/>
    </xf>
    <xf numFmtId="192" fontId="5" fillId="12" borderId="160" xfId="2" applyNumberFormat="1" applyFont="1" applyFill="1" applyBorder="1" applyAlignment="1" applyProtection="1">
      <alignment vertical="center"/>
      <protection locked="0"/>
    </xf>
    <xf numFmtId="193" fontId="5" fillId="12" borderId="166" xfId="2" applyNumberFormat="1" applyFont="1" applyFill="1" applyBorder="1" applyAlignment="1" applyProtection="1">
      <alignment vertical="center" shrinkToFit="1"/>
      <protection locked="0"/>
    </xf>
    <xf numFmtId="193" fontId="5" fillId="12" borderId="160" xfId="2" applyNumberFormat="1" applyFont="1" applyFill="1" applyBorder="1" applyAlignment="1" applyProtection="1">
      <alignment vertical="center" shrinkToFit="1"/>
      <protection locked="0"/>
    </xf>
    <xf numFmtId="194" fontId="5" fillId="12" borderId="167" xfId="2" applyNumberFormat="1" applyFont="1" applyFill="1" applyBorder="1" applyAlignment="1" applyProtection="1">
      <alignment horizontal="center" vertical="center" shrinkToFit="1"/>
      <protection locked="0"/>
    </xf>
    <xf numFmtId="195" fontId="5" fillId="12" borderId="167" xfId="2" applyNumberFormat="1" applyFont="1" applyFill="1" applyBorder="1" applyAlignment="1" applyProtection="1">
      <alignment horizontal="center" vertical="center" shrinkToFit="1"/>
      <protection locked="0"/>
    </xf>
    <xf numFmtId="196" fontId="5" fillId="12" borderId="45" xfId="2" applyNumberFormat="1" applyFont="1" applyFill="1" applyBorder="1" applyAlignment="1" applyProtection="1">
      <alignment horizontal="center" vertical="center" shrinkToFit="1"/>
      <protection locked="0"/>
    </xf>
    <xf numFmtId="197" fontId="5" fillId="12" borderId="160" xfId="2" applyNumberFormat="1" applyFont="1" applyFill="1" applyBorder="1" applyAlignment="1" applyProtection="1">
      <alignment horizontal="center" vertical="center" shrinkToFit="1"/>
      <protection locked="0"/>
    </xf>
    <xf numFmtId="189" fontId="5" fillId="12" borderId="166" xfId="2" applyNumberFormat="1" applyFont="1" applyFill="1" applyBorder="1" applyAlignment="1" applyProtection="1">
      <alignment horizontal="center" vertical="center" shrinkToFit="1"/>
    </xf>
    <xf numFmtId="189" fontId="5" fillId="12" borderId="56" xfId="2" applyNumberFormat="1" applyFont="1" applyFill="1" applyBorder="1" applyAlignment="1" applyProtection="1">
      <alignment horizontal="center" vertical="center" shrinkToFit="1"/>
    </xf>
    <xf numFmtId="189" fontId="5" fillId="12" borderId="57" xfId="2" applyNumberFormat="1" applyFont="1" applyFill="1" applyBorder="1" applyAlignment="1" applyProtection="1">
      <alignment horizontal="center" vertical="center" shrinkToFit="1"/>
    </xf>
    <xf numFmtId="198" fontId="5" fillId="0" borderId="0" xfId="2" applyNumberFormat="1" applyFont="1" applyFill="1" applyBorder="1" applyAlignment="1" applyProtection="1">
      <alignment horizontal="center" shrinkToFit="1"/>
      <protection locked="0"/>
    </xf>
    <xf numFmtId="0" fontId="5" fillId="0" borderId="0" xfId="2" applyFont="1" applyFill="1" applyBorder="1" applyAlignment="1" applyProtection="1">
      <alignment vertical="center" shrinkToFit="1"/>
      <protection locked="0"/>
    </xf>
    <xf numFmtId="0" fontId="5" fillId="0" borderId="0" xfId="2" applyFont="1" applyFill="1" applyBorder="1" applyAlignment="1" applyProtection="1">
      <alignment vertical="center" shrinkToFit="1"/>
    </xf>
    <xf numFmtId="199" fontId="5" fillId="0" borderId="0" xfId="2" applyNumberFormat="1" applyFont="1" applyFill="1" applyBorder="1" applyAlignment="1" applyProtection="1">
      <alignment vertical="center"/>
    </xf>
    <xf numFmtId="177" fontId="5" fillId="0" borderId="134" xfId="2" applyNumberFormat="1" applyFont="1" applyFill="1" applyBorder="1" applyAlignment="1" applyProtection="1">
      <alignment horizontal="center"/>
    </xf>
    <xf numFmtId="0" fontId="5" fillId="0" borderId="0" xfId="2" applyFont="1" applyFill="1" applyBorder="1" applyAlignment="1" applyProtection="1">
      <alignment horizontal="left" indent="1"/>
    </xf>
    <xf numFmtId="0" fontId="5" fillId="0" borderId="0" xfId="2" applyFont="1" applyFill="1" applyBorder="1" applyProtection="1"/>
    <xf numFmtId="0" fontId="5" fillId="0" borderId="168" xfId="2" applyFont="1" applyFill="1" applyBorder="1" applyAlignment="1" applyProtection="1">
      <alignment horizontal="right" shrinkToFit="1"/>
    </xf>
    <xf numFmtId="200" fontId="5" fillId="0" borderId="168" xfId="2" applyNumberFormat="1" applyFont="1" applyFill="1" applyBorder="1" applyAlignment="1" applyProtection="1">
      <alignment horizontal="left"/>
    </xf>
    <xf numFmtId="199" fontId="5" fillId="0" borderId="0" xfId="2" applyNumberFormat="1" applyFont="1" applyFill="1" applyBorder="1" applyAlignment="1" applyProtection="1">
      <alignment horizontal="left"/>
    </xf>
    <xf numFmtId="177" fontId="5" fillId="0" borderId="0" xfId="2" applyNumberFormat="1" applyFont="1" applyFill="1" applyBorder="1" applyProtection="1"/>
    <xf numFmtId="0" fontId="5" fillId="0" borderId="0" xfId="2" applyFont="1" applyFill="1" applyBorder="1" applyAlignment="1" applyProtection="1">
      <alignment horizontal="right"/>
    </xf>
    <xf numFmtId="200" fontId="5" fillId="0" borderId="0" xfId="2" applyNumberFormat="1" applyFont="1" applyFill="1" applyBorder="1" applyAlignment="1" applyProtection="1">
      <alignment horizontal="left"/>
    </xf>
    <xf numFmtId="3" fontId="5" fillId="0" borderId="0" xfId="12" applyNumberFormat="1" applyFont="1" applyFill="1" applyBorder="1" applyProtection="1"/>
    <xf numFmtId="177" fontId="5" fillId="0" borderId="0" xfId="2" applyNumberFormat="1" applyFont="1" applyFill="1" applyBorder="1" applyAlignment="1" applyProtection="1">
      <alignment horizontal="right"/>
    </xf>
    <xf numFmtId="201" fontId="5" fillId="0" borderId="0" xfId="12" applyNumberFormat="1" applyFont="1" applyFill="1" applyBorder="1" applyAlignment="1" applyProtection="1">
      <alignment horizontal="left"/>
    </xf>
    <xf numFmtId="199" fontId="5" fillId="0" borderId="0" xfId="2" applyNumberFormat="1" applyFont="1" applyFill="1" applyBorder="1" applyAlignment="1" applyProtection="1">
      <alignment horizontal="left"/>
    </xf>
    <xf numFmtId="199" fontId="5" fillId="0" borderId="0" xfId="2" applyNumberFormat="1" applyFont="1" applyFill="1" applyBorder="1" applyAlignment="1" applyProtection="1">
      <alignment horizontal="right"/>
    </xf>
    <xf numFmtId="0" fontId="5" fillId="0" borderId="169" xfId="2" applyFont="1" applyFill="1" applyBorder="1" applyAlignment="1" applyProtection="1">
      <alignment horizontal="right"/>
    </xf>
    <xf numFmtId="0" fontId="13" fillId="5" borderId="21" xfId="4" applyFont="1" applyFill="1" applyBorder="1" applyAlignment="1">
      <alignment horizontal="center" vertical="center"/>
    </xf>
    <xf numFmtId="0" fontId="5" fillId="0" borderId="134" xfId="2" applyFont="1" applyFill="1" applyBorder="1" applyAlignment="1" applyProtection="1">
      <alignment horizontal="right"/>
    </xf>
    <xf numFmtId="0" fontId="13" fillId="6" borderId="21" xfId="4" applyFont="1" applyFill="1" applyBorder="1" applyAlignment="1">
      <alignment horizontal="center" vertical="center"/>
    </xf>
    <xf numFmtId="202" fontId="5" fillId="0" borderId="0" xfId="2" applyNumberFormat="1" applyFont="1" applyFill="1" applyBorder="1" applyAlignment="1" applyProtection="1">
      <alignment vertical="center"/>
    </xf>
    <xf numFmtId="199" fontId="5" fillId="0" borderId="0" xfId="2" applyNumberFormat="1" applyFont="1" applyFill="1" applyBorder="1" applyAlignment="1" applyProtection="1">
      <alignment vertical="center"/>
    </xf>
    <xf numFmtId="203" fontId="5" fillId="0" borderId="0" xfId="2" applyNumberFormat="1" applyFont="1" applyFill="1" applyBorder="1" applyAlignment="1" applyProtection="1">
      <alignment horizontal="left" vertical="center"/>
    </xf>
    <xf numFmtId="202" fontId="5" fillId="0" borderId="0" xfId="2" applyNumberFormat="1" applyFont="1" applyFill="1" applyBorder="1" applyAlignment="1" applyProtection="1">
      <alignment vertical="center"/>
      <protection locked="0"/>
    </xf>
    <xf numFmtId="202" fontId="5" fillId="0" borderId="134" xfId="2" applyNumberFormat="1" applyFont="1" applyFill="1" applyBorder="1" applyAlignment="1" applyProtection="1"/>
    <xf numFmtId="0" fontId="14" fillId="3" borderId="170" xfId="2" applyFont="1" applyFill="1" applyBorder="1" applyAlignment="1" applyProtection="1">
      <alignment horizontal="left" vertical="center" wrapText="1" indent="1"/>
      <protection locked="0"/>
    </xf>
    <xf numFmtId="0" fontId="14" fillId="3" borderId="171" xfId="2" applyFont="1" applyFill="1" applyBorder="1" applyAlignment="1" applyProtection="1">
      <alignment horizontal="left" vertical="center" wrapText="1" indent="1"/>
      <protection locked="0"/>
    </xf>
    <xf numFmtId="0" fontId="14" fillId="3" borderId="172" xfId="2" applyFont="1" applyFill="1" applyBorder="1" applyAlignment="1" applyProtection="1">
      <alignment horizontal="left" vertical="center" wrapText="1" indent="1"/>
      <protection locked="0"/>
    </xf>
    <xf numFmtId="177" fontId="5" fillId="3" borderId="173" xfId="2" applyNumberFormat="1" applyFont="1" applyFill="1" applyBorder="1" applyAlignment="1" applyProtection="1">
      <alignment horizontal="center" vertical="center"/>
    </xf>
    <xf numFmtId="177" fontId="5" fillId="3" borderId="174" xfId="2" applyNumberFormat="1" applyFont="1" applyFill="1" applyBorder="1" applyAlignment="1" applyProtection="1">
      <alignment horizontal="center" vertical="center"/>
    </xf>
    <xf numFmtId="177" fontId="5" fillId="3" borderId="175" xfId="2" applyNumberFormat="1" applyFont="1" applyFill="1" applyBorder="1" applyAlignment="1" applyProtection="1">
      <alignment horizontal="center" vertical="center"/>
    </xf>
    <xf numFmtId="177" fontId="5" fillId="3" borderId="173" xfId="2" applyNumberFormat="1" applyFont="1" applyFill="1" applyBorder="1" applyAlignment="1" applyProtection="1">
      <alignment horizontal="centerContinuous" vertical="center"/>
    </xf>
    <xf numFmtId="177" fontId="5" fillId="3" borderId="174" xfId="2" applyNumberFormat="1" applyFont="1" applyFill="1" applyBorder="1" applyAlignment="1" applyProtection="1">
      <alignment horizontal="centerContinuous" vertical="center"/>
    </xf>
    <xf numFmtId="177" fontId="5" fillId="3" borderId="176" xfId="2" applyNumberFormat="1" applyFont="1" applyFill="1" applyBorder="1" applyAlignment="1" applyProtection="1">
      <alignment horizontal="center" vertical="center"/>
    </xf>
    <xf numFmtId="177" fontId="5" fillId="3" borderId="171" xfId="2" applyNumberFormat="1" applyFont="1" applyFill="1" applyBorder="1" applyAlignment="1" applyProtection="1">
      <alignment horizontal="center" vertical="center"/>
    </xf>
    <xf numFmtId="177" fontId="5" fillId="3" borderId="177" xfId="2" applyNumberFormat="1" applyFont="1" applyFill="1" applyBorder="1" applyAlignment="1" applyProtection="1">
      <alignment horizontal="center" vertical="center"/>
    </xf>
    <xf numFmtId="204" fontId="5" fillId="0" borderId="0" xfId="2" applyNumberFormat="1" applyFont="1" applyFill="1" applyBorder="1" applyAlignment="1" applyProtection="1">
      <alignment horizontal="right" shrinkToFit="1"/>
    </xf>
    <xf numFmtId="0" fontId="5" fillId="0" borderId="0" xfId="2" applyNumberFormat="1" applyFont="1" applyFill="1" applyBorder="1" applyAlignment="1" applyProtection="1">
      <alignment vertical="center"/>
    </xf>
    <xf numFmtId="0" fontId="10" fillId="0" borderId="0" xfId="3" applyNumberFormat="1" applyAlignment="1">
      <alignment vertical="center"/>
    </xf>
    <xf numFmtId="0" fontId="10" fillId="0" borderId="0" xfId="3" applyNumberFormat="1" applyFill="1" applyAlignment="1">
      <alignment vertical="center"/>
    </xf>
    <xf numFmtId="3" fontId="5" fillId="0" borderId="133" xfId="12" applyNumberFormat="1" applyFont="1" applyFill="1" applyBorder="1" applyAlignment="1" applyProtection="1">
      <alignment horizontal="center" vertical="center" shrinkToFit="1"/>
    </xf>
    <xf numFmtId="2" fontId="5" fillId="0" borderId="0" xfId="2" applyNumberFormat="1" applyFont="1" applyFill="1" applyBorder="1" applyAlignment="1" applyProtection="1">
      <protection locked="0"/>
    </xf>
    <xf numFmtId="0" fontId="14" fillId="3" borderId="97" xfId="2" applyFont="1" applyFill="1" applyBorder="1" applyAlignment="1" applyProtection="1">
      <alignment horizontal="left" vertical="center" wrapText="1" indent="1"/>
      <protection locked="0"/>
    </xf>
    <xf numFmtId="0" fontId="14" fillId="3" borderId="56" xfId="2" applyFont="1" applyFill="1" applyBorder="1" applyAlignment="1" applyProtection="1">
      <alignment horizontal="left" vertical="center" wrapText="1" indent="1"/>
      <protection locked="0"/>
    </xf>
    <xf numFmtId="0" fontId="14" fillId="3" borderId="178" xfId="2" applyFont="1" applyFill="1" applyBorder="1" applyAlignment="1" applyProtection="1">
      <alignment horizontal="left" vertical="center" wrapText="1" indent="1"/>
      <protection locked="0"/>
    </xf>
    <xf numFmtId="183" fontId="5" fillId="13" borderId="179" xfId="2" applyNumberFormat="1" applyFont="1" applyFill="1" applyBorder="1" applyAlignment="1" applyProtection="1">
      <alignment horizontal="centerContinuous"/>
      <protection locked="0"/>
    </xf>
    <xf numFmtId="183" fontId="5" fillId="13" borderId="0" xfId="2" applyNumberFormat="1" applyFont="1" applyFill="1" applyBorder="1" applyAlignment="1" applyProtection="1">
      <alignment horizontal="centerContinuous"/>
    </xf>
    <xf numFmtId="183" fontId="5" fillId="13" borderId="180" xfId="2" applyNumberFormat="1" applyFont="1" applyFill="1" applyBorder="1" applyAlignment="1" applyProtection="1">
      <alignment horizontal="centerContinuous"/>
      <protection locked="0"/>
    </xf>
    <xf numFmtId="183" fontId="5" fillId="13" borderId="38" xfId="2" applyNumberFormat="1" applyFont="1" applyFill="1" applyBorder="1" applyAlignment="1" applyProtection="1">
      <alignment horizontal="centerContinuous"/>
    </xf>
    <xf numFmtId="183" fontId="5" fillId="14" borderId="179" xfId="2" applyNumberFormat="1" applyFont="1" applyFill="1" applyBorder="1" applyAlignment="1" applyProtection="1">
      <alignment horizontal="centerContinuous"/>
      <protection locked="0"/>
    </xf>
    <xf numFmtId="183" fontId="5" fillId="14" borderId="0" xfId="2" applyNumberFormat="1" applyFont="1" applyFill="1" applyBorder="1" applyAlignment="1" applyProtection="1">
      <alignment horizontal="centerContinuous"/>
    </xf>
    <xf numFmtId="183" fontId="5" fillId="14" borderId="180" xfId="2" applyNumberFormat="1" applyFont="1" applyFill="1" applyBorder="1" applyAlignment="1" applyProtection="1">
      <alignment horizontal="centerContinuous"/>
      <protection locked="0"/>
    </xf>
    <xf numFmtId="183" fontId="5" fillId="14" borderId="38" xfId="2" applyNumberFormat="1" applyFont="1" applyFill="1" applyBorder="1" applyAlignment="1" applyProtection="1">
      <alignment horizontal="centerContinuous"/>
    </xf>
    <xf numFmtId="183" fontId="5" fillId="15" borderId="179" xfId="2" applyNumberFormat="1" applyFont="1" applyFill="1" applyBorder="1" applyAlignment="1" applyProtection="1">
      <alignment horizontal="centerContinuous"/>
      <protection locked="0"/>
    </xf>
    <xf numFmtId="183" fontId="5" fillId="15" borderId="0" xfId="2" applyNumberFormat="1" applyFont="1" applyFill="1" applyBorder="1" applyAlignment="1" applyProtection="1">
      <alignment horizontal="centerContinuous"/>
    </xf>
    <xf numFmtId="183" fontId="5" fillId="15" borderId="180" xfId="2" applyNumberFormat="1" applyFont="1" applyFill="1" applyBorder="1" applyAlignment="1" applyProtection="1">
      <alignment horizontal="centerContinuous"/>
      <protection locked="0"/>
    </xf>
    <xf numFmtId="183" fontId="5" fillId="15" borderId="38" xfId="2" applyNumberFormat="1" applyFont="1" applyFill="1" applyBorder="1" applyAlignment="1" applyProtection="1">
      <alignment horizontal="centerContinuous"/>
    </xf>
    <xf numFmtId="202" fontId="5" fillId="16" borderId="181" xfId="2" applyNumberFormat="1" applyFont="1" applyFill="1" applyBorder="1" applyAlignment="1" applyProtection="1">
      <alignment horizontal="centerContinuous" vertical="center"/>
      <protection locked="0"/>
    </xf>
    <xf numFmtId="202" fontId="5" fillId="16" borderId="182" xfId="2" applyNumberFormat="1" applyFont="1" applyFill="1" applyBorder="1" applyAlignment="1" applyProtection="1">
      <alignment horizontal="centerContinuous" vertical="center"/>
      <protection locked="0"/>
    </xf>
    <xf numFmtId="202" fontId="5" fillId="16" borderId="183" xfId="2" applyNumberFormat="1" applyFont="1" applyFill="1" applyBorder="1" applyAlignment="1" applyProtection="1">
      <alignment horizontal="centerContinuous" vertical="center"/>
      <protection locked="0"/>
    </xf>
    <xf numFmtId="202" fontId="5" fillId="17" borderId="184" xfId="2" applyNumberFormat="1" applyFont="1" applyFill="1" applyBorder="1" applyAlignment="1" applyProtection="1">
      <alignment horizontal="centerContinuous" vertical="center"/>
      <protection locked="0"/>
    </xf>
    <xf numFmtId="202" fontId="5" fillId="17" borderId="182" xfId="2" applyNumberFormat="1" applyFont="1" applyFill="1" applyBorder="1" applyAlignment="1" applyProtection="1">
      <alignment horizontal="centerContinuous" vertical="center"/>
      <protection locked="0"/>
    </xf>
    <xf numFmtId="177" fontId="5" fillId="3" borderId="179" xfId="2" applyNumberFormat="1" applyFont="1" applyFill="1" applyBorder="1" applyAlignment="1" applyProtection="1">
      <alignment horizontal="center" vertical="center"/>
    </xf>
    <xf numFmtId="177" fontId="5" fillId="3" borderId="0" xfId="2" applyNumberFormat="1" applyFont="1" applyFill="1" applyBorder="1" applyAlignment="1" applyProtection="1">
      <alignment horizontal="center" vertical="center"/>
    </xf>
    <xf numFmtId="177" fontId="5" fillId="3" borderId="38" xfId="2" applyNumberFormat="1" applyFont="1" applyFill="1" applyBorder="1" applyAlignment="1" applyProtection="1">
      <alignment horizontal="center" vertical="center"/>
    </xf>
    <xf numFmtId="202" fontId="18" fillId="0" borderId="0" xfId="2" applyNumberFormat="1" applyFont="1" applyFill="1" applyBorder="1" applyAlignment="1" applyProtection="1">
      <alignment vertical="center"/>
    </xf>
    <xf numFmtId="204" fontId="5" fillId="0" borderId="0" xfId="2" applyNumberFormat="1" applyFont="1" applyFill="1" applyBorder="1" applyAlignment="1" applyProtection="1">
      <alignment vertical="center"/>
    </xf>
    <xf numFmtId="193" fontId="5" fillId="0" borderId="0" xfId="12" applyNumberFormat="1" applyFont="1" applyFill="1" applyBorder="1" applyAlignment="1" applyProtection="1">
      <alignment vertical="center"/>
    </xf>
    <xf numFmtId="0" fontId="5" fillId="0" borderId="0" xfId="2" applyFont="1" applyAlignment="1" applyProtection="1">
      <alignment horizontal="center"/>
      <protection locked="0"/>
    </xf>
    <xf numFmtId="0" fontId="5" fillId="18" borderId="96" xfId="2" applyFont="1" applyFill="1" applyBorder="1" applyAlignment="1" applyProtection="1">
      <alignment horizontal="center" vertical="center" textRotation="255" shrinkToFit="1"/>
    </xf>
    <xf numFmtId="0" fontId="5" fillId="3" borderId="101" xfId="2" applyFont="1" applyFill="1" applyBorder="1" applyAlignment="1" applyProtection="1">
      <alignment horizontal="center" vertical="center" shrinkToFit="1"/>
    </xf>
    <xf numFmtId="0" fontId="5" fillId="3" borderId="102" xfId="2" applyFont="1" applyFill="1" applyBorder="1" applyAlignment="1" applyProtection="1">
      <alignment horizontal="center" vertical="center" shrinkToFit="1"/>
    </xf>
    <xf numFmtId="0" fontId="5" fillId="3" borderId="185" xfId="2" applyFont="1" applyFill="1" applyBorder="1" applyAlignment="1" applyProtection="1">
      <alignment horizontal="center" vertical="center" shrinkToFit="1"/>
    </xf>
    <xf numFmtId="0" fontId="5" fillId="3" borderId="61" xfId="2" applyFont="1" applyFill="1" applyBorder="1" applyAlignment="1" applyProtection="1">
      <alignment horizontal="center" vertical="center" shrinkToFit="1"/>
    </xf>
    <xf numFmtId="177" fontId="5" fillId="3" borderId="186" xfId="2" applyNumberFormat="1" applyFont="1" applyFill="1" applyBorder="1" applyAlignment="1" applyProtection="1">
      <alignment horizontal="center" vertical="center" wrapText="1" shrinkToFit="1"/>
    </xf>
    <xf numFmtId="3" fontId="5" fillId="3" borderId="61" xfId="12" applyNumberFormat="1" applyFont="1" applyFill="1" applyBorder="1" applyAlignment="1" applyProtection="1">
      <alignment horizontal="center" vertical="center" shrinkToFit="1"/>
    </xf>
    <xf numFmtId="177" fontId="5" fillId="3" borderId="187" xfId="2" applyNumberFormat="1" applyFont="1" applyFill="1" applyBorder="1" applyAlignment="1" applyProtection="1">
      <alignment horizontal="center" vertical="center" wrapText="1" shrinkToFit="1"/>
    </xf>
    <xf numFmtId="3" fontId="5" fillId="3" borderId="31" xfId="12" applyNumberFormat="1" applyFont="1" applyFill="1" applyBorder="1" applyAlignment="1" applyProtection="1">
      <alignment horizontal="center" vertical="center" shrinkToFit="1"/>
    </xf>
    <xf numFmtId="3" fontId="5" fillId="0" borderId="134" xfId="12" applyNumberFormat="1" applyFont="1" applyFill="1" applyBorder="1" applyAlignment="1" applyProtection="1">
      <alignment horizontal="center" vertical="center" shrinkToFit="1"/>
    </xf>
    <xf numFmtId="0" fontId="5" fillId="18" borderId="58" xfId="2" applyFont="1" applyFill="1" applyBorder="1" applyAlignment="1" applyProtection="1">
      <alignment horizontal="center" vertical="center" textRotation="255" shrinkToFit="1"/>
    </xf>
    <xf numFmtId="183" fontId="5" fillId="3" borderId="186" xfId="2" applyNumberFormat="1" applyFont="1" applyFill="1" applyBorder="1" applyAlignment="1" applyProtection="1">
      <alignment horizontal="center" vertical="center" wrapText="1" shrinkToFit="1"/>
    </xf>
    <xf numFmtId="177" fontId="5" fillId="3" borderId="102" xfId="2" applyNumberFormat="1" applyFont="1" applyFill="1" applyBorder="1" applyAlignment="1" applyProtection="1">
      <alignment horizontal="center" vertical="center" shrinkToFit="1"/>
    </xf>
    <xf numFmtId="183" fontId="5" fillId="3" borderId="187" xfId="2" applyNumberFormat="1" applyFont="1" applyFill="1" applyBorder="1" applyAlignment="1" applyProtection="1">
      <alignment horizontal="center" vertical="center" wrapText="1" shrinkToFit="1"/>
    </xf>
    <xf numFmtId="177" fontId="5" fillId="3" borderId="56" xfId="2" applyNumberFormat="1" applyFont="1" applyFill="1" applyBorder="1" applyAlignment="1" applyProtection="1">
      <alignment horizontal="center" vertical="center"/>
    </xf>
    <xf numFmtId="177" fontId="5" fillId="3" borderId="57" xfId="2" applyNumberFormat="1" applyFont="1" applyFill="1" applyBorder="1" applyAlignment="1" applyProtection="1">
      <alignment horizontal="center" vertical="center"/>
    </xf>
    <xf numFmtId="3" fontId="5" fillId="0" borderId="0" xfId="12" applyNumberFormat="1" applyFont="1" applyFill="1" applyBorder="1" applyAlignment="1" applyProtection="1">
      <alignment horizontal="center" vertical="center" wrapText="1"/>
    </xf>
    <xf numFmtId="205" fontId="5" fillId="0" borderId="0" xfId="12" applyNumberFormat="1" applyFont="1" applyFill="1" applyBorder="1" applyAlignment="1" applyProtection="1">
      <alignment vertical="center"/>
    </xf>
    <xf numFmtId="204" fontId="5" fillId="0" borderId="0" xfId="2" applyNumberFormat="1" applyFont="1" applyFill="1" applyBorder="1" applyAlignment="1" applyProtection="1">
      <alignment horizontal="center" vertical="center" shrinkToFit="1"/>
    </xf>
    <xf numFmtId="205" fontId="5" fillId="0" borderId="0" xfId="2" applyNumberFormat="1" applyFont="1" applyFill="1" applyBorder="1" applyAlignment="1" applyProtection="1">
      <alignment vertical="center"/>
      <protection locked="0"/>
    </xf>
    <xf numFmtId="0" fontId="5" fillId="18" borderId="36" xfId="2" applyFont="1" applyFill="1" applyBorder="1" applyAlignment="1" applyProtection="1">
      <alignment horizontal="center" vertical="center" textRotation="255" shrinkToFit="1"/>
    </xf>
    <xf numFmtId="0" fontId="5" fillId="0" borderId="188" xfId="2" applyNumberFormat="1" applyFont="1" applyFill="1" applyBorder="1" applyAlignment="1" applyProtection="1">
      <alignment horizontal="center"/>
    </xf>
    <xf numFmtId="0" fontId="5" fillId="0" borderId="189" xfId="2" applyNumberFormat="1" applyFont="1" applyFill="1" applyBorder="1" applyAlignment="1" applyProtection="1">
      <alignment horizontal="center"/>
    </xf>
    <xf numFmtId="206" fontId="5" fillId="0" borderId="190" xfId="2" applyNumberFormat="1" applyFont="1" applyFill="1" applyBorder="1" applyProtection="1"/>
    <xf numFmtId="204" fontId="5" fillId="0" borderId="191" xfId="2" applyNumberFormat="1" applyFont="1" applyFill="1" applyBorder="1" applyAlignment="1" applyProtection="1">
      <alignment horizontal="right" shrinkToFit="1"/>
    </xf>
    <xf numFmtId="193" fontId="5" fillId="0" borderId="149" xfId="12" applyNumberFormat="1" applyFont="1" applyFill="1" applyBorder="1" applyAlignment="1" applyProtection="1">
      <alignment horizontal="right" shrinkToFit="1"/>
    </xf>
    <xf numFmtId="204" fontId="5" fillId="0" borderId="128" xfId="2" applyNumberFormat="1" applyFont="1" applyFill="1" applyBorder="1" applyAlignment="1" applyProtection="1">
      <alignment horizontal="right" shrinkToFit="1"/>
    </xf>
    <xf numFmtId="193" fontId="5" fillId="0" borderId="189" xfId="12" applyNumberFormat="1" applyFont="1" applyFill="1" applyBorder="1" applyAlignment="1" applyProtection="1">
      <alignment horizontal="right" shrinkToFit="1"/>
    </xf>
    <xf numFmtId="204" fontId="5" fillId="0" borderId="192" xfId="2" applyNumberFormat="1" applyFont="1" applyFill="1" applyBorder="1" applyAlignment="1" applyProtection="1">
      <alignment horizontal="right" shrinkToFit="1"/>
    </xf>
    <xf numFmtId="193" fontId="5" fillId="0" borderId="193" xfId="12" applyNumberFormat="1" applyFont="1" applyFill="1" applyBorder="1" applyAlignment="1" applyProtection="1">
      <alignment horizontal="right" shrinkToFit="1"/>
    </xf>
    <xf numFmtId="193" fontId="5" fillId="0" borderId="133" xfId="12" applyNumberFormat="1" applyFont="1" applyFill="1" applyBorder="1" applyAlignment="1" applyProtection="1">
      <alignment horizontal="right" shrinkToFit="1"/>
    </xf>
    <xf numFmtId="193" fontId="5" fillId="0" borderId="134" xfId="12" applyNumberFormat="1" applyFont="1" applyFill="1" applyBorder="1" applyAlignment="1" applyProtection="1">
      <alignment horizontal="right" shrinkToFit="1"/>
    </xf>
    <xf numFmtId="0" fontId="5" fillId="18" borderId="28" xfId="2" applyFont="1" applyFill="1" applyBorder="1" applyAlignment="1" applyProtection="1">
      <alignment horizontal="center" vertical="center" textRotation="255" shrinkToFit="1"/>
    </xf>
    <xf numFmtId="183" fontId="5" fillId="0" borderId="191" xfId="2" applyNumberFormat="1" applyFont="1" applyFill="1" applyBorder="1" applyAlignment="1" applyProtection="1">
      <alignment horizontal="right" shrinkToFit="1"/>
    </xf>
    <xf numFmtId="183" fontId="5" fillId="0" borderId="128" xfId="2" applyNumberFormat="1" applyFont="1" applyFill="1" applyBorder="1" applyAlignment="1" applyProtection="1">
      <alignment horizontal="right" shrinkToFit="1"/>
    </xf>
    <xf numFmtId="193" fontId="5" fillId="0" borderId="194" xfId="12" applyNumberFormat="1" applyFont="1" applyFill="1" applyBorder="1" applyAlignment="1" applyProtection="1">
      <alignment horizontal="right" shrinkToFit="1"/>
    </xf>
    <xf numFmtId="202" fontId="5" fillId="13" borderId="195" xfId="2" applyNumberFormat="1" applyFont="1" applyFill="1" applyBorder="1" applyAlignment="1" applyProtection="1">
      <alignment horizontal="center" vertical="center" wrapText="1"/>
      <protection locked="0"/>
    </xf>
    <xf numFmtId="202" fontId="5" fillId="13" borderId="196" xfId="2" applyNumberFormat="1" applyFont="1" applyFill="1" applyBorder="1" applyAlignment="1" applyProtection="1">
      <alignment horizontal="center" vertical="center" wrapText="1"/>
      <protection locked="0"/>
    </xf>
    <xf numFmtId="202" fontId="5" fillId="14" borderId="197" xfId="2" applyNumberFormat="1" applyFont="1" applyFill="1" applyBorder="1" applyAlignment="1" applyProtection="1">
      <alignment horizontal="center" vertical="center" wrapText="1"/>
      <protection locked="0"/>
    </xf>
    <xf numFmtId="202" fontId="5" fillId="14" borderId="196" xfId="2" applyNumberFormat="1" applyFont="1" applyFill="1" applyBorder="1" applyAlignment="1" applyProtection="1">
      <alignment horizontal="center" vertical="center" wrapText="1"/>
      <protection locked="0"/>
    </xf>
    <xf numFmtId="202" fontId="5" fillId="15" borderId="197" xfId="2" applyNumberFormat="1" applyFont="1" applyFill="1" applyBorder="1" applyAlignment="1" applyProtection="1">
      <alignment horizontal="center" vertical="center" wrapText="1"/>
      <protection locked="0"/>
    </xf>
    <xf numFmtId="202" fontId="5" fillId="15" borderId="196" xfId="2" applyNumberFormat="1" applyFont="1" applyFill="1" applyBorder="1" applyAlignment="1" applyProtection="1">
      <alignment horizontal="center" vertical="center" wrapText="1"/>
      <protection locked="0"/>
    </xf>
    <xf numFmtId="202" fontId="18" fillId="19" borderId="197" xfId="2" applyNumberFormat="1" applyFont="1" applyFill="1" applyBorder="1" applyAlignment="1" applyProtection="1">
      <alignment horizontal="center" vertical="center" wrapText="1"/>
      <protection locked="0"/>
    </xf>
    <xf numFmtId="202" fontId="18" fillId="19" borderId="196" xfId="2" applyNumberFormat="1" applyFont="1" applyFill="1" applyBorder="1" applyAlignment="1" applyProtection="1">
      <alignment horizontal="center" vertical="center" wrapText="1"/>
      <protection locked="0"/>
    </xf>
    <xf numFmtId="202" fontId="18" fillId="19" borderId="198" xfId="2" applyNumberFormat="1" applyFont="1" applyFill="1" applyBorder="1" applyAlignment="1" applyProtection="1">
      <alignment horizontal="center" vertical="center" wrapText="1"/>
      <protection locked="0"/>
    </xf>
    <xf numFmtId="202" fontId="18" fillId="19" borderId="125" xfId="2" applyNumberFormat="1" applyFont="1" applyFill="1" applyBorder="1" applyAlignment="1" applyProtection="1">
      <alignment horizontal="center" vertical="center" wrapText="1"/>
      <protection locked="0"/>
    </xf>
    <xf numFmtId="0" fontId="5" fillId="0" borderId="0" xfId="12" applyNumberFormat="1" applyFont="1" applyFill="1" applyBorder="1" applyAlignment="1" applyProtection="1">
      <alignment vertical="center"/>
    </xf>
    <xf numFmtId="0" fontId="5" fillId="0" borderId="0" xfId="2" applyNumberFormat="1" applyFont="1" applyFill="1" applyBorder="1" applyAlignment="1" applyProtection="1">
      <alignment vertical="center"/>
      <protection locked="0"/>
    </xf>
    <xf numFmtId="3" fontId="5" fillId="0" borderId="0" xfId="12" applyNumberFormat="1" applyFont="1" applyFill="1" applyBorder="1" applyAlignment="1" applyProtection="1">
      <alignment vertical="center"/>
    </xf>
    <xf numFmtId="0" fontId="5" fillId="0" borderId="199" xfId="2" applyNumberFormat="1" applyFont="1" applyFill="1" applyBorder="1" applyAlignment="1" applyProtection="1">
      <alignment horizontal="center"/>
    </xf>
    <xf numFmtId="0" fontId="5" fillId="0" borderId="79" xfId="2" applyNumberFormat="1" applyFont="1" applyFill="1" applyBorder="1" applyAlignment="1" applyProtection="1">
      <alignment horizontal="center"/>
    </xf>
    <xf numFmtId="206" fontId="5" fillId="0" borderId="200" xfId="2" applyNumberFormat="1" applyFont="1" applyFill="1" applyBorder="1" applyProtection="1"/>
    <xf numFmtId="204" fontId="5" fillId="0" borderId="201" xfId="2" applyNumberFormat="1" applyFont="1" applyFill="1" applyBorder="1" applyAlignment="1" applyProtection="1">
      <alignment horizontal="right" shrinkToFit="1"/>
    </xf>
    <xf numFmtId="193" fontId="5" fillId="0" borderId="202" xfId="12" applyNumberFormat="1" applyFont="1" applyFill="1" applyBorder="1" applyAlignment="1" applyProtection="1">
      <alignment horizontal="right" shrinkToFit="1"/>
    </xf>
    <xf numFmtId="204" fontId="5" fillId="0" borderId="68" xfId="2" applyNumberFormat="1" applyFont="1" applyFill="1" applyBorder="1" applyAlignment="1" applyProtection="1">
      <alignment horizontal="right" shrinkToFit="1"/>
    </xf>
    <xf numFmtId="193" fontId="5" fillId="0" borderId="79" xfId="12" applyNumberFormat="1" applyFont="1" applyFill="1" applyBorder="1" applyAlignment="1" applyProtection="1">
      <alignment horizontal="right" shrinkToFit="1"/>
    </xf>
    <xf numFmtId="204" fontId="5" fillId="0" borderId="203" xfId="2" applyNumberFormat="1" applyFont="1" applyFill="1" applyBorder="1" applyAlignment="1" applyProtection="1">
      <alignment horizontal="right" shrinkToFit="1"/>
    </xf>
    <xf numFmtId="193" fontId="5" fillId="0" borderId="204" xfId="12" applyNumberFormat="1" applyFont="1" applyFill="1" applyBorder="1" applyAlignment="1" applyProtection="1">
      <alignment horizontal="right" shrinkToFit="1"/>
    </xf>
    <xf numFmtId="183" fontId="5" fillId="0" borderId="201" xfId="2" applyNumberFormat="1" applyFont="1" applyFill="1" applyBorder="1" applyAlignment="1" applyProtection="1">
      <alignment horizontal="right" shrinkToFit="1"/>
    </xf>
    <xf numFmtId="183" fontId="5" fillId="0" borderId="68" xfId="2" applyNumberFormat="1" applyFont="1" applyFill="1" applyBorder="1" applyAlignment="1" applyProtection="1">
      <alignment horizontal="right" shrinkToFit="1"/>
    </xf>
    <xf numFmtId="193" fontId="5" fillId="0" borderId="205" xfId="12" applyNumberFormat="1" applyFont="1" applyFill="1" applyBorder="1" applyAlignment="1" applyProtection="1">
      <alignment horizontal="right" shrinkToFit="1"/>
    </xf>
    <xf numFmtId="202" fontId="5" fillId="13" borderId="179" xfId="2" applyNumberFormat="1" applyFont="1" applyFill="1" applyBorder="1" applyAlignment="1" applyProtection="1">
      <alignment horizontal="center" vertical="center" wrapText="1"/>
      <protection locked="0"/>
    </xf>
    <xf numFmtId="202" fontId="5" fillId="13" borderId="206" xfId="2" applyNumberFormat="1" applyFont="1" applyFill="1" applyBorder="1" applyAlignment="1" applyProtection="1">
      <alignment horizontal="center" vertical="center" wrapText="1"/>
      <protection locked="0"/>
    </xf>
    <xf numFmtId="202" fontId="5" fillId="14" borderId="207" xfId="2" applyNumberFormat="1" applyFont="1" applyFill="1" applyBorder="1" applyAlignment="1" applyProtection="1">
      <alignment horizontal="center" vertical="center" wrapText="1"/>
      <protection locked="0"/>
    </xf>
    <xf numFmtId="202" fontId="5" fillId="14" borderId="206" xfId="2" applyNumberFormat="1" applyFont="1" applyFill="1" applyBorder="1" applyAlignment="1" applyProtection="1">
      <alignment horizontal="center" vertical="center" wrapText="1"/>
      <protection locked="0"/>
    </xf>
    <xf numFmtId="202" fontId="5" fillId="15" borderId="207" xfId="2" applyNumberFormat="1" applyFont="1" applyFill="1" applyBorder="1" applyAlignment="1" applyProtection="1">
      <alignment horizontal="center" vertical="center" wrapText="1"/>
      <protection locked="0"/>
    </xf>
    <xf numFmtId="202" fontId="5" fillId="15" borderId="206" xfId="2" applyNumberFormat="1" applyFont="1" applyFill="1" applyBorder="1" applyAlignment="1" applyProtection="1">
      <alignment horizontal="center" vertical="center" wrapText="1"/>
      <protection locked="0"/>
    </xf>
    <xf numFmtId="202" fontId="18" fillId="19" borderId="207" xfId="2" applyNumberFormat="1" applyFont="1" applyFill="1" applyBorder="1" applyAlignment="1" applyProtection="1">
      <alignment horizontal="center" vertical="center" wrapText="1"/>
      <protection locked="0"/>
    </xf>
    <xf numFmtId="202" fontId="18" fillId="19" borderId="206" xfId="2" applyNumberFormat="1" applyFont="1" applyFill="1" applyBorder="1" applyAlignment="1" applyProtection="1">
      <alignment horizontal="center" vertical="center" wrapText="1"/>
      <protection locked="0"/>
    </xf>
    <xf numFmtId="202" fontId="18" fillId="19" borderId="38" xfId="2" applyNumberFormat="1" applyFont="1" applyFill="1" applyBorder="1" applyAlignment="1" applyProtection="1">
      <alignment horizontal="center" vertical="center" wrapText="1"/>
      <protection locked="0"/>
    </xf>
    <xf numFmtId="193" fontId="5" fillId="0" borderId="0" xfId="12" applyNumberFormat="1" applyFont="1" applyFill="1" applyBorder="1" applyAlignment="1" applyProtection="1">
      <alignment vertical="center" shrinkToFit="1"/>
    </xf>
    <xf numFmtId="177" fontId="5" fillId="3" borderId="14" xfId="2" applyNumberFormat="1" applyFont="1" applyFill="1" applyBorder="1" applyAlignment="1" applyProtection="1">
      <alignment horizontal="center" vertical="center"/>
    </xf>
    <xf numFmtId="177" fontId="5" fillId="3" borderId="15" xfId="2" applyNumberFormat="1" applyFont="1" applyFill="1" applyBorder="1" applyAlignment="1" applyProtection="1">
      <alignment horizontal="center" vertical="center"/>
    </xf>
    <xf numFmtId="0" fontId="5" fillId="3" borderId="208" xfId="2" applyFont="1" applyFill="1" applyBorder="1" applyAlignment="1" applyProtection="1">
      <alignment horizontal="center" vertical="center"/>
    </xf>
    <xf numFmtId="0" fontId="5" fillId="3" borderId="6" xfId="2" applyFont="1" applyFill="1" applyBorder="1" applyAlignment="1" applyProtection="1">
      <alignment horizontal="center" vertical="center"/>
    </xf>
    <xf numFmtId="177" fontId="5" fillId="3" borderId="6" xfId="2" applyNumberFormat="1" applyFont="1" applyFill="1" applyBorder="1" applyAlignment="1" applyProtection="1">
      <alignment horizontal="center" vertical="center"/>
    </xf>
    <xf numFmtId="177" fontId="5" fillId="3" borderId="7" xfId="2" applyNumberFormat="1" applyFont="1" applyFill="1" applyBorder="1" applyAlignment="1" applyProtection="1">
      <alignment horizontal="center" vertical="center"/>
    </xf>
    <xf numFmtId="3" fontId="5" fillId="0" borderId="0" xfId="12" applyNumberFormat="1" applyFont="1" applyFill="1" applyBorder="1" applyAlignment="1" applyProtection="1">
      <alignment horizontal="center" vertical="center"/>
    </xf>
    <xf numFmtId="0" fontId="5" fillId="3" borderId="209" xfId="2" applyFont="1" applyFill="1" applyBorder="1" applyAlignment="1" applyProtection="1">
      <alignment horizontal="center" vertical="center"/>
    </xf>
    <xf numFmtId="0" fontId="5" fillId="3" borderId="210" xfId="2" applyFont="1" applyFill="1" applyBorder="1" applyAlignment="1" applyProtection="1">
      <alignment horizontal="center" vertical="center"/>
    </xf>
    <xf numFmtId="3" fontId="5" fillId="3" borderId="6" xfId="12" applyNumberFormat="1" applyFont="1" applyFill="1" applyBorder="1" applyAlignment="1" applyProtection="1">
      <alignment horizontal="center" vertical="center"/>
    </xf>
    <xf numFmtId="177" fontId="5" fillId="3" borderId="211" xfId="2" applyNumberFormat="1" applyFont="1" applyFill="1" applyBorder="1" applyAlignment="1" applyProtection="1">
      <alignment horizontal="center" vertical="center"/>
    </xf>
    <xf numFmtId="177" fontId="5" fillId="3" borderId="35" xfId="2" applyNumberFormat="1" applyFont="1" applyFill="1" applyBorder="1" applyAlignment="1" applyProtection="1">
      <alignment horizontal="center" vertical="center"/>
    </xf>
    <xf numFmtId="207" fontId="5" fillId="0" borderId="0" xfId="2" applyNumberFormat="1" applyFont="1" applyFill="1" applyBorder="1" applyAlignment="1" applyProtection="1">
      <alignment vertical="center"/>
      <protection locked="0"/>
    </xf>
    <xf numFmtId="0" fontId="5" fillId="0" borderId="212" xfId="2" applyNumberFormat="1" applyFont="1" applyFill="1" applyBorder="1" applyAlignment="1" applyProtection="1">
      <alignment horizontal="center"/>
    </xf>
    <xf numFmtId="0" fontId="5" fillId="0" borderId="213" xfId="2" applyNumberFormat="1" applyFont="1" applyFill="1" applyBorder="1" applyAlignment="1" applyProtection="1">
      <alignment horizontal="center"/>
    </xf>
    <xf numFmtId="206" fontId="5" fillId="0" borderId="214" xfId="2" applyNumberFormat="1" applyFont="1" applyFill="1" applyBorder="1" applyProtection="1"/>
    <xf numFmtId="204" fontId="5" fillId="0" borderId="215" xfId="2" applyNumberFormat="1" applyFont="1" applyFill="1" applyBorder="1" applyAlignment="1" applyProtection="1">
      <alignment horizontal="right" shrinkToFit="1"/>
    </xf>
    <xf numFmtId="193" fontId="5" fillId="0" borderId="216" xfId="12" applyNumberFormat="1" applyFont="1" applyFill="1" applyBorder="1" applyAlignment="1" applyProtection="1">
      <alignment horizontal="right" shrinkToFit="1"/>
    </xf>
    <xf numFmtId="204" fontId="5" fillId="0" borderId="217" xfId="2" applyNumberFormat="1" applyFont="1" applyFill="1" applyBorder="1" applyAlignment="1" applyProtection="1">
      <alignment horizontal="right" shrinkToFit="1"/>
    </xf>
    <xf numFmtId="193" fontId="5" fillId="0" borderId="213" xfId="12" applyNumberFormat="1" applyFont="1" applyFill="1" applyBorder="1" applyAlignment="1" applyProtection="1">
      <alignment horizontal="right" shrinkToFit="1"/>
    </xf>
    <xf numFmtId="204" fontId="5" fillId="0" borderId="218" xfId="2" applyNumberFormat="1" applyFont="1" applyFill="1" applyBorder="1" applyAlignment="1" applyProtection="1">
      <alignment horizontal="right" shrinkToFit="1"/>
    </xf>
    <xf numFmtId="193" fontId="5" fillId="0" borderId="219" xfId="12" applyNumberFormat="1" applyFont="1" applyFill="1" applyBorder="1" applyAlignment="1" applyProtection="1">
      <alignment horizontal="right" shrinkToFit="1"/>
    </xf>
    <xf numFmtId="183" fontId="5" fillId="0" borderId="215" xfId="2" applyNumberFormat="1" applyFont="1" applyFill="1" applyBorder="1" applyAlignment="1" applyProtection="1">
      <alignment horizontal="right" shrinkToFit="1"/>
    </xf>
    <xf numFmtId="183" fontId="5" fillId="0" borderId="217" xfId="2" applyNumberFormat="1" applyFont="1" applyFill="1" applyBorder="1" applyAlignment="1" applyProtection="1">
      <alignment horizontal="right" shrinkToFit="1"/>
    </xf>
    <xf numFmtId="193" fontId="5" fillId="0" borderId="220" xfId="12" applyNumberFormat="1" applyFont="1" applyFill="1" applyBorder="1" applyAlignment="1" applyProtection="1">
      <alignment horizontal="right" shrinkToFit="1"/>
    </xf>
    <xf numFmtId="0" fontId="5" fillId="0" borderId="11" xfId="2" applyNumberFormat="1" applyFont="1" applyFill="1" applyBorder="1" applyAlignment="1" applyProtection="1">
      <alignment horizontal="center" vertical="center"/>
    </xf>
    <xf numFmtId="0" fontId="5" fillId="0" borderId="12" xfId="2" applyNumberFormat="1" applyFont="1" applyFill="1" applyBorder="1" applyAlignment="1" applyProtection="1">
      <alignment horizontal="center" vertical="center"/>
    </xf>
    <xf numFmtId="0" fontId="5" fillId="0" borderId="221" xfId="2" applyNumberFormat="1" applyFont="1" applyFill="1" applyBorder="1" applyAlignment="1" applyProtection="1">
      <alignment horizontal="center" vertical="center" shrinkToFit="1"/>
      <protection locked="0"/>
    </xf>
    <xf numFmtId="208" fontId="5" fillId="0" borderId="12" xfId="2" applyNumberFormat="1" applyFont="1" applyFill="1" applyBorder="1" applyAlignment="1" applyProtection="1">
      <alignment vertical="center"/>
      <protection locked="0"/>
    </xf>
    <xf numFmtId="2" fontId="5" fillId="0" borderId="12" xfId="12" applyNumberFormat="1" applyFont="1" applyFill="1" applyBorder="1" applyAlignment="1" applyProtection="1">
      <alignment vertical="center"/>
    </xf>
    <xf numFmtId="208" fontId="5" fillId="0" borderId="12" xfId="2" applyNumberFormat="1" applyFont="1" applyFill="1" applyBorder="1" applyAlignment="1" applyProtection="1">
      <alignment vertical="center"/>
    </xf>
    <xf numFmtId="208" fontId="5" fillId="0" borderId="13" xfId="2" applyNumberFormat="1" applyFont="1" applyFill="1" applyBorder="1" applyAlignment="1" applyProtection="1">
      <alignment vertical="center"/>
    </xf>
    <xf numFmtId="0" fontId="5" fillId="0" borderId="222" xfId="2" applyNumberFormat="1" applyFont="1" applyFill="1" applyBorder="1" applyAlignment="1" applyProtection="1">
      <alignment horizontal="center" vertical="center" shrinkToFit="1"/>
      <protection locked="0"/>
    </xf>
    <xf numFmtId="208" fontId="5" fillId="0" borderId="222" xfId="2" applyNumberFormat="1" applyFont="1" applyFill="1" applyBorder="1" applyAlignment="1" applyProtection="1">
      <alignment vertical="center"/>
      <protection locked="0"/>
    </xf>
    <xf numFmtId="208" fontId="5" fillId="0" borderId="221" xfId="2" applyNumberFormat="1" applyFont="1" applyFill="1" applyBorder="1" applyAlignment="1" applyProtection="1">
      <alignment vertical="center"/>
      <protection locked="0"/>
    </xf>
    <xf numFmtId="208" fontId="5" fillId="0" borderId="12" xfId="12" applyNumberFormat="1" applyFont="1" applyFill="1" applyBorder="1" applyAlignment="1" applyProtection="1">
      <alignment vertical="center"/>
    </xf>
    <xf numFmtId="208" fontId="5" fillId="0" borderId="12" xfId="2" applyNumberFormat="1" applyFont="1" applyFill="1" applyBorder="1" applyAlignment="1" applyProtection="1">
      <alignment vertical="center"/>
    </xf>
    <xf numFmtId="208" fontId="5" fillId="0" borderId="13" xfId="2" applyNumberFormat="1" applyFont="1" applyFill="1" applyBorder="1" applyAlignment="1" applyProtection="1">
      <alignment vertical="center"/>
    </xf>
    <xf numFmtId="0" fontId="5" fillId="18" borderId="223" xfId="2" applyFont="1" applyFill="1" applyBorder="1" applyAlignment="1" applyProtection="1">
      <alignment horizontal="center" vertical="center" textRotation="255" shrinkToFit="1"/>
    </xf>
    <xf numFmtId="0" fontId="5" fillId="0" borderId="224" xfId="2" applyFont="1" applyFill="1" applyBorder="1" applyProtection="1"/>
    <xf numFmtId="209" fontId="5" fillId="0" borderId="224" xfId="2" applyNumberFormat="1" applyFont="1" applyFill="1" applyBorder="1" applyProtection="1"/>
    <xf numFmtId="177" fontId="5" fillId="0" borderId="195" xfId="2" applyNumberFormat="1" applyFont="1" applyFill="1" applyBorder="1" applyAlignment="1" applyProtection="1">
      <alignment horizontal="right" shrinkToFit="1"/>
    </xf>
    <xf numFmtId="3" fontId="5" fillId="0" borderId="225" xfId="12" applyNumberFormat="1" applyFont="1" applyFill="1" applyBorder="1" applyAlignment="1" applyProtection="1">
      <alignment horizontal="right" shrinkToFit="1"/>
    </xf>
    <xf numFmtId="177" fontId="5" fillId="0" borderId="197" xfId="2" applyNumberFormat="1" applyFont="1" applyFill="1" applyBorder="1" applyAlignment="1" applyProtection="1">
      <alignment horizontal="right" shrinkToFit="1"/>
    </xf>
    <xf numFmtId="3" fontId="5" fillId="0" borderId="226" xfId="12" applyNumberFormat="1" applyFont="1" applyFill="1" applyBorder="1" applyAlignment="1" applyProtection="1">
      <alignment horizontal="right" shrinkToFit="1"/>
    </xf>
    <xf numFmtId="3" fontId="5" fillId="0" borderId="133" xfId="12" applyNumberFormat="1" applyFont="1" applyFill="1" applyBorder="1" applyAlignment="1" applyProtection="1">
      <alignment horizontal="right" shrinkToFit="1"/>
    </xf>
    <xf numFmtId="3" fontId="5" fillId="0" borderId="134" xfId="12" applyNumberFormat="1" applyFont="1" applyFill="1" applyBorder="1" applyAlignment="1" applyProtection="1">
      <alignment horizontal="right" shrinkToFit="1"/>
    </xf>
    <xf numFmtId="183" fontId="5" fillId="0" borderId="227" xfId="2" applyNumberFormat="1" applyFont="1" applyFill="1" applyBorder="1" applyAlignment="1" applyProtection="1">
      <alignment horizontal="right" shrinkToFit="1"/>
    </xf>
    <xf numFmtId="177" fontId="5" fillId="0" borderId="224" xfId="2" applyNumberFormat="1" applyFont="1" applyFill="1" applyBorder="1" applyAlignment="1" applyProtection="1">
      <alignment horizontal="right" shrinkToFit="1"/>
    </xf>
    <xf numFmtId="183" fontId="5" fillId="0" borderId="228" xfId="2" applyNumberFormat="1" applyFont="1" applyFill="1" applyBorder="1" applyAlignment="1" applyProtection="1">
      <alignment horizontal="right" shrinkToFit="1"/>
    </xf>
    <xf numFmtId="3" fontId="5" fillId="0" borderId="229" xfId="12" applyNumberFormat="1" applyFont="1" applyFill="1" applyBorder="1" applyAlignment="1" applyProtection="1">
      <alignment horizontal="right" shrinkToFit="1"/>
    </xf>
    <xf numFmtId="177" fontId="5" fillId="0" borderId="0" xfId="2" applyNumberFormat="1" applyFont="1" applyFill="1" applyBorder="1" applyAlignment="1" applyProtection="1">
      <alignment horizontal="right" shrinkToFit="1"/>
    </xf>
    <xf numFmtId="3" fontId="5" fillId="0" borderId="0" xfId="12" applyNumberFormat="1" applyFont="1" applyFill="1" applyBorder="1" applyAlignment="1" applyProtection="1">
      <alignment vertical="center" shrinkToFit="1"/>
    </xf>
    <xf numFmtId="2" fontId="5" fillId="0" borderId="12" xfId="2" applyNumberFormat="1" applyFont="1" applyFill="1" applyBorder="1" applyAlignment="1" applyProtection="1">
      <alignment vertical="center"/>
    </xf>
    <xf numFmtId="177" fontId="5" fillId="0" borderId="0" xfId="2" applyNumberFormat="1" applyFont="1" applyFill="1" applyBorder="1" applyAlignment="1" applyProtection="1">
      <alignment vertical="center" wrapText="1" shrinkToFit="1"/>
    </xf>
    <xf numFmtId="0" fontId="5" fillId="3" borderId="230" xfId="2" applyFont="1" applyFill="1" applyBorder="1" applyAlignment="1" applyProtection="1">
      <alignment horizontal="center" vertical="center" shrinkToFit="1"/>
      <protection locked="0"/>
    </xf>
    <xf numFmtId="0" fontId="5" fillId="3" borderId="231" xfId="2" applyFont="1" applyFill="1" applyBorder="1" applyAlignment="1" applyProtection="1">
      <alignment horizontal="center" vertical="center" shrinkToFit="1"/>
    </xf>
    <xf numFmtId="0" fontId="5" fillId="3" borderId="232" xfId="2" applyFont="1" applyFill="1" applyBorder="1" applyAlignment="1" applyProtection="1">
      <alignment horizontal="center" vertical="center" shrinkToFit="1"/>
    </xf>
    <xf numFmtId="210" fontId="5" fillId="3" borderId="233" xfId="2" applyNumberFormat="1" applyFont="1" applyFill="1" applyBorder="1" applyAlignment="1" applyProtection="1">
      <alignment horizontal="center" vertical="center" shrinkToFit="1"/>
      <protection locked="0"/>
    </xf>
    <xf numFmtId="177" fontId="5" fillId="3" borderId="234" xfId="2" applyNumberFormat="1" applyFont="1" applyFill="1" applyBorder="1" applyAlignment="1" applyProtection="1">
      <alignment horizontal="center" vertical="center" wrapText="1" shrinkToFit="1"/>
    </xf>
    <xf numFmtId="0" fontId="5" fillId="3" borderId="3" xfId="2" applyFont="1" applyFill="1" applyBorder="1" applyAlignment="1" applyProtection="1">
      <alignment horizontal="center" vertical="center" shrinkToFit="1"/>
    </xf>
    <xf numFmtId="177" fontId="5" fillId="3" borderId="235" xfId="2" applyNumberFormat="1" applyFont="1" applyFill="1" applyBorder="1" applyAlignment="1" applyProtection="1">
      <alignment horizontal="center" vertical="center" wrapText="1" shrinkToFit="1"/>
    </xf>
    <xf numFmtId="0" fontId="5" fillId="3" borderId="4" xfId="2" applyFont="1" applyFill="1" applyBorder="1" applyAlignment="1" applyProtection="1">
      <alignment horizontal="center" vertical="center" shrinkToFit="1"/>
    </xf>
    <xf numFmtId="0" fontId="5" fillId="0" borderId="133" xfId="2" applyFont="1" applyFill="1" applyBorder="1" applyAlignment="1" applyProtection="1">
      <alignment horizontal="center" vertical="center" shrinkToFit="1"/>
    </xf>
    <xf numFmtId="0" fontId="5" fillId="0" borderId="134" xfId="2" applyFont="1" applyFill="1" applyBorder="1" applyAlignment="1" applyProtection="1">
      <alignment horizontal="center" vertical="center" shrinkToFit="1"/>
    </xf>
    <xf numFmtId="183" fontId="5" fillId="3" borderId="234" xfId="2" applyNumberFormat="1" applyFont="1" applyFill="1" applyBorder="1" applyAlignment="1" applyProtection="1">
      <alignment horizontal="center" vertical="center" wrapText="1" shrinkToFit="1"/>
    </xf>
    <xf numFmtId="177" fontId="5" fillId="3" borderId="232" xfId="2" applyNumberFormat="1" applyFont="1" applyFill="1" applyBorder="1" applyAlignment="1" applyProtection="1">
      <alignment horizontal="center" vertical="center" shrinkToFit="1"/>
    </xf>
    <xf numFmtId="183" fontId="5" fillId="3" borderId="235" xfId="2" applyNumberFormat="1" applyFont="1" applyFill="1" applyBorder="1" applyAlignment="1" applyProtection="1">
      <alignment horizontal="center" vertical="center" wrapText="1" shrinkToFit="1"/>
    </xf>
    <xf numFmtId="0" fontId="5" fillId="3" borderId="236" xfId="2" applyFont="1" applyFill="1" applyBorder="1" applyAlignment="1" applyProtection="1">
      <alignment horizontal="center" vertical="center" shrinkToFit="1"/>
    </xf>
    <xf numFmtId="177" fontId="5" fillId="0" borderId="0" xfId="2" applyNumberFormat="1" applyFont="1" applyFill="1" applyBorder="1" applyAlignment="1" applyProtection="1">
      <alignment horizontal="center" vertical="center" wrapText="1" shrinkToFit="1"/>
    </xf>
    <xf numFmtId="0" fontId="5" fillId="0" borderId="0" xfId="2" applyFont="1" applyFill="1" applyBorder="1" applyAlignment="1" applyProtection="1">
      <alignment horizontal="center" vertical="center" wrapText="1"/>
    </xf>
    <xf numFmtId="193" fontId="5" fillId="0" borderId="0" xfId="12" applyNumberFormat="1" applyFont="1" applyFill="1" applyBorder="1" applyAlignment="1" applyProtection="1">
      <alignment horizontal="center" vertical="center"/>
    </xf>
    <xf numFmtId="0" fontId="5" fillId="0" borderId="237" xfId="2" applyNumberFormat="1" applyFont="1" applyFill="1" applyBorder="1" applyAlignment="1" applyProtection="1">
      <alignment horizontal="center"/>
    </xf>
    <xf numFmtId="211" fontId="5" fillId="0" borderId="189" xfId="2" applyNumberFormat="1" applyFont="1" applyFill="1" applyBorder="1" applyAlignment="1" applyProtection="1">
      <alignment horizontal="center"/>
      <protection locked="0"/>
    </xf>
    <xf numFmtId="0" fontId="5" fillId="0" borderId="237" xfId="2" applyNumberFormat="1" applyFont="1" applyFill="1" applyBorder="1" applyAlignment="1" applyProtection="1">
      <alignment horizontal="center"/>
      <protection locked="0"/>
    </xf>
    <xf numFmtId="207" fontId="5" fillId="0" borderId="191" xfId="2" applyNumberFormat="1" applyFont="1" applyFill="1" applyBorder="1" applyAlignment="1" applyProtection="1">
      <alignment horizontal="right" shrinkToFit="1"/>
      <protection locked="0"/>
    </xf>
    <xf numFmtId="207" fontId="5" fillId="0" borderId="238" xfId="2" applyNumberFormat="1" applyFont="1" applyFill="1" applyBorder="1" applyAlignment="1" applyProtection="1">
      <alignment horizontal="right" shrinkToFit="1"/>
      <protection locked="0"/>
    </xf>
    <xf numFmtId="193" fontId="5" fillId="0" borderId="129" xfId="12" applyNumberFormat="1" applyFont="1" applyFill="1" applyBorder="1" applyAlignment="1" applyProtection="1">
      <alignment horizontal="right" shrinkToFit="1"/>
    </xf>
    <xf numFmtId="183" fontId="5" fillId="0" borderId="191" xfId="2" applyNumberFormat="1" applyFont="1" applyFill="1" applyBorder="1" applyAlignment="1" applyProtection="1">
      <alignment horizontal="right" shrinkToFit="1"/>
      <protection locked="0"/>
    </xf>
    <xf numFmtId="207" fontId="5" fillId="0" borderId="128" xfId="2" applyNumberFormat="1" applyFont="1" applyFill="1" applyBorder="1" applyAlignment="1" applyProtection="1">
      <alignment horizontal="right" shrinkToFit="1"/>
      <protection locked="0"/>
    </xf>
    <xf numFmtId="183" fontId="5" fillId="0" borderId="238" xfId="2" applyNumberFormat="1" applyFont="1" applyFill="1" applyBorder="1" applyAlignment="1" applyProtection="1">
      <alignment horizontal="right" shrinkToFit="1"/>
      <protection locked="0"/>
    </xf>
    <xf numFmtId="207" fontId="5" fillId="0" borderId="0" xfId="2" applyNumberFormat="1" applyFont="1" applyFill="1" applyBorder="1" applyAlignment="1" applyProtection="1">
      <alignment horizontal="right" shrinkToFit="1"/>
      <protection locked="0"/>
    </xf>
    <xf numFmtId="0" fontId="5" fillId="0" borderId="0" xfId="2" applyNumberFormat="1" applyFont="1" applyFill="1" applyBorder="1" applyAlignment="1" applyProtection="1">
      <alignment vertical="center" shrinkToFit="1"/>
      <protection locked="0"/>
    </xf>
    <xf numFmtId="208" fontId="5" fillId="0" borderId="0" xfId="12" applyNumberFormat="1" applyFont="1" applyFill="1" applyBorder="1" applyAlignment="1" applyProtection="1">
      <alignment vertical="center"/>
    </xf>
    <xf numFmtId="0" fontId="5" fillId="0" borderId="239" xfId="2" applyNumberFormat="1" applyFont="1" applyFill="1" applyBorder="1" applyAlignment="1" applyProtection="1">
      <alignment horizontal="center"/>
    </xf>
    <xf numFmtId="211" fontId="5" fillId="0" borderId="79" xfId="2" applyNumberFormat="1" applyFont="1" applyFill="1" applyBorder="1" applyAlignment="1" applyProtection="1">
      <alignment horizontal="center"/>
      <protection locked="0"/>
    </xf>
    <xf numFmtId="0" fontId="5" fillId="0" borderId="239" xfId="2" applyNumberFormat="1" applyFont="1" applyFill="1" applyBorder="1" applyAlignment="1" applyProtection="1">
      <alignment horizontal="center"/>
      <protection locked="0"/>
    </xf>
    <xf numFmtId="207" fontId="5" fillId="0" borderId="201" xfId="2" applyNumberFormat="1" applyFont="1" applyFill="1" applyBorder="1" applyAlignment="1" applyProtection="1">
      <alignment horizontal="right" shrinkToFit="1"/>
      <protection locked="0"/>
    </xf>
    <xf numFmtId="207" fontId="5" fillId="0" borderId="240" xfId="2" applyNumberFormat="1" applyFont="1" applyFill="1" applyBorder="1" applyAlignment="1" applyProtection="1">
      <alignment horizontal="right" shrinkToFit="1"/>
      <protection locked="0"/>
    </xf>
    <xf numFmtId="183" fontId="5" fillId="0" borderId="201" xfId="2" applyNumberFormat="1" applyFont="1" applyFill="1" applyBorder="1" applyAlignment="1" applyProtection="1">
      <alignment horizontal="right" shrinkToFit="1"/>
      <protection locked="0"/>
    </xf>
    <xf numFmtId="207" fontId="5" fillId="0" borderId="68" xfId="2" applyNumberFormat="1" applyFont="1" applyFill="1" applyBorder="1" applyAlignment="1" applyProtection="1">
      <alignment horizontal="right" shrinkToFit="1"/>
      <protection locked="0"/>
    </xf>
    <xf numFmtId="183" fontId="5" fillId="0" borderId="240" xfId="2" applyNumberFormat="1" applyFont="1" applyFill="1" applyBorder="1" applyAlignment="1" applyProtection="1">
      <alignment horizontal="right" shrinkToFit="1"/>
      <protection locked="0"/>
    </xf>
    <xf numFmtId="177" fontId="5" fillId="0" borderId="0" xfId="2" applyNumberFormat="1" applyFont="1" applyFill="1" applyBorder="1" applyAlignment="1" applyProtection="1">
      <alignment horizontal="right" vertical="center"/>
    </xf>
    <xf numFmtId="0" fontId="5" fillId="0" borderId="79" xfId="2" applyNumberFormat="1" applyFont="1" applyFill="1" applyBorder="1" applyAlignment="1" applyProtection="1">
      <alignment horizontal="center"/>
      <protection locked="0"/>
    </xf>
    <xf numFmtId="0" fontId="5" fillId="0" borderId="58" xfId="12" applyNumberFormat="1" applyFont="1" applyFill="1" applyBorder="1" applyAlignment="1" applyProtection="1">
      <alignment horizontal="center" vertical="center" shrinkToFit="1"/>
    </xf>
    <xf numFmtId="0" fontId="5" fillId="0" borderId="61" xfId="12" applyNumberFormat="1" applyFont="1" applyFill="1" applyBorder="1" applyAlignment="1" applyProtection="1">
      <alignment horizontal="center" vertical="center" shrinkToFit="1"/>
    </xf>
    <xf numFmtId="0" fontId="5" fillId="0" borderId="221" xfId="12" applyNumberFormat="1" applyFont="1" applyFill="1" applyBorder="1" applyAlignment="1" applyProtection="1">
      <alignment horizontal="center" vertical="center" shrinkToFit="1"/>
    </xf>
    <xf numFmtId="208" fontId="5" fillId="0" borderId="52" xfId="12" applyNumberFormat="1" applyFont="1" applyFill="1" applyBorder="1" applyAlignment="1" applyProtection="1">
      <alignment vertical="center"/>
    </xf>
    <xf numFmtId="208" fontId="5" fillId="0" borderId="52" xfId="2" applyNumberFormat="1" applyFont="1" applyFill="1" applyBorder="1" applyAlignment="1" applyProtection="1">
      <alignment vertical="center"/>
    </xf>
    <xf numFmtId="208" fontId="5" fillId="0" borderId="222" xfId="12" applyNumberFormat="1" applyFont="1" applyFill="1" applyBorder="1" applyAlignment="1" applyProtection="1">
      <alignment vertical="center"/>
    </xf>
    <xf numFmtId="208" fontId="5" fillId="0" borderId="221" xfId="12" applyNumberFormat="1" applyFont="1" applyFill="1" applyBorder="1" applyAlignment="1" applyProtection="1">
      <alignment vertical="center"/>
    </xf>
    <xf numFmtId="208" fontId="5" fillId="0" borderId="222" xfId="2" applyNumberFormat="1" applyFont="1" applyFill="1" applyBorder="1" applyAlignment="1" applyProtection="1">
      <alignment vertical="center"/>
    </xf>
    <xf numFmtId="208" fontId="5" fillId="0" borderId="31" xfId="2" applyNumberFormat="1" applyFont="1" applyFill="1" applyBorder="1" applyAlignment="1" applyProtection="1">
      <alignment vertical="center"/>
    </xf>
    <xf numFmtId="198" fontId="5" fillId="0" borderId="0" xfId="2" applyNumberFormat="1" applyFont="1" applyFill="1" applyBorder="1" applyAlignment="1" applyProtection="1">
      <alignment vertical="center"/>
      <protection locked="0"/>
    </xf>
    <xf numFmtId="3" fontId="5" fillId="0" borderId="58" xfId="12" applyNumberFormat="1" applyFont="1" applyFill="1" applyBorder="1" applyAlignment="1" applyProtection="1">
      <alignment horizontal="center" vertical="center"/>
    </xf>
    <xf numFmtId="3" fontId="5" fillId="0" borderId="61" xfId="12" applyNumberFormat="1" applyFont="1" applyFill="1" applyBorder="1" applyAlignment="1" applyProtection="1">
      <alignment horizontal="center" vertical="center"/>
    </xf>
    <xf numFmtId="3" fontId="5" fillId="0" borderId="221" xfId="12" applyNumberFormat="1" applyFont="1" applyFill="1" applyBorder="1" applyAlignment="1" applyProtection="1">
      <alignment horizontal="center" vertical="center"/>
    </xf>
    <xf numFmtId="208" fontId="5" fillId="0" borderId="52" xfId="12" applyNumberFormat="1" applyFont="1" applyFill="1" applyBorder="1" applyAlignment="1" applyProtection="1">
      <alignment horizontal="center" vertical="center"/>
    </xf>
    <xf numFmtId="208" fontId="5" fillId="0" borderId="241" xfId="2" applyNumberFormat="1" applyFont="1" applyFill="1" applyBorder="1" applyAlignment="1" applyProtection="1">
      <alignment vertical="center"/>
    </xf>
    <xf numFmtId="208" fontId="5" fillId="0" borderId="52" xfId="2" applyNumberFormat="1" applyFont="1" applyFill="1" applyBorder="1" applyAlignment="1" applyProtection="1">
      <alignment horizontal="center" vertical="center"/>
    </xf>
    <xf numFmtId="208" fontId="5" fillId="0" borderId="241" xfId="2" applyNumberFormat="1" applyFont="1" applyFill="1" applyBorder="1" applyAlignment="1" applyProtection="1">
      <alignment horizontal="center" vertical="center"/>
    </xf>
    <xf numFmtId="208" fontId="5" fillId="0" borderId="0" xfId="12" applyNumberFormat="1" applyFont="1" applyFill="1" applyBorder="1" applyAlignment="1" applyProtection="1">
      <alignment horizontal="center" vertical="center"/>
    </xf>
    <xf numFmtId="208" fontId="5" fillId="0" borderId="0" xfId="2" applyNumberFormat="1" applyFont="1" applyFill="1" applyBorder="1" applyAlignment="1" applyProtection="1">
      <alignment vertical="center"/>
    </xf>
    <xf numFmtId="212" fontId="5" fillId="0" borderId="0" xfId="2" applyNumberFormat="1" applyFont="1" applyFill="1" applyBorder="1" applyAlignment="1" applyProtection="1">
      <alignment vertical="center"/>
    </xf>
    <xf numFmtId="3" fontId="5" fillId="0" borderId="0" xfId="12" applyNumberFormat="1" applyFont="1" applyFill="1" applyBorder="1" applyAlignment="1" applyProtection="1">
      <alignment horizontal="right" vertical="center"/>
    </xf>
    <xf numFmtId="213" fontId="5" fillId="0" borderId="0" xfId="2" applyNumberFormat="1" applyFont="1" applyFill="1" applyBorder="1" applyAlignment="1" applyProtection="1">
      <alignment vertical="center"/>
    </xf>
    <xf numFmtId="0" fontId="5" fillId="0" borderId="133" xfId="2" applyFont="1" applyFill="1" applyBorder="1" applyAlignment="1" applyProtection="1">
      <alignment horizontal="center" shrinkToFit="1"/>
    </xf>
    <xf numFmtId="0" fontId="5" fillId="0" borderId="213" xfId="2" applyNumberFormat="1" applyFont="1" applyFill="1" applyBorder="1" applyAlignment="1" applyProtection="1">
      <alignment horizontal="center"/>
      <protection locked="0"/>
    </xf>
    <xf numFmtId="0" fontId="5" fillId="0" borderId="242" xfId="2" applyNumberFormat="1" applyFont="1" applyFill="1" applyBorder="1" applyAlignment="1" applyProtection="1">
      <alignment horizontal="center"/>
    </xf>
    <xf numFmtId="211" fontId="5" fillId="0" borderId="213" xfId="2" applyNumberFormat="1" applyFont="1" applyFill="1" applyBorder="1" applyAlignment="1" applyProtection="1">
      <alignment horizontal="center"/>
      <protection locked="0"/>
    </xf>
    <xf numFmtId="0" fontId="5" fillId="0" borderId="242" xfId="2" applyNumberFormat="1" applyFont="1" applyFill="1" applyBorder="1" applyAlignment="1" applyProtection="1">
      <alignment horizontal="center"/>
      <protection locked="0"/>
    </xf>
    <xf numFmtId="207" fontId="5" fillId="0" borderId="215" xfId="2" applyNumberFormat="1" applyFont="1" applyFill="1" applyBorder="1" applyAlignment="1" applyProtection="1">
      <alignment horizontal="right" shrinkToFit="1"/>
      <protection locked="0"/>
    </xf>
    <xf numFmtId="207" fontId="5" fillId="0" borderId="243" xfId="2" applyNumberFormat="1" applyFont="1" applyFill="1" applyBorder="1" applyAlignment="1" applyProtection="1">
      <alignment horizontal="right" shrinkToFit="1"/>
      <protection locked="0"/>
    </xf>
    <xf numFmtId="183" fontId="5" fillId="0" borderId="215" xfId="2" applyNumberFormat="1" applyFont="1" applyFill="1" applyBorder="1" applyAlignment="1" applyProtection="1">
      <alignment horizontal="right" shrinkToFit="1"/>
      <protection locked="0"/>
    </xf>
    <xf numFmtId="207" fontId="5" fillId="0" borderId="217" xfId="2" applyNumberFormat="1" applyFont="1" applyFill="1" applyBorder="1" applyAlignment="1" applyProtection="1">
      <alignment horizontal="right" shrinkToFit="1"/>
      <protection locked="0"/>
    </xf>
    <xf numFmtId="183" fontId="5" fillId="0" borderId="243" xfId="2" applyNumberFormat="1" applyFont="1" applyFill="1" applyBorder="1" applyAlignment="1" applyProtection="1">
      <alignment horizontal="right" shrinkToFit="1"/>
      <protection locked="0"/>
    </xf>
    <xf numFmtId="2" fontId="5" fillId="0" borderId="0" xfId="2" applyNumberFormat="1" applyFont="1" applyFill="1" applyBorder="1" applyAlignment="1" applyProtection="1">
      <alignment vertical="center"/>
    </xf>
    <xf numFmtId="177" fontId="5" fillId="0" borderId="244" xfId="2" applyNumberFormat="1" applyFont="1" applyFill="1" applyBorder="1" applyAlignment="1" applyProtection="1">
      <alignment horizontal="right" shrinkToFit="1"/>
    </xf>
    <xf numFmtId="177" fontId="5" fillId="0" borderId="245" xfId="2" applyNumberFormat="1" applyFont="1" applyFill="1" applyBorder="1" applyAlignment="1" applyProtection="1">
      <alignment horizontal="right" shrinkToFit="1"/>
    </xf>
    <xf numFmtId="183" fontId="5" fillId="0" borderId="246" xfId="2" applyNumberFormat="1" applyFont="1" applyFill="1" applyBorder="1" applyAlignment="1" applyProtection="1">
      <alignment horizontal="right" shrinkToFit="1"/>
    </xf>
    <xf numFmtId="0" fontId="5" fillId="18" borderId="247" xfId="2" applyFont="1" applyFill="1" applyBorder="1" applyAlignment="1" applyProtection="1">
      <alignment horizontal="center" vertical="center" textRotation="255" shrinkToFit="1"/>
    </xf>
    <xf numFmtId="0" fontId="5" fillId="3" borderId="2" xfId="2" applyFont="1" applyFill="1" applyBorder="1" applyAlignment="1" applyProtection="1">
      <alignment vertical="center"/>
    </xf>
    <xf numFmtId="0" fontId="5" fillId="3" borderId="3" xfId="2" applyFont="1" applyFill="1" applyBorder="1" applyAlignment="1" applyProtection="1">
      <alignment vertical="center" shrinkToFit="1"/>
    </xf>
    <xf numFmtId="177" fontId="5" fillId="3" borderId="234" xfId="2" applyNumberFormat="1" applyFont="1" applyFill="1" applyBorder="1" applyAlignment="1" applyProtection="1">
      <alignment horizontal="center" vertical="center" shrinkToFit="1"/>
    </xf>
    <xf numFmtId="177" fontId="5" fillId="3" borderId="235" xfId="2" applyNumberFormat="1" applyFont="1" applyFill="1" applyBorder="1" applyAlignment="1" applyProtection="1">
      <alignment horizontal="center" vertical="center" shrinkToFit="1"/>
    </xf>
    <xf numFmtId="177" fontId="5" fillId="3" borderId="248" xfId="2" applyNumberFormat="1" applyFont="1" applyFill="1" applyBorder="1" applyAlignment="1" applyProtection="1">
      <alignment horizontal="center" vertical="center" shrinkToFit="1"/>
    </xf>
    <xf numFmtId="0" fontId="5" fillId="3" borderId="2" xfId="2" applyFont="1" applyFill="1" applyBorder="1" applyProtection="1"/>
    <xf numFmtId="0" fontId="5" fillId="3" borderId="3" xfId="2" applyFont="1" applyFill="1" applyBorder="1" applyAlignment="1" applyProtection="1">
      <alignment shrinkToFit="1"/>
    </xf>
    <xf numFmtId="0" fontId="5" fillId="3" borderId="3" xfId="2" applyFont="1" applyFill="1" applyBorder="1" applyAlignment="1" applyProtection="1">
      <alignment horizontal="center" shrinkToFit="1"/>
    </xf>
    <xf numFmtId="0" fontId="5" fillId="0" borderId="134" xfId="2" applyFont="1" applyFill="1" applyBorder="1" applyAlignment="1" applyProtection="1">
      <alignment horizontal="center" shrinkToFit="1"/>
    </xf>
    <xf numFmtId="183" fontId="5" fillId="3" borderId="234" xfId="2" applyNumberFormat="1" applyFont="1" applyFill="1" applyBorder="1" applyAlignment="1" applyProtection="1">
      <alignment horizontal="center" vertical="center" shrinkToFit="1"/>
    </xf>
    <xf numFmtId="183" fontId="5" fillId="3" borderId="235" xfId="2" applyNumberFormat="1" applyFont="1" applyFill="1" applyBorder="1" applyAlignment="1" applyProtection="1">
      <alignment horizontal="center" vertical="center" shrinkToFit="1"/>
    </xf>
    <xf numFmtId="177" fontId="5" fillId="0" borderId="0" xfId="2" applyNumberFormat="1" applyFont="1" applyFill="1" applyBorder="1" applyAlignment="1" applyProtection="1">
      <alignment horizontal="center" shrinkToFit="1"/>
    </xf>
    <xf numFmtId="0" fontId="5" fillId="0" borderId="0" xfId="2" applyFont="1" applyFill="1" applyBorder="1" applyAlignment="1" applyProtection="1">
      <alignment vertical="center" shrinkToFit="1"/>
    </xf>
    <xf numFmtId="177" fontId="5" fillId="0" borderId="0" xfId="2" applyNumberFormat="1" applyFont="1" applyFill="1" applyBorder="1" applyAlignment="1" applyProtection="1">
      <alignment vertical="center"/>
      <protection locked="0"/>
    </xf>
    <xf numFmtId="0" fontId="5" fillId="0" borderId="189" xfId="2" applyFont="1" applyFill="1" applyBorder="1" applyAlignment="1" applyProtection="1">
      <alignment horizontal="left" indent="1"/>
    </xf>
    <xf numFmtId="0" fontId="5" fillId="0" borderId="189" xfId="2" applyNumberFormat="1" applyFont="1" applyFill="1" applyBorder="1" applyAlignment="1" applyProtection="1">
      <alignment horizontal="left" shrinkToFit="1"/>
    </xf>
    <xf numFmtId="214" fontId="5" fillId="0" borderId="189" xfId="2" applyNumberFormat="1" applyFont="1" applyFill="1" applyBorder="1" applyAlignment="1" applyProtection="1">
      <alignment shrinkToFit="1"/>
      <protection locked="0"/>
    </xf>
    <xf numFmtId="215" fontId="5" fillId="0" borderId="189" xfId="12" applyNumberFormat="1" applyFont="1" applyFill="1" applyBorder="1" applyAlignment="1" applyProtection="1">
      <alignment horizontal="center" shrinkToFit="1"/>
      <protection locked="0"/>
    </xf>
    <xf numFmtId="0" fontId="5" fillId="0" borderId="189" xfId="2" applyNumberFormat="1" applyFont="1" applyFill="1" applyBorder="1" applyAlignment="1" applyProtection="1">
      <alignment shrinkToFit="1"/>
    </xf>
    <xf numFmtId="0" fontId="5" fillId="0" borderId="191" xfId="2" applyNumberFormat="1" applyFont="1" applyFill="1" applyBorder="1" applyAlignment="1" applyProtection="1">
      <alignment horizontal="right" shrinkToFit="1"/>
      <protection locked="0"/>
    </xf>
    <xf numFmtId="0" fontId="5" fillId="0" borderId="192" xfId="2" applyNumberFormat="1" applyFont="1" applyFill="1" applyBorder="1" applyAlignment="1" applyProtection="1">
      <alignment horizontal="right" shrinkToFit="1"/>
      <protection locked="0"/>
    </xf>
    <xf numFmtId="216" fontId="5" fillId="0" borderId="189" xfId="2" applyNumberFormat="1" applyFont="1" applyFill="1" applyBorder="1" applyAlignment="1" applyProtection="1">
      <alignment shrinkToFit="1"/>
      <protection locked="0"/>
    </xf>
    <xf numFmtId="0" fontId="5" fillId="0" borderId="128" xfId="2" applyNumberFormat="1" applyFont="1" applyFill="1" applyBorder="1" applyAlignment="1" applyProtection="1">
      <alignment horizontal="right" shrinkToFit="1"/>
      <protection locked="0"/>
    </xf>
    <xf numFmtId="183" fontId="5" fillId="0" borderId="192" xfId="2" applyNumberFormat="1" applyFont="1" applyFill="1" applyBorder="1" applyAlignment="1" applyProtection="1">
      <alignment horizontal="right" shrinkToFit="1"/>
      <protection locked="0"/>
    </xf>
    <xf numFmtId="0" fontId="5" fillId="0" borderId="0" xfId="2" applyNumberFormat="1" applyFont="1" applyFill="1" applyBorder="1" applyAlignment="1" applyProtection="1">
      <alignment horizontal="right" shrinkToFit="1"/>
      <protection locked="0"/>
    </xf>
    <xf numFmtId="207" fontId="5" fillId="0" borderId="0" xfId="2" applyNumberFormat="1" applyFont="1" applyFill="1" applyBorder="1" applyAlignment="1" applyProtection="1">
      <alignment vertical="center" shrinkToFit="1"/>
      <protection locked="0"/>
    </xf>
    <xf numFmtId="0" fontId="5" fillId="0" borderId="79" xfId="2" applyFont="1" applyFill="1" applyBorder="1" applyAlignment="1" applyProtection="1">
      <alignment horizontal="left" indent="1"/>
    </xf>
    <xf numFmtId="0" fontId="5" fillId="0" borderId="79" xfId="2" applyNumberFormat="1" applyFont="1" applyFill="1" applyBorder="1" applyAlignment="1" applyProtection="1">
      <alignment horizontal="left" shrinkToFit="1"/>
    </xf>
    <xf numFmtId="217" fontId="5" fillId="0" borderId="79" xfId="2" applyNumberFormat="1" applyFont="1" applyFill="1" applyBorder="1" applyAlignment="1" applyProtection="1">
      <alignment shrinkToFit="1"/>
      <protection locked="0"/>
    </xf>
    <xf numFmtId="218" fontId="5" fillId="0" borderId="79" xfId="12" applyNumberFormat="1" applyFont="1" applyFill="1" applyBorder="1" applyAlignment="1" applyProtection="1">
      <alignment horizontal="center" shrinkToFit="1"/>
    </xf>
    <xf numFmtId="0" fontId="5" fillId="0" borderId="79" xfId="12" applyNumberFormat="1" applyFont="1" applyFill="1" applyBorder="1" applyAlignment="1" applyProtection="1">
      <alignment horizontal="left" shrinkToFit="1"/>
    </xf>
    <xf numFmtId="0" fontId="5" fillId="0" borderId="201" xfId="2" applyNumberFormat="1" applyFont="1" applyFill="1" applyBorder="1" applyAlignment="1" applyProtection="1">
      <alignment horizontal="right" shrinkToFit="1"/>
      <protection locked="0"/>
    </xf>
    <xf numFmtId="0" fontId="5" fillId="0" borderId="203" xfId="2" applyNumberFormat="1" applyFont="1" applyFill="1" applyBorder="1" applyAlignment="1" applyProtection="1">
      <alignment horizontal="right" shrinkToFit="1"/>
      <protection locked="0"/>
    </xf>
    <xf numFmtId="219" fontId="5" fillId="0" borderId="79" xfId="2" applyNumberFormat="1" applyFont="1" applyFill="1" applyBorder="1" applyAlignment="1" applyProtection="1">
      <alignment shrinkToFit="1"/>
      <protection locked="0"/>
    </xf>
    <xf numFmtId="0" fontId="5" fillId="0" borderId="68" xfId="2" applyNumberFormat="1" applyFont="1" applyFill="1" applyBorder="1" applyAlignment="1" applyProtection="1">
      <alignment horizontal="right" shrinkToFit="1"/>
      <protection locked="0"/>
    </xf>
    <xf numFmtId="183" fontId="5" fillId="0" borderId="203" xfId="2" applyNumberFormat="1" applyFont="1" applyFill="1" applyBorder="1" applyAlignment="1" applyProtection="1">
      <alignment horizontal="right" shrinkToFit="1"/>
      <protection locked="0"/>
    </xf>
    <xf numFmtId="193" fontId="5" fillId="0" borderId="0" xfId="12" applyNumberFormat="1" applyFont="1" applyFill="1" applyBorder="1" applyAlignment="1" applyProtection="1">
      <alignment horizontal="left" vertical="center"/>
    </xf>
    <xf numFmtId="2" fontId="18" fillId="0" borderId="0" xfId="2" applyNumberFormat="1" applyFont="1" applyFill="1" applyBorder="1" applyAlignment="1" applyProtection="1">
      <alignment vertical="center"/>
    </xf>
    <xf numFmtId="220" fontId="5" fillId="0" borderId="79" xfId="12" applyNumberFormat="1" applyFont="1" applyFill="1" applyBorder="1" applyAlignment="1" applyProtection="1">
      <alignment horizontal="center" shrinkToFit="1"/>
    </xf>
    <xf numFmtId="221" fontId="5" fillId="0" borderId="79" xfId="12" applyNumberFormat="1" applyFont="1" applyFill="1" applyBorder="1" applyAlignment="1" applyProtection="1">
      <alignment horizontal="left" shrinkToFit="1"/>
    </xf>
    <xf numFmtId="2" fontId="5" fillId="0" borderId="0" xfId="2" applyNumberFormat="1" applyFont="1" applyFill="1" applyBorder="1" applyAlignment="1" applyProtection="1">
      <alignment vertical="center"/>
      <protection locked="0"/>
    </xf>
    <xf numFmtId="0" fontId="5" fillId="3" borderId="96" xfId="2" applyFont="1" applyFill="1" applyBorder="1" applyAlignment="1" applyProtection="1">
      <alignment horizontal="center" vertical="center" shrinkToFit="1"/>
    </xf>
    <xf numFmtId="0" fontId="5" fillId="3" borderId="249" xfId="2" applyFont="1" applyFill="1" applyBorder="1" applyAlignment="1" applyProtection="1">
      <alignment horizontal="center" vertical="center" shrinkToFit="1"/>
    </xf>
    <xf numFmtId="3" fontId="5" fillId="3" borderId="22" xfId="12" applyNumberFormat="1" applyFont="1" applyFill="1" applyBorder="1" applyAlignment="1" applyProtection="1">
      <alignment horizontal="center" vertical="center"/>
    </xf>
    <xf numFmtId="3" fontId="5" fillId="3" borderId="250" xfId="12" applyNumberFormat="1" applyFont="1" applyFill="1" applyBorder="1" applyAlignment="1" applyProtection="1">
      <alignment horizontal="center" vertical="center"/>
    </xf>
    <xf numFmtId="3" fontId="5" fillId="3" borderId="251" xfId="12" applyNumberFormat="1" applyFont="1" applyFill="1" applyBorder="1" applyAlignment="1" applyProtection="1">
      <alignment horizontal="center" vertical="center" wrapText="1"/>
    </xf>
    <xf numFmtId="0" fontId="5" fillId="0" borderId="79" xfId="2" applyFont="1" applyFill="1" applyBorder="1" applyAlignment="1" applyProtection="1">
      <alignment horizontal="left" indent="1" shrinkToFit="1"/>
    </xf>
    <xf numFmtId="222" fontId="5" fillId="0" borderId="79" xfId="2" applyNumberFormat="1" applyFont="1" applyFill="1" applyBorder="1" applyAlignment="1" applyProtection="1">
      <alignment shrinkToFit="1"/>
      <protection locked="0"/>
    </xf>
    <xf numFmtId="220" fontId="5" fillId="0" borderId="79" xfId="2" applyNumberFormat="1" applyFont="1" applyFill="1" applyBorder="1" applyAlignment="1" applyProtection="1">
      <alignment horizontal="center"/>
    </xf>
    <xf numFmtId="0" fontId="5" fillId="0" borderId="79" xfId="2" applyNumberFormat="1" applyFont="1" applyFill="1" applyBorder="1" applyAlignment="1" applyProtection="1">
      <alignment horizontal="left" shrinkToFit="1"/>
      <protection locked="0"/>
    </xf>
    <xf numFmtId="223" fontId="5" fillId="0" borderId="79" xfId="2" applyNumberFormat="1" applyFont="1" applyFill="1" applyBorder="1" applyAlignment="1" applyProtection="1">
      <alignment shrinkToFit="1"/>
      <protection locked="0"/>
    </xf>
    <xf numFmtId="193" fontId="5" fillId="3" borderId="221" xfId="12" applyNumberFormat="1" applyFont="1" applyFill="1" applyBorder="1" applyAlignment="1" applyProtection="1">
      <alignment horizontal="center" vertical="center" wrapText="1" shrinkToFit="1"/>
    </xf>
    <xf numFmtId="193" fontId="5" fillId="3" borderId="12" xfId="12" applyNumberFormat="1" applyFont="1" applyFill="1" applyBorder="1" applyAlignment="1" applyProtection="1">
      <alignment horizontal="center" vertical="center" wrapText="1" shrinkToFit="1"/>
    </xf>
    <xf numFmtId="0" fontId="14" fillId="3" borderId="12" xfId="2" applyNumberFormat="1" applyFont="1" applyFill="1" applyBorder="1" applyAlignment="1" applyProtection="1">
      <alignment horizontal="center" vertical="center" wrapText="1"/>
      <protection locked="0"/>
    </xf>
    <xf numFmtId="0" fontId="5" fillId="3" borderId="12" xfId="2" applyNumberFormat="1" applyFont="1" applyFill="1" applyBorder="1" applyAlignment="1" applyProtection="1">
      <alignment horizontal="center" vertical="center" wrapText="1"/>
    </xf>
    <xf numFmtId="3" fontId="5" fillId="3" borderId="13" xfId="12" applyNumberFormat="1" applyFont="1" applyFill="1" applyBorder="1" applyAlignment="1" applyProtection="1">
      <alignment horizontal="center" vertical="center" wrapText="1"/>
    </xf>
    <xf numFmtId="0" fontId="5" fillId="0" borderId="252" xfId="2" applyFont="1" applyFill="1" applyBorder="1" applyAlignment="1" applyProtection="1">
      <alignment horizontal="left" indent="1" shrinkToFit="1"/>
    </xf>
    <xf numFmtId="0" fontId="5" fillId="0" borderId="253" xfId="2" applyFont="1" applyFill="1" applyBorder="1" applyAlignment="1" applyProtection="1">
      <alignment horizontal="left" indent="1" shrinkToFit="1"/>
    </xf>
    <xf numFmtId="220" fontId="5" fillId="0" borderId="20" xfId="2" applyNumberFormat="1" applyFont="1" applyFill="1" applyBorder="1" applyAlignment="1" applyProtection="1">
      <alignment horizontal="center"/>
    </xf>
    <xf numFmtId="0" fontId="5" fillId="0" borderId="0" xfId="2" applyNumberFormat="1" applyFont="1" applyFill="1" applyBorder="1" applyAlignment="1" applyProtection="1">
      <alignment horizontal="left" shrinkToFit="1"/>
      <protection locked="0"/>
    </xf>
    <xf numFmtId="0" fontId="5" fillId="0" borderId="254" xfId="2" applyNumberFormat="1" applyFont="1" applyFill="1" applyBorder="1" applyAlignment="1" applyProtection="1">
      <alignment horizontal="right" shrinkToFit="1"/>
      <protection locked="0"/>
    </xf>
    <xf numFmtId="193" fontId="5" fillId="0" borderId="0" xfId="12" applyNumberFormat="1" applyFont="1" applyFill="1" applyBorder="1" applyAlignment="1" applyProtection="1">
      <alignment horizontal="right" shrinkToFit="1"/>
    </xf>
    <xf numFmtId="0" fontId="5" fillId="0" borderId="255" xfId="2" applyNumberFormat="1" applyFont="1" applyFill="1" applyBorder="1" applyAlignment="1" applyProtection="1">
      <alignment horizontal="right" shrinkToFit="1"/>
      <protection locked="0"/>
    </xf>
    <xf numFmtId="193" fontId="5" fillId="0" borderId="256" xfId="12" applyNumberFormat="1" applyFont="1" applyFill="1" applyBorder="1" applyAlignment="1" applyProtection="1">
      <alignment horizontal="right" shrinkToFit="1"/>
    </xf>
    <xf numFmtId="183" fontId="5" fillId="0" borderId="254" xfId="2" applyNumberFormat="1" applyFont="1" applyFill="1" applyBorder="1" applyAlignment="1" applyProtection="1">
      <alignment horizontal="right" shrinkToFit="1"/>
      <protection locked="0"/>
    </xf>
    <xf numFmtId="0" fontId="5" fillId="0" borderId="40" xfId="2" applyNumberFormat="1" applyFont="1" applyFill="1" applyBorder="1" applyAlignment="1" applyProtection="1">
      <alignment horizontal="right" shrinkToFit="1"/>
      <protection locked="0"/>
    </xf>
    <xf numFmtId="183" fontId="5" fillId="0" borderId="255" xfId="2" applyNumberFormat="1" applyFont="1" applyFill="1" applyBorder="1" applyAlignment="1" applyProtection="1">
      <alignment horizontal="right" shrinkToFit="1"/>
      <protection locked="0"/>
    </xf>
    <xf numFmtId="193" fontId="5" fillId="0" borderId="257" xfId="12" applyNumberFormat="1" applyFont="1" applyFill="1" applyBorder="1" applyAlignment="1" applyProtection="1">
      <alignment horizontal="right" shrinkToFit="1"/>
    </xf>
    <xf numFmtId="202" fontId="5" fillId="14" borderId="157" xfId="2" applyNumberFormat="1" applyFont="1" applyFill="1" applyBorder="1" applyAlignment="1" applyProtection="1">
      <alignment horizontal="center" vertical="center" wrapText="1"/>
      <protection locked="0"/>
    </xf>
    <xf numFmtId="202" fontId="5" fillId="15" borderId="157" xfId="2" applyNumberFormat="1" applyFont="1" applyFill="1" applyBorder="1" applyAlignment="1" applyProtection="1">
      <alignment horizontal="center" vertical="center" wrapText="1"/>
      <protection locked="0"/>
    </xf>
    <xf numFmtId="202" fontId="18" fillId="19" borderId="157" xfId="2" applyNumberFormat="1" applyFont="1" applyFill="1" applyBorder="1" applyAlignment="1" applyProtection="1">
      <alignment horizontal="center" vertical="center" wrapText="1"/>
      <protection locked="0"/>
    </xf>
    <xf numFmtId="0" fontId="5" fillId="3" borderId="97" xfId="2" applyFont="1" applyFill="1" applyBorder="1" applyAlignment="1" applyProtection="1">
      <alignment horizontal="center" vertical="center" shrinkToFit="1"/>
    </xf>
    <xf numFmtId="0" fontId="5" fillId="3" borderId="49" xfId="2" applyFont="1" applyFill="1" applyBorder="1" applyAlignment="1" applyProtection="1">
      <alignment horizontal="center" vertical="center" shrinkToFit="1"/>
    </xf>
    <xf numFmtId="0" fontId="5" fillId="0" borderId="14" xfId="2" applyFont="1" applyFill="1" applyBorder="1" applyAlignment="1" applyProtection="1">
      <alignment horizontal="center" vertical="center" shrinkToFit="1"/>
    </xf>
    <xf numFmtId="0" fontId="5" fillId="0" borderId="15" xfId="2" applyFont="1" applyFill="1" applyBorder="1" applyAlignment="1" applyProtection="1">
      <alignment horizontal="center" vertical="center" shrinkToFit="1"/>
    </xf>
    <xf numFmtId="208" fontId="5" fillId="0" borderId="49" xfId="2" applyNumberFormat="1" applyFont="1" applyFill="1" applyBorder="1" applyAlignment="1" applyProtection="1">
      <alignment vertical="center"/>
    </xf>
    <xf numFmtId="208" fontId="5" fillId="0" borderId="15" xfId="2" applyNumberFormat="1" applyFont="1" applyFill="1" applyBorder="1" applyAlignment="1" applyProtection="1">
      <alignment vertical="center"/>
    </xf>
    <xf numFmtId="208" fontId="5" fillId="0" borderId="16" xfId="2" applyNumberFormat="1" applyFont="1" applyFill="1" applyBorder="1" applyAlignment="1" applyProtection="1">
      <alignment vertical="center"/>
    </xf>
    <xf numFmtId="0" fontId="5" fillId="18" borderId="247" xfId="2" applyFont="1" applyFill="1" applyBorder="1" applyAlignment="1" applyProtection="1">
      <alignment horizontal="center" vertical="center" textRotation="255" wrapText="1" shrinkToFit="1"/>
    </xf>
    <xf numFmtId="0" fontId="5" fillId="3" borderId="3" xfId="2" applyFont="1" applyFill="1" applyBorder="1" applyAlignment="1" applyProtection="1">
      <alignment horizontal="left"/>
    </xf>
    <xf numFmtId="0" fontId="5" fillId="3" borderId="3" xfId="2" applyFont="1" applyFill="1" applyBorder="1" applyProtection="1"/>
    <xf numFmtId="0" fontId="5" fillId="3" borderId="3" xfId="2" applyFont="1" applyFill="1" applyBorder="1" applyAlignment="1" applyProtection="1">
      <alignment horizontal="right"/>
    </xf>
    <xf numFmtId="0" fontId="5" fillId="3" borderId="3" xfId="2" applyFont="1" applyFill="1" applyBorder="1" applyAlignment="1" applyProtection="1">
      <alignment horizontal="left" vertical="center"/>
    </xf>
    <xf numFmtId="0" fontId="5" fillId="3" borderId="3" xfId="2" applyFont="1" applyFill="1" applyBorder="1" applyAlignment="1" applyProtection="1">
      <alignment vertical="center"/>
    </xf>
    <xf numFmtId="0" fontId="5" fillId="3" borderId="3" xfId="2" applyFont="1" applyFill="1" applyBorder="1" applyAlignment="1" applyProtection="1">
      <alignment horizontal="right" vertical="center"/>
    </xf>
    <xf numFmtId="0" fontId="5" fillId="18" borderId="58" xfId="2" applyFont="1" applyFill="1" applyBorder="1" applyAlignment="1" applyProtection="1">
      <alignment horizontal="center" vertical="center" textRotation="255" wrapText="1" shrinkToFit="1"/>
    </xf>
    <xf numFmtId="3" fontId="5" fillId="0" borderId="0" xfId="12" applyNumberFormat="1" applyFont="1" applyFill="1" applyBorder="1" applyAlignment="1" applyProtection="1">
      <alignment vertical="center" shrinkToFit="1"/>
    </xf>
    <xf numFmtId="0" fontId="5" fillId="0" borderId="11" xfId="2" applyFont="1" applyFill="1" applyBorder="1" applyAlignment="1" applyProtection="1">
      <alignment horizontal="center" vertical="center" shrinkToFit="1"/>
    </xf>
    <xf numFmtId="0" fontId="5" fillId="0" borderId="12" xfId="2" applyFont="1" applyFill="1" applyBorder="1" applyAlignment="1" applyProtection="1">
      <alignment horizontal="center" vertical="center" shrinkToFit="1"/>
    </xf>
    <xf numFmtId="208" fontId="5" fillId="0" borderId="221" xfId="2" applyNumberFormat="1" applyFont="1" applyFill="1" applyBorder="1" applyAlignment="1" applyProtection="1">
      <alignment vertical="center"/>
    </xf>
    <xf numFmtId="0" fontId="5" fillId="18" borderId="36" xfId="2" applyFont="1" applyFill="1" applyBorder="1" applyAlignment="1" applyProtection="1">
      <alignment horizontal="center" vertical="center" textRotation="255" wrapText="1" shrinkToFit="1"/>
    </xf>
    <xf numFmtId="200" fontId="5" fillId="0" borderId="0" xfId="2" applyNumberFormat="1" applyFont="1" applyFill="1" applyBorder="1" applyProtection="1"/>
    <xf numFmtId="220" fontId="5" fillId="0" borderId="0" xfId="2" applyNumberFormat="1" applyFont="1" applyFill="1" applyBorder="1" applyAlignment="1" applyProtection="1">
      <alignment horizontal="center"/>
    </xf>
    <xf numFmtId="0" fontId="5" fillId="0" borderId="0" xfId="2" applyFont="1" applyFill="1" applyBorder="1" applyAlignment="1" applyProtection="1">
      <alignment horizontal="left"/>
    </xf>
    <xf numFmtId="207" fontId="5" fillId="0" borderId="254" xfId="2" applyNumberFormat="1" applyFont="1" applyFill="1" applyBorder="1" applyAlignment="1" applyProtection="1">
      <alignment horizontal="right" shrinkToFit="1"/>
    </xf>
    <xf numFmtId="193" fontId="5" fillId="0" borderId="206" xfId="12" applyNumberFormat="1" applyFont="1" applyFill="1" applyBorder="1" applyAlignment="1" applyProtection="1">
      <alignment horizontal="right" shrinkToFit="1"/>
    </xf>
    <xf numFmtId="207" fontId="5" fillId="0" borderId="40" xfId="2" applyNumberFormat="1" applyFont="1" applyFill="1" applyBorder="1" applyAlignment="1" applyProtection="1">
      <alignment horizontal="right" shrinkToFit="1"/>
    </xf>
    <xf numFmtId="207" fontId="5" fillId="0" borderId="255" xfId="2" applyNumberFormat="1" applyFont="1" applyFill="1" applyBorder="1" applyAlignment="1" applyProtection="1">
      <alignment horizontal="right" shrinkToFit="1"/>
    </xf>
    <xf numFmtId="193" fontId="5" fillId="0" borderId="38" xfId="12" applyNumberFormat="1" applyFont="1" applyFill="1" applyBorder="1" applyAlignment="1" applyProtection="1">
      <alignment horizontal="right" shrinkToFit="1"/>
    </xf>
    <xf numFmtId="0" fontId="5" fillId="18" borderId="28" xfId="2" applyFont="1" applyFill="1" applyBorder="1" applyAlignment="1" applyProtection="1">
      <alignment horizontal="center" vertical="center" textRotation="255" wrapText="1" shrinkToFit="1"/>
    </xf>
    <xf numFmtId="183" fontId="5" fillId="0" borderId="254" xfId="2" applyNumberFormat="1" applyFont="1" applyFill="1" applyBorder="1" applyAlignment="1" applyProtection="1">
      <alignment horizontal="right" shrinkToFit="1"/>
    </xf>
    <xf numFmtId="183" fontId="5" fillId="0" borderId="40" xfId="2" applyNumberFormat="1" applyFont="1" applyFill="1" applyBorder="1" applyAlignment="1" applyProtection="1">
      <alignment horizontal="right" shrinkToFit="1"/>
    </xf>
    <xf numFmtId="207" fontId="5" fillId="0" borderId="0" xfId="2" applyNumberFormat="1" applyFont="1" applyFill="1" applyBorder="1" applyAlignment="1" applyProtection="1">
      <alignment horizontal="right" shrinkToFit="1"/>
    </xf>
    <xf numFmtId="177" fontId="5" fillId="0" borderId="227" xfId="2" applyNumberFormat="1" applyFont="1" applyFill="1" applyBorder="1" applyAlignment="1" applyProtection="1">
      <alignment horizontal="right" shrinkToFit="1"/>
    </xf>
    <xf numFmtId="3" fontId="5" fillId="0" borderId="258" xfId="12" applyNumberFormat="1" applyFont="1" applyFill="1" applyBorder="1" applyAlignment="1" applyProtection="1">
      <alignment horizontal="right" shrinkToFit="1"/>
    </xf>
    <xf numFmtId="177" fontId="5" fillId="0" borderId="259" xfId="2" applyNumberFormat="1" applyFont="1" applyFill="1" applyBorder="1" applyAlignment="1" applyProtection="1">
      <alignment horizontal="right" shrinkToFit="1"/>
    </xf>
    <xf numFmtId="3" fontId="5" fillId="0" borderId="224" xfId="12" applyNumberFormat="1" applyFont="1" applyFill="1" applyBorder="1" applyAlignment="1" applyProtection="1">
      <alignment horizontal="right" shrinkToFit="1"/>
    </xf>
    <xf numFmtId="177" fontId="5" fillId="0" borderId="228" xfId="2" applyNumberFormat="1" applyFont="1" applyFill="1" applyBorder="1" applyAlignment="1" applyProtection="1">
      <alignment horizontal="right" shrinkToFit="1"/>
    </xf>
    <xf numFmtId="3" fontId="5" fillId="0" borderId="260" xfId="12" applyNumberFormat="1" applyFont="1" applyFill="1" applyBorder="1" applyAlignment="1" applyProtection="1">
      <alignment horizontal="right" shrinkToFit="1"/>
    </xf>
    <xf numFmtId="183" fontId="5" fillId="0" borderId="259" xfId="2" applyNumberFormat="1" applyFont="1" applyFill="1" applyBorder="1" applyAlignment="1" applyProtection="1">
      <alignment horizontal="right" shrinkToFit="1"/>
    </xf>
    <xf numFmtId="3" fontId="5" fillId="0" borderId="261" xfId="12" applyNumberFormat="1" applyFont="1" applyFill="1" applyBorder="1" applyAlignment="1" applyProtection="1">
      <alignment horizontal="right" shrinkToFit="1"/>
    </xf>
    <xf numFmtId="0" fontId="5" fillId="18" borderId="262" xfId="2" applyFont="1" applyFill="1" applyBorder="1" applyAlignment="1" applyProtection="1">
      <alignment horizontal="center" vertical="center" textRotation="255" wrapText="1" shrinkToFit="1"/>
    </xf>
    <xf numFmtId="0" fontId="5" fillId="3" borderId="230" xfId="2" applyFont="1" applyFill="1" applyBorder="1" applyAlignment="1" applyProtection="1">
      <alignment horizontal="center" vertical="center"/>
      <protection locked="0"/>
    </xf>
    <xf numFmtId="0" fontId="5" fillId="3" borderId="233" xfId="2" applyFont="1" applyFill="1" applyBorder="1" applyAlignment="1" applyProtection="1">
      <alignment horizontal="center" vertical="center"/>
    </xf>
    <xf numFmtId="0" fontId="5" fillId="3" borderId="232" xfId="2" applyFont="1" applyFill="1" applyBorder="1" applyAlignment="1" applyProtection="1">
      <alignment horizontal="center" vertical="center"/>
    </xf>
    <xf numFmtId="0" fontId="5" fillId="3" borderId="233" xfId="2" applyFont="1" applyFill="1" applyBorder="1" applyAlignment="1" applyProtection="1">
      <alignment horizontal="center" vertical="center" wrapText="1"/>
    </xf>
    <xf numFmtId="0" fontId="5" fillId="3" borderId="236" xfId="2" applyFont="1" applyFill="1" applyBorder="1" applyAlignment="1" applyProtection="1">
      <alignment horizontal="center" vertical="center" wrapText="1"/>
    </xf>
    <xf numFmtId="177" fontId="5" fillId="3" borderId="232" xfId="2" applyNumberFormat="1" applyFont="1" applyFill="1" applyBorder="1" applyAlignment="1" applyProtection="1">
      <alignment horizontal="center" vertical="center" wrapText="1" shrinkToFit="1"/>
    </xf>
    <xf numFmtId="177" fontId="5" fillId="0" borderId="0" xfId="2" applyNumberFormat="1" applyFont="1" applyFill="1" applyBorder="1" applyAlignment="1" applyProtection="1">
      <alignment horizontal="center" wrapText="1" shrinkToFit="1"/>
    </xf>
    <xf numFmtId="177" fontId="5" fillId="0" borderId="0" xfId="2" applyNumberFormat="1" applyFont="1" applyFill="1" applyBorder="1" applyAlignment="1" applyProtection="1">
      <alignment vertical="center" shrinkToFit="1"/>
    </xf>
    <xf numFmtId="0" fontId="5" fillId="18" borderId="96" xfId="2" applyFont="1" applyFill="1" applyBorder="1" applyAlignment="1" applyProtection="1">
      <alignment horizontal="center" vertical="center" textRotation="255" wrapText="1" shrinkToFit="1"/>
    </xf>
    <xf numFmtId="0" fontId="5" fillId="0" borderId="189" xfId="2" applyFont="1" applyFill="1" applyBorder="1" applyAlignment="1" applyProtection="1">
      <alignment horizontal="center"/>
    </xf>
    <xf numFmtId="224" fontId="5" fillId="0" borderId="263" xfId="2" applyNumberFormat="1" applyFont="1" applyFill="1" applyBorder="1" applyProtection="1"/>
    <xf numFmtId="224" fontId="5" fillId="0" borderId="64" xfId="2" applyNumberFormat="1" applyFont="1" applyFill="1" applyBorder="1" applyProtection="1"/>
    <xf numFmtId="225" fontId="5" fillId="0" borderId="264" xfId="2" applyNumberFormat="1" applyFont="1" applyFill="1" applyBorder="1" applyAlignment="1" applyProtection="1">
      <alignment horizontal="right"/>
      <protection locked="0"/>
    </xf>
    <xf numFmtId="225" fontId="5" fillId="0" borderId="265" xfId="2" applyNumberFormat="1" applyFont="1" applyFill="1" applyBorder="1" applyAlignment="1" applyProtection="1">
      <alignment horizontal="right"/>
      <protection locked="0"/>
    </xf>
    <xf numFmtId="226" fontId="5" fillId="0" borderId="189" xfId="12" applyNumberFormat="1" applyFont="1" applyFill="1" applyBorder="1" applyAlignment="1" applyProtection="1">
      <alignment horizontal="right" shrinkToFit="1"/>
    </xf>
    <xf numFmtId="227" fontId="5" fillId="0" borderId="129" xfId="12" applyNumberFormat="1" applyFont="1" applyFill="1" applyBorder="1" applyAlignment="1" applyProtection="1">
      <alignment horizontal="right" shrinkToFit="1"/>
    </xf>
    <xf numFmtId="191" fontId="5" fillId="0" borderId="263" xfId="2" applyNumberFormat="1" applyFont="1" applyFill="1" applyBorder="1" applyProtection="1"/>
    <xf numFmtId="191" fontId="5" fillId="0" borderId="64" xfId="2" applyNumberFormat="1" applyFont="1" applyFill="1" applyBorder="1" applyProtection="1"/>
    <xf numFmtId="193" fontId="5" fillId="0" borderId="58" xfId="12" applyNumberFormat="1" applyFont="1" applyFill="1" applyBorder="1" applyAlignment="1" applyProtection="1">
      <alignment horizontal="center" vertical="center" shrinkToFit="1"/>
    </xf>
    <xf numFmtId="193" fontId="5" fillId="0" borderId="61" xfId="12" applyNumberFormat="1" applyFont="1" applyFill="1" applyBorder="1" applyAlignment="1" applyProtection="1">
      <alignment horizontal="center" vertical="center" shrinkToFit="1"/>
    </xf>
    <xf numFmtId="193" fontId="5" fillId="0" borderId="221" xfId="12" applyNumberFormat="1" applyFont="1" applyFill="1" applyBorder="1" applyAlignment="1" applyProtection="1">
      <alignment horizontal="center" vertical="center" shrinkToFit="1"/>
    </xf>
    <xf numFmtId="208" fontId="5" fillId="0" borderId="13" xfId="2" applyNumberFormat="1" applyFont="1" applyFill="1" applyBorder="1" applyAlignment="1" applyProtection="1">
      <alignment vertical="center"/>
      <protection locked="0"/>
    </xf>
    <xf numFmtId="0" fontId="5" fillId="0" borderId="79" xfId="2" applyFont="1" applyFill="1" applyBorder="1" applyAlignment="1" applyProtection="1">
      <alignment horizontal="center"/>
      <protection locked="0"/>
    </xf>
    <xf numFmtId="224" fontId="5" fillId="0" borderId="239" xfId="2" applyNumberFormat="1" applyFont="1" applyFill="1" applyBorder="1" applyProtection="1"/>
    <xf numFmtId="224" fontId="5" fillId="0" borderId="68" xfId="2" applyNumberFormat="1" applyFont="1" applyFill="1" applyBorder="1" applyProtection="1"/>
    <xf numFmtId="225" fontId="5" fillId="0" borderId="266" xfId="2" applyNumberFormat="1" applyFont="1" applyFill="1" applyBorder="1" applyAlignment="1" applyProtection="1">
      <alignment horizontal="right"/>
      <protection locked="0"/>
    </xf>
    <xf numFmtId="225" fontId="5" fillId="0" borderId="205" xfId="2" applyNumberFormat="1" applyFont="1" applyFill="1" applyBorder="1" applyAlignment="1" applyProtection="1">
      <alignment horizontal="right"/>
      <protection locked="0"/>
    </xf>
    <xf numFmtId="226" fontId="5" fillId="0" borderId="79" xfId="12" applyNumberFormat="1" applyFont="1" applyFill="1" applyBorder="1" applyAlignment="1" applyProtection="1">
      <alignment horizontal="right" shrinkToFit="1"/>
    </xf>
    <xf numFmtId="227" fontId="5" fillId="0" borderId="204" xfId="12" applyNumberFormat="1" applyFont="1" applyFill="1" applyBorder="1" applyAlignment="1" applyProtection="1">
      <alignment horizontal="right" shrinkToFit="1"/>
    </xf>
    <xf numFmtId="191" fontId="5" fillId="0" borderId="239" xfId="2" applyNumberFormat="1" applyFont="1" applyFill="1" applyBorder="1" applyProtection="1"/>
    <xf numFmtId="191" fontId="5" fillId="0" borderId="68" xfId="2" applyNumberFormat="1" applyFont="1" applyFill="1" applyBorder="1" applyProtection="1"/>
    <xf numFmtId="207" fontId="5" fillId="3" borderId="8" xfId="2" applyNumberFormat="1" applyFont="1" applyFill="1" applyBorder="1" applyAlignment="1" applyProtection="1">
      <alignment horizontal="center" vertical="center"/>
    </xf>
    <xf numFmtId="207" fontId="5" fillId="3" borderId="9" xfId="2" applyNumberFormat="1" applyFont="1" applyFill="1" applyBorder="1" applyAlignment="1" applyProtection="1">
      <alignment horizontal="center" vertical="center"/>
    </xf>
    <xf numFmtId="207" fontId="5" fillId="3" borderId="9" xfId="2" applyNumberFormat="1" applyFont="1" applyFill="1" applyBorder="1" applyAlignment="1" applyProtection="1">
      <alignment horizontal="center" vertical="center" wrapText="1"/>
    </xf>
    <xf numFmtId="207" fontId="5" fillId="3" borderId="10" xfId="2" applyNumberFormat="1" applyFont="1" applyFill="1" applyBorder="1" applyAlignment="1" applyProtection="1">
      <alignment horizontal="center" vertical="center"/>
    </xf>
    <xf numFmtId="0" fontId="5" fillId="18" borderId="267" xfId="2" applyFont="1" applyFill="1" applyBorder="1" applyAlignment="1" applyProtection="1">
      <alignment horizontal="center" vertical="center" textRotation="255" wrapText="1" shrinkToFit="1"/>
    </xf>
    <xf numFmtId="207" fontId="5" fillId="3" borderId="11" xfId="2" applyNumberFormat="1" applyFont="1" applyFill="1" applyBorder="1" applyAlignment="1" applyProtection="1">
      <alignment horizontal="center" vertical="center"/>
    </xf>
    <xf numFmtId="207" fontId="5" fillId="3" borderId="12" xfId="2" applyNumberFormat="1" applyFont="1" applyFill="1" applyBorder="1" applyAlignment="1" applyProtection="1">
      <alignment horizontal="center" vertical="center"/>
    </xf>
    <xf numFmtId="207" fontId="5" fillId="3" borderId="13" xfId="2" applyNumberFormat="1" applyFont="1" applyFill="1" applyBorder="1" applyAlignment="1" applyProtection="1">
      <alignment horizontal="center" vertical="center"/>
    </xf>
    <xf numFmtId="207" fontId="5" fillId="0" borderId="0" xfId="2" applyNumberFormat="1" applyFont="1" applyFill="1" applyBorder="1" applyAlignment="1" applyProtection="1">
      <alignment vertical="center"/>
    </xf>
    <xf numFmtId="228" fontId="5" fillId="0" borderId="0" xfId="12" applyNumberFormat="1" applyFont="1" applyFill="1" applyBorder="1" applyAlignment="1" applyProtection="1">
      <alignment vertical="center"/>
    </xf>
    <xf numFmtId="0" fontId="5" fillId="3" borderId="3" xfId="2" applyFont="1" applyFill="1" applyBorder="1" applyAlignment="1" applyProtection="1">
      <alignment horizontal="center" vertical="center"/>
    </xf>
    <xf numFmtId="0" fontId="5" fillId="3" borderId="236" xfId="2" applyFont="1" applyFill="1" applyBorder="1" applyAlignment="1" applyProtection="1">
      <alignment horizontal="center" vertical="center"/>
    </xf>
    <xf numFmtId="0" fontId="5" fillId="3" borderId="3" xfId="2" applyFont="1" applyFill="1" applyBorder="1" applyAlignment="1" applyProtection="1">
      <alignment horizontal="center"/>
    </xf>
    <xf numFmtId="0" fontId="5" fillId="3" borderId="236" xfId="2" applyFont="1" applyFill="1" applyBorder="1" applyAlignment="1" applyProtection="1">
      <alignment horizontal="center"/>
    </xf>
    <xf numFmtId="207" fontId="5" fillId="0" borderId="96" xfId="2" applyNumberFormat="1" applyFont="1" applyFill="1" applyBorder="1" applyAlignment="1" applyProtection="1">
      <alignment horizontal="center" vertical="center"/>
    </xf>
    <xf numFmtId="207" fontId="5" fillId="0" borderId="249" xfId="2" applyNumberFormat="1" applyFont="1" applyFill="1" applyBorder="1" applyAlignment="1" applyProtection="1">
      <alignment horizontal="center" vertical="center"/>
    </xf>
    <xf numFmtId="207" fontId="5" fillId="0" borderId="48" xfId="2" applyNumberFormat="1" applyFont="1" applyFill="1" applyBorder="1" applyAlignment="1" applyProtection="1">
      <alignment vertical="center" shrinkToFit="1"/>
    </xf>
    <xf numFmtId="207" fontId="5" fillId="0" borderId="268" xfId="2" applyNumberFormat="1" applyFont="1" applyFill="1" applyBorder="1" applyAlignment="1" applyProtection="1">
      <alignment vertical="center" shrinkToFit="1"/>
    </xf>
    <xf numFmtId="0" fontId="5" fillId="0" borderId="269" xfId="2" applyFont="1" applyFill="1" applyBorder="1" applyAlignment="1" applyProtection="1">
      <alignment horizontal="left" indent="1"/>
    </xf>
    <xf numFmtId="224" fontId="5" fillId="0" borderId="77" xfId="2" applyNumberFormat="1" applyFont="1" applyFill="1" applyBorder="1" applyProtection="1"/>
    <xf numFmtId="229" fontId="5" fillId="0" borderId="77" xfId="2" applyNumberFormat="1" applyFont="1" applyFill="1" applyBorder="1" applyAlignment="1" applyProtection="1">
      <alignment horizontal="right"/>
      <protection locked="0"/>
    </xf>
    <xf numFmtId="229" fontId="5" fillId="0" borderId="265" xfId="2" applyNumberFormat="1" applyFont="1" applyFill="1" applyBorder="1" applyAlignment="1" applyProtection="1">
      <alignment horizontal="right"/>
      <protection locked="0"/>
    </xf>
    <xf numFmtId="0" fontId="5" fillId="0" borderId="269" xfId="2" applyFont="1" applyFill="1" applyBorder="1" applyAlignment="1" applyProtection="1"/>
    <xf numFmtId="207" fontId="5" fillId="0" borderId="97" xfId="2" applyNumberFormat="1" applyFont="1" applyFill="1" applyBorder="1" applyAlignment="1" applyProtection="1">
      <alignment horizontal="center" vertical="center"/>
    </xf>
    <xf numFmtId="207" fontId="5" fillId="0" borderId="49" xfId="2" applyNumberFormat="1" applyFont="1" applyFill="1" applyBorder="1" applyAlignment="1" applyProtection="1">
      <alignment horizontal="center" vertical="center"/>
    </xf>
    <xf numFmtId="207" fontId="5" fillId="0" borderId="15" xfId="2" applyNumberFormat="1" applyFont="1" applyFill="1" applyBorder="1" applyAlignment="1" applyProtection="1">
      <alignment vertical="center" shrinkToFit="1"/>
    </xf>
    <xf numFmtId="207" fontId="5" fillId="0" borderId="16" xfId="2" applyNumberFormat="1" applyFont="1" applyFill="1" applyBorder="1" applyAlignment="1" applyProtection="1">
      <alignment vertical="center" shrinkToFit="1"/>
    </xf>
    <xf numFmtId="0" fontId="5" fillId="0" borderId="252" xfId="2" applyFont="1" applyFill="1" applyBorder="1" applyAlignment="1" applyProtection="1">
      <alignment horizontal="left" indent="1"/>
      <protection locked="0"/>
    </xf>
    <xf numFmtId="0" fontId="5" fillId="0" borderId="253" xfId="2" applyFont="1" applyFill="1" applyBorder="1" applyAlignment="1" applyProtection="1">
      <alignment horizontal="center" shrinkToFit="1"/>
    </xf>
    <xf numFmtId="0" fontId="5" fillId="0" borderId="270" xfId="2" applyFont="1" applyFill="1" applyBorder="1" applyAlignment="1" applyProtection="1">
      <alignment horizontal="center" shrinkToFit="1"/>
    </xf>
    <xf numFmtId="227" fontId="5" fillId="0" borderId="79" xfId="12" applyNumberFormat="1" applyFont="1" applyFill="1" applyBorder="1" applyAlignment="1" applyProtection="1">
      <alignment horizontal="right" shrinkToFit="1"/>
    </xf>
    <xf numFmtId="227" fontId="5" fillId="0" borderId="240" xfId="2" applyNumberFormat="1" applyFont="1" applyFill="1" applyBorder="1" applyAlignment="1" applyProtection="1">
      <alignment horizontal="right" shrinkToFit="1"/>
      <protection locked="0"/>
    </xf>
    <xf numFmtId="0" fontId="5" fillId="0" borderId="252" xfId="2" applyFont="1" applyFill="1" applyBorder="1" applyAlignment="1" applyProtection="1">
      <protection locked="0"/>
    </xf>
    <xf numFmtId="202" fontId="5" fillId="13" borderId="271" xfId="2" applyNumberFormat="1" applyFont="1" applyFill="1" applyBorder="1" applyAlignment="1" applyProtection="1">
      <alignment horizontal="center" vertical="center" wrapText="1"/>
      <protection locked="0"/>
    </xf>
    <xf numFmtId="202" fontId="5" fillId="13" borderId="147" xfId="2" applyNumberFormat="1" applyFont="1" applyFill="1" applyBorder="1" applyAlignment="1" applyProtection="1">
      <alignment horizontal="center" vertical="center" wrapText="1"/>
      <protection locked="0"/>
    </xf>
    <xf numFmtId="202" fontId="5" fillId="14" borderId="272" xfId="2" applyNumberFormat="1" applyFont="1" applyFill="1" applyBorder="1" applyAlignment="1" applyProtection="1">
      <alignment horizontal="center" vertical="center" wrapText="1"/>
      <protection locked="0"/>
    </xf>
    <xf numFmtId="202" fontId="5" fillId="14" borderId="147" xfId="2" applyNumberFormat="1" applyFont="1" applyFill="1" applyBorder="1" applyAlignment="1" applyProtection="1">
      <alignment horizontal="center" vertical="center" wrapText="1"/>
      <protection locked="0"/>
    </xf>
    <xf numFmtId="202" fontId="5" fillId="15" borderId="272" xfId="2" applyNumberFormat="1" applyFont="1" applyFill="1" applyBorder="1" applyAlignment="1" applyProtection="1">
      <alignment horizontal="center" vertical="center" wrapText="1"/>
      <protection locked="0"/>
    </xf>
    <xf numFmtId="202" fontId="5" fillId="15" borderId="147" xfId="2" applyNumberFormat="1" applyFont="1" applyFill="1" applyBorder="1" applyAlignment="1" applyProtection="1">
      <alignment horizontal="center" vertical="center" wrapText="1"/>
      <protection locked="0"/>
    </xf>
    <xf numFmtId="202" fontId="18" fillId="19" borderId="272" xfId="2" applyNumberFormat="1" applyFont="1" applyFill="1" applyBorder="1" applyAlignment="1" applyProtection="1">
      <alignment horizontal="center" vertical="center" wrapText="1"/>
      <protection locked="0"/>
    </xf>
    <xf numFmtId="202" fontId="18" fillId="19" borderId="147" xfId="2" applyNumberFormat="1" applyFont="1" applyFill="1" applyBorder="1" applyAlignment="1" applyProtection="1">
      <alignment horizontal="center" vertical="center" wrapText="1"/>
      <protection locked="0"/>
    </xf>
    <xf numFmtId="202" fontId="18" fillId="19" borderId="127" xfId="2" applyNumberFormat="1" applyFont="1" applyFill="1" applyBorder="1" applyAlignment="1" applyProtection="1">
      <alignment horizontal="center" vertical="center" wrapText="1"/>
      <protection locked="0"/>
    </xf>
    <xf numFmtId="181" fontId="5" fillId="0" borderId="0" xfId="2" applyNumberFormat="1" applyFont="1" applyFill="1" applyBorder="1" applyAlignment="1" applyProtection="1">
      <alignment vertical="center"/>
      <protection locked="0"/>
    </xf>
    <xf numFmtId="207" fontId="5" fillId="0" borderId="273" xfId="2" applyNumberFormat="1" applyFont="1" applyFill="1" applyBorder="1" applyAlignment="1" applyProtection="1">
      <alignment horizontal="center" vertical="center"/>
    </xf>
    <xf numFmtId="207" fontId="5" fillId="0" borderId="274" xfId="2" applyNumberFormat="1" applyFont="1" applyFill="1" applyBorder="1" applyAlignment="1" applyProtection="1">
      <alignment horizontal="center" vertical="center"/>
    </xf>
    <xf numFmtId="207" fontId="5" fillId="0" borderId="50" xfId="2" applyNumberFormat="1" applyFont="1" applyFill="1" applyBorder="1" applyAlignment="1" applyProtection="1">
      <alignment vertical="center" shrinkToFit="1"/>
    </xf>
    <xf numFmtId="207" fontId="5" fillId="0" borderId="275" xfId="2" applyNumberFormat="1" applyFont="1" applyFill="1" applyBorder="1" applyAlignment="1" applyProtection="1">
      <alignment vertical="center" shrinkToFit="1"/>
    </xf>
    <xf numFmtId="3" fontId="5" fillId="0" borderId="133" xfId="12" applyNumberFormat="1" applyFont="1" applyFill="1" applyBorder="1" applyAlignment="1" applyProtection="1">
      <alignment shrinkToFit="1"/>
    </xf>
    <xf numFmtId="0" fontId="5" fillId="18" borderId="276" xfId="2" applyFont="1" applyFill="1" applyBorder="1" applyAlignment="1" applyProtection="1">
      <alignment horizontal="center" vertical="center" textRotation="255" wrapText="1" shrinkToFit="1"/>
    </xf>
    <xf numFmtId="0" fontId="5" fillId="18" borderId="277" xfId="2" applyFont="1" applyFill="1" applyBorder="1" applyAlignment="1" applyProtection="1">
      <alignment horizontal="center" vertical="center" textRotation="255" wrapText="1" shrinkToFit="1"/>
    </xf>
    <xf numFmtId="207" fontId="5" fillId="0" borderId="15" xfId="2" applyNumberFormat="1" applyFont="1" applyFill="1" applyBorder="1" applyAlignment="1" applyProtection="1">
      <alignment vertical="center" shrinkToFit="1"/>
      <protection locked="0"/>
    </xf>
    <xf numFmtId="230" fontId="5" fillId="0" borderId="0" xfId="12" applyNumberFormat="1" applyFont="1" applyFill="1" applyBorder="1" applyAlignment="1" applyProtection="1">
      <alignment vertical="center"/>
    </xf>
    <xf numFmtId="207" fontId="5" fillId="0" borderId="0" xfId="2" applyNumberFormat="1" applyFont="1" applyFill="1" applyBorder="1" applyAlignment="1" applyProtection="1">
      <alignment vertical="center" shrinkToFit="1"/>
    </xf>
    <xf numFmtId="193" fontId="5" fillId="0" borderId="133" xfId="12" applyNumberFormat="1" applyFont="1" applyFill="1" applyBorder="1" applyAlignment="1" applyProtection="1">
      <alignment shrinkToFit="1"/>
    </xf>
    <xf numFmtId="0" fontId="5" fillId="0" borderId="278" xfId="2" applyFont="1" applyFill="1" applyBorder="1" applyAlignment="1" applyProtection="1">
      <alignment horizontal="left" indent="1"/>
    </xf>
    <xf numFmtId="0" fontId="5" fillId="0" borderId="279" xfId="2" applyFont="1" applyFill="1" applyBorder="1" applyProtection="1"/>
    <xf numFmtId="0" fontId="5" fillId="0" borderId="279" xfId="2" applyFont="1" applyFill="1" applyBorder="1" applyAlignment="1" applyProtection="1">
      <alignment horizontal="right"/>
    </xf>
    <xf numFmtId="177" fontId="5" fillId="0" borderId="280" xfId="2" applyNumberFormat="1" applyFont="1" applyFill="1" applyBorder="1" applyAlignment="1" applyProtection="1">
      <alignment horizontal="right" shrinkToFit="1"/>
    </xf>
    <xf numFmtId="3" fontId="5" fillId="0" borderId="279" xfId="12" applyNumberFormat="1" applyFont="1" applyFill="1" applyBorder="1" applyAlignment="1" applyProtection="1">
      <alignment horizontal="right" shrinkToFit="1"/>
    </xf>
    <xf numFmtId="177" fontId="5" fillId="0" borderId="281" xfId="2" applyNumberFormat="1" applyFont="1" applyFill="1" applyBorder="1" applyAlignment="1" applyProtection="1">
      <alignment horizontal="right" shrinkToFit="1"/>
    </xf>
    <xf numFmtId="3" fontId="5" fillId="0" borderId="282" xfId="12" applyNumberFormat="1" applyFont="1" applyFill="1" applyBorder="1" applyAlignment="1" applyProtection="1">
      <alignment horizontal="right" shrinkToFit="1"/>
    </xf>
    <xf numFmtId="183" fontId="5" fillId="0" borderId="280" xfId="2" applyNumberFormat="1" applyFont="1" applyFill="1" applyBorder="1" applyAlignment="1" applyProtection="1">
      <alignment horizontal="right" shrinkToFit="1"/>
    </xf>
    <xf numFmtId="177" fontId="5" fillId="0" borderId="283" xfId="2" applyNumberFormat="1" applyFont="1" applyFill="1" applyBorder="1" applyAlignment="1" applyProtection="1">
      <alignment horizontal="right" shrinkToFit="1"/>
    </xf>
    <xf numFmtId="183" fontId="5" fillId="0" borderId="281" xfId="2" applyNumberFormat="1" applyFont="1" applyFill="1" applyBorder="1" applyAlignment="1" applyProtection="1">
      <alignment horizontal="right" shrinkToFit="1"/>
    </xf>
    <xf numFmtId="3" fontId="5" fillId="0" borderId="284" xfId="12" applyNumberFormat="1" applyFont="1" applyFill="1" applyBorder="1" applyAlignment="1" applyProtection="1">
      <alignment horizontal="right" shrinkToFit="1"/>
    </xf>
    <xf numFmtId="0" fontId="5" fillId="0" borderId="285" xfId="2" applyNumberFormat="1" applyFont="1" applyFill="1" applyBorder="1" applyAlignment="1" applyProtection="1">
      <alignment vertical="center"/>
    </xf>
    <xf numFmtId="0" fontId="5" fillId="0" borderId="285" xfId="2" applyNumberFormat="1" applyFont="1" applyFill="1" applyBorder="1" applyAlignment="1" applyProtection="1">
      <alignment vertical="center"/>
      <protection locked="0"/>
    </xf>
    <xf numFmtId="0" fontId="5" fillId="0" borderId="285" xfId="12" applyNumberFormat="1" applyFont="1" applyFill="1" applyBorder="1" applyAlignment="1" applyProtection="1">
      <alignment vertical="center"/>
    </xf>
    <xf numFmtId="3" fontId="18" fillId="0" borderId="0" xfId="12" applyNumberFormat="1" applyFont="1" applyFill="1" applyBorder="1" applyAlignment="1" applyProtection="1">
      <alignment vertical="center"/>
    </xf>
    <xf numFmtId="0" fontId="5" fillId="0" borderId="286" xfId="2" applyFont="1" applyFill="1" applyBorder="1" applyAlignment="1" applyProtection="1">
      <alignment horizontal="left" indent="1"/>
    </xf>
    <xf numFmtId="0" fontId="5" fillId="0" borderId="287" xfId="2" applyFont="1" applyFill="1" applyBorder="1" applyProtection="1"/>
    <xf numFmtId="0" fontId="5" fillId="0" borderId="287" xfId="2" applyFont="1" applyFill="1" applyBorder="1" applyAlignment="1" applyProtection="1">
      <alignment horizontal="right"/>
    </xf>
    <xf numFmtId="2" fontId="5" fillId="0" borderId="288" xfId="2" applyNumberFormat="1" applyFont="1" applyFill="1" applyBorder="1" applyAlignment="1" applyProtection="1">
      <alignment horizontal="centerContinuous" shrinkToFit="1"/>
    </xf>
    <xf numFmtId="230" fontId="5" fillId="0" borderId="287" xfId="12" applyNumberFormat="1" applyFont="1" applyFill="1" applyBorder="1" applyAlignment="1" applyProtection="1">
      <alignment horizontal="centerContinuous" shrinkToFit="1"/>
    </xf>
    <xf numFmtId="2" fontId="5" fillId="0" borderId="289" xfId="2" applyNumberFormat="1" applyFont="1" applyFill="1" applyBorder="1" applyAlignment="1" applyProtection="1">
      <alignment horizontal="centerContinuous" shrinkToFit="1"/>
    </xf>
    <xf numFmtId="230" fontId="5" fillId="0" borderId="290" xfId="12" applyNumberFormat="1" applyFont="1" applyFill="1" applyBorder="1" applyAlignment="1" applyProtection="1">
      <alignment horizontal="centerContinuous" shrinkToFit="1"/>
    </xf>
    <xf numFmtId="2" fontId="5" fillId="0" borderId="287" xfId="2" applyNumberFormat="1" applyFont="1" applyFill="1" applyBorder="1" applyAlignment="1" applyProtection="1">
      <alignment horizontal="center"/>
    </xf>
    <xf numFmtId="2" fontId="5" fillId="0" borderId="291" xfId="2" applyNumberFormat="1" applyFont="1" applyFill="1" applyBorder="1" applyAlignment="1" applyProtection="1">
      <alignment horizontal="center"/>
    </xf>
    <xf numFmtId="230" fontId="5" fillId="0" borderId="133" xfId="12" applyNumberFormat="1" applyFont="1" applyFill="1" applyBorder="1" applyAlignment="1" applyProtection="1">
      <alignment horizontal="centerContinuous" shrinkToFit="1"/>
    </xf>
    <xf numFmtId="183" fontId="5" fillId="0" borderId="292" xfId="2" applyNumberFormat="1" applyFont="1" applyFill="1" applyBorder="1" applyAlignment="1" applyProtection="1">
      <alignment horizontal="centerContinuous" shrinkToFit="1"/>
    </xf>
    <xf numFmtId="2" fontId="5" fillId="0" borderId="287" xfId="2" applyNumberFormat="1" applyFont="1" applyFill="1" applyBorder="1" applyAlignment="1" applyProtection="1">
      <alignment horizontal="centerContinuous" shrinkToFit="1"/>
    </xf>
    <xf numFmtId="183" fontId="5" fillId="0" borderId="293" xfId="2" applyNumberFormat="1" applyFont="1" applyFill="1" applyBorder="1" applyAlignment="1" applyProtection="1">
      <alignment shrinkToFit="1"/>
    </xf>
    <xf numFmtId="2" fontId="5" fillId="0" borderId="294" xfId="2" applyNumberFormat="1" applyFont="1" applyFill="1" applyBorder="1" applyAlignment="1" applyProtection="1">
      <alignment horizontal="center" shrinkToFit="1"/>
    </xf>
    <xf numFmtId="2" fontId="5" fillId="0" borderId="295" xfId="2" applyNumberFormat="1" applyFont="1" applyFill="1" applyBorder="1" applyAlignment="1" applyProtection="1">
      <alignment horizontal="center" shrinkToFit="1"/>
    </xf>
    <xf numFmtId="230" fontId="5" fillId="0" borderId="0" xfId="12" applyNumberFormat="1" applyFont="1" applyFill="1" applyBorder="1" applyAlignment="1" applyProtection="1">
      <alignment vertical="center" shrinkToFit="1"/>
    </xf>
    <xf numFmtId="0" fontId="18" fillId="0" borderId="296" xfId="2" applyFont="1" applyFill="1" applyBorder="1" applyAlignment="1" applyProtection="1">
      <alignment horizontal="left" indent="1"/>
    </xf>
    <xf numFmtId="0" fontId="18" fillId="0" borderId="224" xfId="2" applyFont="1" applyFill="1" applyBorder="1" applyProtection="1"/>
    <xf numFmtId="2" fontId="18" fillId="0" borderId="224" xfId="2" applyNumberFormat="1" applyFont="1" applyFill="1" applyBorder="1" applyAlignment="1" applyProtection="1">
      <alignment horizontal="center"/>
    </xf>
    <xf numFmtId="230" fontId="18" fillId="0" borderId="224" xfId="2" applyNumberFormat="1" applyFont="1" applyFill="1" applyBorder="1" applyAlignment="1" applyProtection="1">
      <alignment horizontal="left"/>
    </xf>
    <xf numFmtId="2" fontId="18" fillId="0" borderId="195" xfId="2" applyNumberFormat="1" applyFont="1" applyFill="1" applyBorder="1" applyAlignment="1" applyProtection="1">
      <alignment horizontal="right" shrinkToFit="1"/>
    </xf>
    <xf numFmtId="3" fontId="18" fillId="0" borderId="225" xfId="12" applyNumberFormat="1" applyFont="1" applyFill="1" applyBorder="1" applyAlignment="1" applyProtection="1">
      <alignment horizontal="right" shrinkToFit="1"/>
    </xf>
    <xf numFmtId="2" fontId="18" fillId="0" borderId="245" xfId="2" applyNumberFormat="1" applyFont="1" applyFill="1" applyBorder="1" applyAlignment="1" applyProtection="1">
      <alignment horizontal="right" shrinkToFit="1"/>
    </xf>
    <xf numFmtId="2" fontId="18" fillId="0" borderId="245" xfId="2" applyNumberFormat="1" applyFont="1" applyFill="1" applyBorder="1" applyAlignment="1" applyProtection="1">
      <alignment shrinkToFit="1"/>
    </xf>
    <xf numFmtId="3" fontId="18" fillId="0" borderId="297" xfId="12" applyNumberFormat="1" applyFont="1" applyFill="1" applyBorder="1" applyAlignment="1" applyProtection="1">
      <alignment shrinkToFit="1"/>
    </xf>
    <xf numFmtId="2" fontId="18" fillId="0" borderId="224" xfId="2" applyNumberFormat="1" applyFont="1" applyFill="1" applyBorder="1" applyAlignment="1" applyProtection="1">
      <alignment shrinkToFit="1"/>
    </xf>
    <xf numFmtId="3" fontId="18" fillId="0" borderId="298" xfId="12" applyNumberFormat="1" applyFont="1" applyFill="1" applyBorder="1" applyAlignment="1" applyProtection="1">
      <alignment shrinkToFit="1"/>
    </xf>
    <xf numFmtId="3" fontId="18" fillId="0" borderId="133" xfId="12" applyNumberFormat="1" applyFont="1" applyFill="1" applyBorder="1" applyAlignment="1" applyProtection="1">
      <alignment shrinkToFit="1"/>
    </xf>
    <xf numFmtId="183" fontId="18" fillId="0" borderId="299" xfId="2" applyNumberFormat="1" applyFont="1" applyFill="1" applyBorder="1" applyAlignment="1" applyProtection="1">
      <alignment horizontal="right" shrinkToFit="1"/>
    </xf>
    <xf numFmtId="2" fontId="18" fillId="0" borderId="224" xfId="2" applyNumberFormat="1" applyFont="1" applyFill="1" applyBorder="1" applyAlignment="1" applyProtection="1">
      <alignment horizontal="right" shrinkToFit="1"/>
    </xf>
    <xf numFmtId="183" fontId="18" fillId="0" borderId="228" xfId="2" applyNumberFormat="1" applyFont="1" applyFill="1" applyBorder="1" applyAlignment="1" applyProtection="1">
      <alignment horizontal="right" shrinkToFit="1"/>
    </xf>
    <xf numFmtId="3" fontId="18" fillId="0" borderId="229" xfId="12" applyNumberFormat="1" applyFont="1" applyFill="1" applyBorder="1" applyAlignment="1" applyProtection="1">
      <alignment horizontal="right" shrinkToFit="1"/>
    </xf>
    <xf numFmtId="183" fontId="18" fillId="0" borderId="224" xfId="2" applyNumberFormat="1" applyFont="1" applyFill="1" applyBorder="1" applyAlignment="1" applyProtection="1">
      <alignment horizontal="right" shrinkToFit="1"/>
    </xf>
    <xf numFmtId="183" fontId="18" fillId="0" borderId="245" xfId="2" applyNumberFormat="1" applyFont="1" applyFill="1" applyBorder="1" applyAlignment="1" applyProtection="1">
      <alignment horizontal="right" shrinkToFit="1"/>
    </xf>
    <xf numFmtId="183" fontId="18" fillId="0" borderId="245" xfId="2" applyNumberFormat="1" applyFont="1" applyFill="1" applyBorder="1" applyAlignment="1" applyProtection="1">
      <alignment horizontal="center" shrinkToFit="1"/>
    </xf>
    <xf numFmtId="3" fontId="18" fillId="0" borderId="226" xfId="12" applyNumberFormat="1" applyFont="1" applyFill="1" applyBorder="1" applyAlignment="1" applyProtection="1">
      <alignment horizontal="right" shrinkToFit="1"/>
    </xf>
    <xf numFmtId="3" fontId="18" fillId="0" borderId="0" xfId="12" applyNumberFormat="1" applyFont="1" applyFill="1" applyBorder="1" applyAlignment="1" applyProtection="1">
      <alignment vertical="center" shrinkToFit="1"/>
    </xf>
    <xf numFmtId="0" fontId="5" fillId="18" borderId="300" xfId="2" applyFont="1" applyFill="1" applyBorder="1" applyAlignment="1" applyProtection="1">
      <alignment horizontal="center" vertical="center" textRotation="255" wrapText="1"/>
    </xf>
    <xf numFmtId="0" fontId="5" fillId="3" borderId="2" xfId="2" applyFont="1" applyFill="1" applyBorder="1" applyAlignment="1" applyProtection="1">
      <alignment horizontal="left" vertical="center"/>
    </xf>
    <xf numFmtId="3" fontId="5" fillId="3" borderId="3" xfId="12" applyNumberFormat="1" applyFont="1" applyFill="1" applyBorder="1" applyAlignment="1" applyProtection="1">
      <alignment horizontal="center" vertical="center" shrinkToFit="1"/>
    </xf>
    <xf numFmtId="3" fontId="5" fillId="3" borderId="301" xfId="12" applyNumberFormat="1" applyFont="1" applyFill="1" applyBorder="1" applyAlignment="1" applyProtection="1">
      <alignment vertical="center" shrinkToFit="1"/>
    </xf>
    <xf numFmtId="177" fontId="5" fillId="3" borderId="3" xfId="2" applyNumberFormat="1" applyFont="1" applyFill="1" applyBorder="1" applyAlignment="1" applyProtection="1">
      <alignment horizontal="center" vertical="center" shrinkToFit="1"/>
    </xf>
    <xf numFmtId="3" fontId="5" fillId="3" borderId="302" xfId="12" applyNumberFormat="1" applyFont="1" applyFill="1" applyBorder="1" applyAlignment="1" applyProtection="1">
      <alignment vertical="center" shrinkToFit="1"/>
    </xf>
    <xf numFmtId="183" fontId="5" fillId="3" borderId="248" xfId="2" applyNumberFormat="1" applyFont="1" applyFill="1" applyBorder="1" applyAlignment="1" applyProtection="1">
      <alignment horizontal="center" vertical="center" shrinkToFit="1"/>
    </xf>
    <xf numFmtId="3" fontId="5" fillId="3" borderId="236" xfId="12" applyNumberFormat="1" applyFont="1" applyFill="1" applyBorder="1" applyAlignment="1" applyProtection="1">
      <alignment horizontal="center" vertical="center" shrinkToFit="1"/>
    </xf>
    <xf numFmtId="183" fontId="5" fillId="3" borderId="232" xfId="2" applyNumberFormat="1" applyFont="1" applyFill="1" applyBorder="1" applyAlignment="1" applyProtection="1">
      <alignment horizontal="center" vertical="center" shrinkToFit="1"/>
    </xf>
    <xf numFmtId="3" fontId="5" fillId="3" borderId="4" xfId="12" applyNumberFormat="1" applyFont="1" applyFill="1" applyBorder="1" applyAlignment="1" applyProtection="1">
      <alignment horizontal="center" vertical="center" shrinkToFit="1"/>
    </xf>
    <xf numFmtId="0" fontId="5" fillId="18" borderId="36" xfId="2" applyFont="1" applyFill="1" applyBorder="1" applyAlignment="1" applyProtection="1">
      <alignment horizontal="center" vertical="center" textRotation="255" wrapText="1"/>
    </xf>
    <xf numFmtId="0" fontId="5" fillId="0" borderId="189" xfId="2" applyNumberFormat="1" applyFont="1" applyFill="1" applyBorder="1" applyAlignment="1" applyProtection="1">
      <alignment horizontal="left" shrinkToFit="1"/>
      <protection locked="0"/>
    </xf>
    <xf numFmtId="0" fontId="5" fillId="0" borderId="189" xfId="2" applyFont="1" applyFill="1" applyBorder="1" applyAlignment="1" applyProtection="1">
      <alignment horizontal="left" shrinkToFit="1"/>
    </xf>
    <xf numFmtId="0" fontId="5" fillId="0" borderId="192" xfId="2" applyNumberFormat="1" applyFont="1" applyFill="1" applyBorder="1" applyAlignment="1" applyProtection="1">
      <alignment shrinkToFit="1"/>
      <protection locked="0"/>
    </xf>
    <xf numFmtId="193" fontId="5" fillId="0" borderId="303" xfId="12" applyNumberFormat="1" applyFont="1" applyFill="1" applyBorder="1" applyAlignment="1" applyProtection="1">
      <alignment shrinkToFit="1"/>
    </xf>
    <xf numFmtId="0" fontId="5" fillId="0" borderId="128" xfId="2" applyNumberFormat="1" applyFont="1" applyFill="1" applyBorder="1" applyAlignment="1" applyProtection="1">
      <alignment shrinkToFit="1"/>
      <protection locked="0"/>
    </xf>
    <xf numFmtId="193" fontId="5" fillId="0" borderId="129" xfId="12" applyNumberFormat="1" applyFont="1" applyFill="1" applyBorder="1" applyAlignment="1" applyProtection="1">
      <alignment shrinkToFit="1"/>
    </xf>
    <xf numFmtId="183" fontId="5" fillId="13" borderId="304" xfId="2" applyNumberFormat="1" applyFont="1" applyFill="1" applyBorder="1" applyAlignment="1" applyProtection="1">
      <alignment horizontal="center" wrapText="1" shrinkToFit="1"/>
      <protection locked="0"/>
    </xf>
    <xf numFmtId="183" fontId="5" fillId="13" borderId="305" xfId="2" applyNumberFormat="1" applyFont="1" applyFill="1" applyBorder="1" applyAlignment="1" applyProtection="1">
      <alignment horizontal="center" wrapText="1" shrinkToFit="1"/>
      <protection locked="0"/>
    </xf>
    <xf numFmtId="183" fontId="5" fillId="14" borderId="198" xfId="2" applyNumberFormat="1" applyFont="1" applyFill="1" applyBorder="1" applyAlignment="1" applyProtection="1">
      <alignment horizontal="center" wrapText="1" shrinkToFit="1"/>
      <protection locked="0"/>
    </xf>
    <xf numFmtId="183" fontId="5" fillId="14" borderId="305" xfId="2" applyNumberFormat="1" applyFont="1" applyFill="1" applyBorder="1" applyAlignment="1" applyProtection="1">
      <alignment horizontal="center" wrapText="1" shrinkToFit="1"/>
      <protection locked="0"/>
    </xf>
    <xf numFmtId="183" fontId="5" fillId="15" borderId="198" xfId="2" applyNumberFormat="1" applyFont="1" applyFill="1" applyBorder="1" applyAlignment="1" applyProtection="1">
      <alignment horizontal="center" wrapText="1" shrinkToFit="1"/>
      <protection locked="0"/>
    </xf>
    <xf numFmtId="183" fontId="5" fillId="15" borderId="305" xfId="2" applyNumberFormat="1" applyFont="1" applyFill="1" applyBorder="1" applyAlignment="1" applyProtection="1">
      <alignment horizontal="center" wrapText="1" shrinkToFit="1"/>
      <protection locked="0"/>
    </xf>
    <xf numFmtId="183" fontId="18" fillId="19" borderId="198" xfId="2" applyNumberFormat="1" applyFont="1" applyFill="1" applyBorder="1" applyAlignment="1" applyProtection="1">
      <alignment horizontal="center" wrapText="1" shrinkToFit="1"/>
      <protection locked="0"/>
    </xf>
    <xf numFmtId="183" fontId="18" fillId="19" borderId="305" xfId="2" applyNumberFormat="1" applyFont="1" applyFill="1" applyBorder="1" applyAlignment="1" applyProtection="1">
      <alignment horizontal="center" wrapText="1" shrinkToFit="1"/>
      <protection locked="0"/>
    </xf>
    <xf numFmtId="183" fontId="18" fillId="19" borderId="125" xfId="2" applyNumberFormat="1" applyFont="1" applyFill="1" applyBorder="1" applyAlignment="1" applyProtection="1">
      <alignment horizontal="center" wrapText="1" shrinkToFit="1"/>
      <protection locked="0"/>
    </xf>
    <xf numFmtId="207" fontId="5" fillId="0" borderId="133" xfId="2" applyNumberFormat="1" applyFont="1" applyFill="1" applyBorder="1" applyAlignment="1" applyProtection="1">
      <alignment horizontal="right" shrinkToFit="1"/>
    </xf>
    <xf numFmtId="0" fontId="5" fillId="0" borderId="79" xfId="2" applyFont="1" applyFill="1" applyBorder="1" applyAlignment="1" applyProtection="1">
      <alignment shrinkToFit="1"/>
    </xf>
    <xf numFmtId="200" fontId="5" fillId="0" borderId="79" xfId="2" applyNumberFormat="1" applyFont="1" applyFill="1" applyBorder="1" applyProtection="1"/>
    <xf numFmtId="231" fontId="5" fillId="0" borderId="79" xfId="2" applyNumberFormat="1" applyFont="1" applyFill="1" applyBorder="1" applyAlignment="1" applyProtection="1">
      <alignment horizontal="center" shrinkToFit="1"/>
    </xf>
    <xf numFmtId="0" fontId="5" fillId="0" borderId="79" xfId="2" applyFont="1" applyFill="1" applyBorder="1" applyAlignment="1" applyProtection="1">
      <alignment horizontal="left" shrinkToFit="1"/>
      <protection locked="0"/>
    </xf>
    <xf numFmtId="232" fontId="5" fillId="0" borderId="201" xfId="2" applyNumberFormat="1" applyFont="1" applyFill="1" applyBorder="1" applyAlignment="1" applyProtection="1">
      <alignment horizontal="right" shrinkToFit="1"/>
      <protection locked="0"/>
    </xf>
    <xf numFmtId="232" fontId="5" fillId="0" borderId="203" xfId="2" applyNumberFormat="1" applyFont="1" applyFill="1" applyBorder="1" applyAlignment="1" applyProtection="1">
      <alignment horizontal="right" shrinkToFit="1"/>
      <protection locked="0"/>
    </xf>
    <xf numFmtId="232" fontId="5" fillId="0" borderId="203" xfId="2" applyNumberFormat="1" applyFont="1" applyFill="1" applyBorder="1" applyAlignment="1" applyProtection="1">
      <alignment shrinkToFit="1"/>
      <protection locked="0"/>
    </xf>
    <xf numFmtId="193" fontId="5" fillId="0" borderId="306" xfId="12" applyNumberFormat="1" applyFont="1" applyFill="1" applyBorder="1" applyAlignment="1" applyProtection="1">
      <alignment shrinkToFit="1"/>
    </xf>
    <xf numFmtId="232" fontId="5" fillId="0" borderId="68" xfId="2" applyNumberFormat="1" applyFont="1" applyFill="1" applyBorder="1" applyAlignment="1" applyProtection="1">
      <alignment shrinkToFit="1"/>
      <protection locked="0"/>
    </xf>
    <xf numFmtId="193" fontId="5" fillId="0" borderId="204" xfId="12" applyNumberFormat="1" applyFont="1" applyFill="1" applyBorder="1" applyAlignment="1" applyProtection="1">
      <alignment shrinkToFit="1"/>
    </xf>
    <xf numFmtId="233" fontId="5" fillId="0" borderId="68" xfId="2" applyNumberFormat="1" applyFont="1" applyFill="1" applyBorder="1" applyAlignment="1" applyProtection="1">
      <alignment horizontal="right" shrinkToFit="1"/>
      <protection locked="0"/>
    </xf>
    <xf numFmtId="183" fontId="5" fillId="13" borderId="179" xfId="2" applyNumberFormat="1" applyFont="1" applyFill="1" applyBorder="1" applyAlignment="1" applyProtection="1">
      <alignment horizontal="center" wrapText="1" shrinkToFit="1"/>
      <protection locked="0"/>
    </xf>
    <xf numFmtId="183" fontId="5" fillId="13" borderId="206" xfId="2" applyNumberFormat="1" applyFont="1" applyFill="1" applyBorder="1" applyAlignment="1" applyProtection="1">
      <alignment horizontal="center" wrapText="1" shrinkToFit="1"/>
      <protection locked="0"/>
    </xf>
    <xf numFmtId="183" fontId="5" fillId="14" borderId="157" xfId="2" applyNumberFormat="1" applyFont="1" applyFill="1" applyBorder="1" applyAlignment="1" applyProtection="1">
      <alignment horizontal="center" wrapText="1" shrinkToFit="1"/>
      <protection locked="0"/>
    </xf>
    <xf numFmtId="183" fontId="5" fillId="14" borderId="206" xfId="2" applyNumberFormat="1" applyFont="1" applyFill="1" applyBorder="1" applyAlignment="1" applyProtection="1">
      <alignment horizontal="center" wrapText="1" shrinkToFit="1"/>
      <protection locked="0"/>
    </xf>
    <xf numFmtId="183" fontId="5" fillId="15" borderId="157" xfId="2" applyNumberFormat="1" applyFont="1" applyFill="1" applyBorder="1" applyAlignment="1" applyProtection="1">
      <alignment horizontal="center" wrapText="1" shrinkToFit="1"/>
      <protection locked="0"/>
    </xf>
    <xf numFmtId="183" fontId="5" fillId="15" borderId="206" xfId="2" applyNumberFormat="1" applyFont="1" applyFill="1" applyBorder="1" applyAlignment="1" applyProtection="1">
      <alignment horizontal="center" wrapText="1" shrinkToFit="1"/>
      <protection locked="0"/>
    </xf>
    <xf numFmtId="183" fontId="18" fillId="19" borderId="157" xfId="2" applyNumberFormat="1" applyFont="1" applyFill="1" applyBorder="1" applyAlignment="1" applyProtection="1">
      <alignment horizontal="center" wrapText="1" shrinkToFit="1"/>
      <protection locked="0"/>
    </xf>
    <xf numFmtId="183" fontId="18" fillId="19" borderId="206" xfId="2" applyNumberFormat="1" applyFont="1" applyFill="1" applyBorder="1" applyAlignment="1" applyProtection="1">
      <alignment horizontal="center" wrapText="1" shrinkToFit="1"/>
      <protection locked="0"/>
    </xf>
    <xf numFmtId="183" fontId="18" fillId="19" borderId="38" xfId="2" applyNumberFormat="1" applyFont="1" applyFill="1" applyBorder="1" applyAlignment="1" applyProtection="1">
      <alignment horizontal="center" wrapText="1" shrinkToFit="1"/>
      <protection locked="0"/>
    </xf>
    <xf numFmtId="202" fontId="5" fillId="0" borderId="133" xfId="2" applyNumberFormat="1" applyFont="1" applyFill="1" applyBorder="1" applyAlignment="1" applyProtection="1"/>
    <xf numFmtId="0" fontId="5" fillId="18" borderId="116" xfId="2" applyFont="1" applyFill="1" applyBorder="1" applyAlignment="1" applyProtection="1">
      <alignment horizontal="center" vertical="center" textRotation="255" wrapText="1"/>
    </xf>
    <xf numFmtId="0" fontId="5" fillId="0" borderId="0" xfId="2" applyFont="1" applyFill="1" applyBorder="1" applyAlignment="1" applyProtection="1">
      <alignment shrinkToFit="1"/>
      <protection locked="0"/>
    </xf>
    <xf numFmtId="0" fontId="5" fillId="0" borderId="0" xfId="2" applyFont="1" applyFill="1" applyBorder="1" applyAlignment="1" applyProtection="1">
      <alignment horizontal="left" shrinkToFit="1"/>
    </xf>
    <xf numFmtId="0" fontId="5" fillId="0" borderId="255" xfId="2" applyNumberFormat="1" applyFont="1" applyFill="1" applyBorder="1" applyAlignment="1" applyProtection="1">
      <alignment shrinkToFit="1"/>
      <protection locked="0"/>
    </xf>
    <xf numFmtId="193" fontId="5" fillId="0" borderId="307" xfId="12" applyNumberFormat="1" applyFont="1" applyFill="1" applyBorder="1" applyAlignment="1" applyProtection="1">
      <alignment shrinkToFit="1"/>
    </xf>
    <xf numFmtId="0" fontId="5" fillId="0" borderId="40" xfId="2" applyNumberFormat="1" applyFont="1" applyFill="1" applyBorder="1" applyAlignment="1" applyProtection="1">
      <alignment shrinkToFit="1"/>
      <protection locked="0"/>
    </xf>
    <xf numFmtId="193" fontId="5" fillId="0" borderId="38" xfId="12" applyNumberFormat="1" applyFont="1" applyFill="1" applyBorder="1" applyAlignment="1" applyProtection="1">
      <alignment shrinkToFit="1"/>
    </xf>
    <xf numFmtId="2" fontId="5" fillId="3" borderId="8" xfId="2" applyNumberFormat="1" applyFont="1" applyFill="1" applyBorder="1" applyAlignment="1" applyProtection="1">
      <alignment horizontal="center" vertical="center"/>
    </xf>
    <xf numFmtId="2" fontId="5" fillId="3" borderId="9" xfId="2" applyNumberFormat="1" applyFont="1" applyFill="1" applyBorder="1" applyAlignment="1" applyProtection="1">
      <alignment horizontal="center" vertical="center" wrapText="1"/>
    </xf>
    <xf numFmtId="2" fontId="5" fillId="3" borderId="9" xfId="2" applyNumberFormat="1" applyFont="1" applyFill="1" applyBorder="1" applyAlignment="1" applyProtection="1">
      <alignment horizontal="center" vertical="center"/>
    </xf>
    <xf numFmtId="2" fontId="5" fillId="3" borderId="6" xfId="2" applyNumberFormat="1" applyFont="1" applyFill="1" applyBorder="1" applyAlignment="1" applyProtection="1">
      <alignment horizontal="center" vertical="center" wrapText="1"/>
    </xf>
    <xf numFmtId="2" fontId="5" fillId="3" borderId="7" xfId="2" applyNumberFormat="1" applyFont="1" applyFill="1" applyBorder="1" applyAlignment="1" applyProtection="1">
      <alignment horizontal="center" vertical="center" wrapText="1"/>
    </xf>
    <xf numFmtId="0" fontId="18" fillId="0" borderId="0" xfId="2" applyFont="1" applyFill="1" applyBorder="1" applyAlignment="1" applyProtection="1">
      <alignment vertical="center"/>
    </xf>
    <xf numFmtId="3" fontId="5" fillId="0" borderId="133" xfId="12" applyNumberFormat="1" applyFont="1" applyFill="1" applyBorder="1" applyAlignment="1" applyProtection="1">
      <alignment horizontal="center" shrinkToFit="1"/>
    </xf>
    <xf numFmtId="0" fontId="18" fillId="0" borderId="308" xfId="2" applyFont="1" applyFill="1" applyBorder="1" applyAlignment="1" applyProtection="1">
      <alignment horizontal="left" indent="1"/>
    </xf>
    <xf numFmtId="0" fontId="18" fillId="0" borderId="309" xfId="2" applyFont="1" applyFill="1" applyBorder="1" applyProtection="1"/>
    <xf numFmtId="0" fontId="18" fillId="0" borderId="310" xfId="2" applyFont="1" applyFill="1" applyBorder="1" applyProtection="1"/>
    <xf numFmtId="0" fontId="18" fillId="0" borderId="310" xfId="2" applyFont="1" applyFill="1" applyBorder="1" applyAlignment="1" applyProtection="1"/>
    <xf numFmtId="0" fontId="18" fillId="0" borderId="311" xfId="2" applyFont="1" applyFill="1" applyBorder="1" applyAlignment="1" applyProtection="1">
      <alignment horizontal="right" shrinkToFit="1"/>
    </xf>
    <xf numFmtId="3" fontId="18" fillId="0" borderId="310" xfId="12" applyNumberFormat="1" applyFont="1" applyFill="1" applyBorder="1" applyAlignment="1" applyProtection="1">
      <alignment horizontal="right" shrinkToFit="1"/>
    </xf>
    <xf numFmtId="0" fontId="18" fillId="0" borderId="312" xfId="2" applyFont="1" applyFill="1" applyBorder="1" applyAlignment="1" applyProtection="1">
      <alignment horizontal="right" shrinkToFit="1"/>
    </xf>
    <xf numFmtId="0" fontId="18" fillId="0" borderId="312" xfId="2" applyFont="1" applyFill="1" applyBorder="1" applyAlignment="1" applyProtection="1">
      <alignment shrinkToFit="1"/>
    </xf>
    <xf numFmtId="3" fontId="18" fillId="0" borderId="313" xfId="12" applyNumberFormat="1" applyFont="1" applyFill="1" applyBorder="1" applyAlignment="1" applyProtection="1">
      <alignment shrinkToFit="1"/>
    </xf>
    <xf numFmtId="0" fontId="18" fillId="0" borderId="314" xfId="2" applyFont="1" applyFill="1" applyBorder="1" applyAlignment="1" applyProtection="1">
      <alignment shrinkToFit="1"/>
    </xf>
    <xf numFmtId="3" fontId="18" fillId="0" borderId="315" xfId="12" applyNumberFormat="1" applyFont="1" applyFill="1" applyBorder="1" applyAlignment="1" applyProtection="1">
      <alignment shrinkToFit="1"/>
    </xf>
    <xf numFmtId="183" fontId="18" fillId="0" borderId="311" xfId="2" applyNumberFormat="1" applyFont="1" applyFill="1" applyBorder="1" applyAlignment="1" applyProtection="1">
      <alignment horizontal="right" shrinkToFit="1"/>
    </xf>
    <xf numFmtId="0" fontId="18" fillId="0" borderId="314" xfId="2" applyFont="1" applyFill="1" applyBorder="1" applyAlignment="1" applyProtection="1">
      <alignment horizontal="right" shrinkToFit="1"/>
    </xf>
    <xf numFmtId="183" fontId="18" fillId="0" borderId="312" xfId="2" applyNumberFormat="1" applyFont="1" applyFill="1" applyBorder="1" applyAlignment="1" applyProtection="1">
      <alignment horizontal="right" shrinkToFit="1"/>
    </xf>
    <xf numFmtId="3" fontId="18" fillId="0" borderId="316" xfId="12" applyNumberFormat="1" applyFont="1" applyFill="1" applyBorder="1" applyAlignment="1" applyProtection="1">
      <alignment horizontal="right" shrinkToFit="1"/>
    </xf>
    <xf numFmtId="183" fontId="5" fillId="0" borderId="311" xfId="2" applyNumberFormat="1" applyFont="1" applyFill="1" applyBorder="1" applyAlignment="1" applyProtection="1">
      <alignment horizontal="center" wrapText="1" shrinkToFit="1"/>
      <protection locked="0"/>
    </xf>
    <xf numFmtId="3" fontId="5" fillId="0" borderId="317" xfId="2" applyNumberFormat="1" applyFont="1" applyFill="1" applyBorder="1" applyAlignment="1" applyProtection="1">
      <alignment wrapText="1" shrinkToFit="1"/>
      <protection locked="0"/>
    </xf>
    <xf numFmtId="183" fontId="5" fillId="0" borderId="312" xfId="2" applyNumberFormat="1" applyFont="1" applyFill="1" applyBorder="1" applyAlignment="1" applyProtection="1">
      <alignment horizontal="center" wrapText="1" shrinkToFit="1"/>
      <protection locked="0"/>
    </xf>
    <xf numFmtId="183" fontId="18" fillId="0" borderId="312" xfId="2" applyNumberFormat="1" applyFont="1" applyFill="1" applyBorder="1" applyAlignment="1" applyProtection="1">
      <alignment horizontal="center" shrinkToFit="1"/>
      <protection locked="0"/>
    </xf>
    <xf numFmtId="3" fontId="18" fillId="0" borderId="317" xfId="2" applyNumberFormat="1" applyFont="1" applyFill="1" applyBorder="1" applyAlignment="1" applyProtection="1">
      <alignment wrapText="1" shrinkToFit="1"/>
      <protection locked="0"/>
    </xf>
    <xf numFmtId="3" fontId="18" fillId="0" borderId="315" xfId="2" applyNumberFormat="1" applyFont="1" applyFill="1" applyBorder="1" applyAlignment="1" applyProtection="1">
      <alignment wrapText="1" shrinkToFit="1"/>
      <protection locked="0"/>
    </xf>
    <xf numFmtId="2" fontId="5" fillId="3" borderId="318" xfId="2" applyNumberFormat="1" applyFont="1" applyFill="1" applyBorder="1" applyAlignment="1" applyProtection="1">
      <alignment horizontal="center" vertical="center"/>
    </xf>
    <xf numFmtId="2" fontId="5" fillId="3" borderId="50" xfId="2" applyNumberFormat="1" applyFont="1" applyFill="1" applyBorder="1" applyAlignment="1" applyProtection="1">
      <alignment horizontal="center" vertical="center"/>
    </xf>
    <xf numFmtId="2" fontId="5" fillId="3" borderId="15" xfId="2" applyNumberFormat="1" applyFont="1" applyFill="1" applyBorder="1" applyAlignment="1" applyProtection="1">
      <alignment horizontal="center" vertical="center" wrapText="1"/>
    </xf>
    <xf numFmtId="2" fontId="5" fillId="3" borderId="16" xfId="2" applyNumberFormat="1" applyFont="1" applyFill="1" applyBorder="1" applyAlignment="1" applyProtection="1">
      <alignment horizontal="center" vertical="center" wrapText="1"/>
    </xf>
    <xf numFmtId="1" fontId="18" fillId="0" borderId="0" xfId="2" applyNumberFormat="1" applyFont="1" applyFill="1" applyBorder="1" applyAlignment="1" applyProtection="1">
      <alignment vertical="center"/>
    </xf>
    <xf numFmtId="0" fontId="18" fillId="20" borderId="319" xfId="2" applyFont="1" applyFill="1" applyBorder="1" applyAlignment="1" applyProtection="1">
      <alignment horizontal="left" indent="1"/>
    </xf>
    <xf numFmtId="0" fontId="18" fillId="20" borderId="320" xfId="2" applyFont="1" applyFill="1" applyBorder="1" applyProtection="1"/>
    <xf numFmtId="0" fontId="18" fillId="20" borderId="321" xfId="2" applyFont="1" applyFill="1" applyBorder="1" applyProtection="1"/>
    <xf numFmtId="0" fontId="18" fillId="20" borderId="321" xfId="2" applyFont="1" applyFill="1" applyBorder="1" applyAlignment="1" applyProtection="1"/>
    <xf numFmtId="0" fontId="18" fillId="20" borderId="321" xfId="2" applyFont="1" applyFill="1" applyBorder="1" applyAlignment="1" applyProtection="1">
      <alignment horizontal="right"/>
    </xf>
    <xf numFmtId="1" fontId="18" fillId="20" borderId="322" xfId="2" applyNumberFormat="1" applyFont="1" applyFill="1" applyBorder="1" applyAlignment="1" applyProtection="1">
      <alignment horizontal="right" shrinkToFit="1"/>
    </xf>
    <xf numFmtId="3" fontId="18" fillId="20" borderId="321" xfId="12" applyNumberFormat="1" applyFont="1" applyFill="1" applyBorder="1" applyAlignment="1" applyProtection="1">
      <alignment horizontal="right" shrinkToFit="1"/>
    </xf>
    <xf numFmtId="1" fontId="18" fillId="20" borderId="323" xfId="2" applyNumberFormat="1" applyFont="1" applyFill="1" applyBorder="1" applyAlignment="1" applyProtection="1">
      <alignment horizontal="right" shrinkToFit="1"/>
    </xf>
    <xf numFmtId="1" fontId="18" fillId="20" borderId="323" xfId="2" applyNumberFormat="1" applyFont="1" applyFill="1" applyBorder="1" applyAlignment="1" applyProtection="1">
      <alignment shrinkToFit="1"/>
    </xf>
    <xf numFmtId="3" fontId="18" fillId="20" borderId="324" xfId="12" applyNumberFormat="1" applyFont="1" applyFill="1" applyBorder="1" applyAlignment="1" applyProtection="1">
      <alignment shrinkToFit="1"/>
    </xf>
    <xf numFmtId="1" fontId="18" fillId="20" borderId="325" xfId="2" applyNumberFormat="1" applyFont="1" applyFill="1" applyBorder="1" applyAlignment="1" applyProtection="1">
      <alignment shrinkToFit="1"/>
    </xf>
    <xf numFmtId="3" fontId="18" fillId="20" borderId="326" xfId="12" applyNumberFormat="1" applyFont="1" applyFill="1" applyBorder="1" applyAlignment="1" applyProtection="1">
      <alignment shrinkToFit="1"/>
    </xf>
    <xf numFmtId="183" fontId="18" fillId="20" borderId="322" xfId="2" applyNumberFormat="1" applyFont="1" applyFill="1" applyBorder="1" applyAlignment="1" applyProtection="1">
      <alignment horizontal="right" shrinkToFit="1"/>
    </xf>
    <xf numFmtId="1" fontId="18" fillId="20" borderId="325" xfId="2" applyNumberFormat="1" applyFont="1" applyFill="1" applyBorder="1" applyAlignment="1" applyProtection="1">
      <alignment horizontal="right" shrinkToFit="1"/>
    </xf>
    <xf numFmtId="183" fontId="18" fillId="20" borderId="281" xfId="2" applyNumberFormat="1" applyFont="1" applyFill="1" applyBorder="1" applyAlignment="1" applyProtection="1">
      <alignment horizontal="right" shrinkToFit="1"/>
    </xf>
    <xf numFmtId="3" fontId="18" fillId="20" borderId="327" xfId="12" applyNumberFormat="1" applyFont="1" applyFill="1" applyBorder="1" applyAlignment="1" applyProtection="1">
      <alignment horizontal="right" shrinkToFit="1"/>
    </xf>
    <xf numFmtId="183" fontId="18" fillId="20" borderId="325" xfId="2" applyNumberFormat="1" applyFont="1" applyFill="1" applyBorder="1" applyAlignment="1" applyProtection="1">
      <alignment horizontal="right" shrinkToFit="1"/>
    </xf>
    <xf numFmtId="3" fontId="18" fillId="20" borderId="321" xfId="12" applyNumberFormat="1" applyFont="1" applyFill="1" applyBorder="1" applyAlignment="1" applyProtection="1">
      <alignment wrapText="1" shrinkToFit="1"/>
    </xf>
    <xf numFmtId="183" fontId="18" fillId="20" borderId="323" xfId="2" applyNumberFormat="1" applyFont="1" applyFill="1" applyBorder="1" applyAlignment="1" applyProtection="1">
      <alignment horizontal="right" shrinkToFit="1"/>
    </xf>
    <xf numFmtId="183" fontId="18" fillId="20" borderId="323" xfId="2" applyNumberFormat="1" applyFont="1" applyFill="1" applyBorder="1" applyAlignment="1" applyProtection="1">
      <alignment horizontal="center" shrinkToFit="1"/>
    </xf>
    <xf numFmtId="3" fontId="18" fillId="20" borderId="326" xfId="12" applyNumberFormat="1" applyFont="1" applyFill="1" applyBorder="1" applyAlignment="1" applyProtection="1">
      <alignment wrapText="1" shrinkToFit="1"/>
    </xf>
    <xf numFmtId="202" fontId="5" fillId="0" borderId="11" xfId="2" applyNumberFormat="1" applyFont="1" applyFill="1" applyBorder="1" applyAlignment="1" applyProtection="1">
      <alignment vertical="center"/>
    </xf>
    <xf numFmtId="0" fontId="5" fillId="0" borderId="12" xfId="2" applyNumberFormat="1" applyFont="1" applyFill="1" applyBorder="1" applyAlignment="1" applyProtection="1">
      <alignment vertical="center"/>
      <protection locked="0"/>
    </xf>
    <xf numFmtId="234" fontId="5" fillId="0" borderId="12" xfId="12" applyNumberFormat="1" applyFont="1" applyFill="1" applyBorder="1" applyAlignment="1" applyProtection="1">
      <alignment vertical="center"/>
    </xf>
    <xf numFmtId="226" fontId="5" fillId="0" borderId="12" xfId="12" applyNumberFormat="1" applyFont="1" applyFill="1" applyBorder="1" applyAlignment="1" applyProtection="1">
      <alignment vertical="center"/>
    </xf>
    <xf numFmtId="226" fontId="5" fillId="0" borderId="13" xfId="2" applyNumberFormat="1" applyFont="1" applyFill="1" applyBorder="1" applyAlignment="1" applyProtection="1">
      <alignment vertical="center"/>
    </xf>
    <xf numFmtId="0" fontId="5" fillId="20" borderId="328" xfId="2" applyFont="1" applyFill="1" applyBorder="1" applyAlignment="1" applyProtection="1">
      <alignment horizontal="left" indent="1"/>
    </xf>
    <xf numFmtId="0" fontId="5" fillId="20" borderId="329" xfId="2" applyFont="1" applyFill="1" applyBorder="1" applyProtection="1"/>
    <xf numFmtId="0" fontId="5" fillId="20" borderId="182" xfId="2" applyFont="1" applyFill="1" applyBorder="1" applyProtection="1"/>
    <xf numFmtId="0" fontId="5" fillId="20" borderId="182" xfId="2" applyFont="1" applyFill="1" applyBorder="1" applyAlignment="1" applyProtection="1">
      <alignment horizontal="right"/>
    </xf>
    <xf numFmtId="0" fontId="5" fillId="20" borderId="182" xfId="2" applyFont="1" applyFill="1" applyBorder="1" applyAlignment="1" applyProtection="1"/>
    <xf numFmtId="38" fontId="5" fillId="20" borderId="182" xfId="12" applyFont="1" applyFill="1" applyBorder="1" applyAlignment="1" applyProtection="1">
      <alignment horizontal="centerContinuous"/>
    </xf>
    <xf numFmtId="3" fontId="5" fillId="20" borderId="330" xfId="2" applyNumberFormat="1" applyFont="1" applyFill="1" applyBorder="1" applyAlignment="1" applyProtection="1">
      <alignment horizontal="right" shrinkToFit="1"/>
    </xf>
    <xf numFmtId="207" fontId="5" fillId="20" borderId="331" xfId="2" applyNumberFormat="1" applyFont="1" applyFill="1" applyBorder="1" applyAlignment="1" applyProtection="1">
      <alignment horizontal="right" shrinkToFit="1"/>
    </xf>
    <xf numFmtId="0" fontId="5" fillId="20" borderId="162" xfId="2" applyFont="1" applyFill="1" applyBorder="1" applyAlignment="1" applyProtection="1">
      <alignment horizontal="right" shrinkToFit="1"/>
    </xf>
    <xf numFmtId="207" fontId="5" fillId="20" borderId="332" xfId="2" applyNumberFormat="1" applyFont="1" applyFill="1" applyBorder="1" applyAlignment="1" applyProtection="1">
      <alignment horizontal="right" shrinkToFit="1"/>
    </xf>
    <xf numFmtId="183" fontId="5" fillId="20" borderId="330" xfId="2" applyNumberFormat="1" applyFont="1" applyFill="1" applyBorder="1" applyAlignment="1" applyProtection="1">
      <alignment horizontal="right" shrinkToFit="1"/>
    </xf>
    <xf numFmtId="183" fontId="5" fillId="20" borderId="162" xfId="2" applyNumberFormat="1" applyFont="1" applyFill="1" applyBorder="1" applyAlignment="1" applyProtection="1">
      <alignment horizontal="right" shrinkToFit="1"/>
    </xf>
    <xf numFmtId="207" fontId="5" fillId="20" borderId="333" xfId="2" applyNumberFormat="1" applyFont="1" applyFill="1" applyBorder="1" applyAlignment="1" applyProtection="1">
      <alignment horizontal="right" shrinkToFit="1"/>
    </xf>
    <xf numFmtId="3" fontId="18" fillId="0" borderId="0" xfId="12" applyNumberFormat="1" applyFont="1" applyFill="1" applyBorder="1" applyAlignment="1" applyProtection="1">
      <alignment vertical="center"/>
    </xf>
    <xf numFmtId="202" fontId="18" fillId="0" borderId="0" xfId="2" applyNumberFormat="1" applyFont="1" applyFill="1" applyBorder="1" applyAlignment="1" applyProtection="1">
      <alignment vertical="center"/>
      <protection locked="0"/>
    </xf>
    <xf numFmtId="207" fontId="18" fillId="0" borderId="0" xfId="2" applyNumberFormat="1" applyFont="1" applyFill="1" applyBorder="1" applyAlignment="1" applyProtection="1">
      <alignment vertical="center"/>
      <protection locked="0"/>
    </xf>
    <xf numFmtId="0" fontId="18" fillId="0" borderId="0" xfId="2" applyNumberFormat="1" applyFont="1" applyFill="1" applyBorder="1" applyAlignment="1" applyProtection="1">
      <alignment vertical="center"/>
      <protection locked="0"/>
    </xf>
    <xf numFmtId="0" fontId="5" fillId="0" borderId="0" xfId="2" applyFont="1" applyFill="1" applyAlignment="1" applyProtection="1">
      <alignment horizontal="right"/>
      <protection locked="0"/>
    </xf>
    <xf numFmtId="0" fontId="5" fillId="0" borderId="38" xfId="2" applyFont="1" applyFill="1" applyBorder="1" applyProtection="1">
      <protection locked="0"/>
    </xf>
    <xf numFmtId="202" fontId="5" fillId="0" borderId="11" xfId="2" applyNumberFormat="1" applyFont="1" applyFill="1" applyBorder="1" applyAlignment="1" applyProtection="1">
      <alignment vertical="center"/>
      <protection locked="0"/>
    </xf>
    <xf numFmtId="0" fontId="5" fillId="0" borderId="12" xfId="2" applyFont="1" applyFill="1" applyBorder="1" applyAlignment="1" applyProtection="1">
      <alignment vertical="center"/>
      <protection locked="0"/>
    </xf>
    <xf numFmtId="2" fontId="18" fillId="0" borderId="0" xfId="2" applyNumberFormat="1" applyFont="1" applyFill="1" applyBorder="1" applyAlignment="1" applyProtection="1">
      <alignment vertical="center" shrinkToFit="1"/>
    </xf>
    <xf numFmtId="193" fontId="18" fillId="0" borderId="0" xfId="12" applyNumberFormat="1" applyFont="1" applyFill="1" applyBorder="1" applyAlignment="1" applyProtection="1">
      <alignment vertical="center"/>
    </xf>
    <xf numFmtId="0" fontId="5" fillId="3" borderId="75" xfId="2" applyFont="1" applyFill="1" applyBorder="1" applyAlignment="1" applyProtection="1">
      <alignment horizontal="left" vertical="center" wrapText="1" indent="1"/>
      <protection locked="0"/>
    </xf>
    <xf numFmtId="0" fontId="5" fillId="3" borderId="34" xfId="2" applyFont="1" applyFill="1" applyBorder="1" applyAlignment="1" applyProtection="1">
      <alignment horizontal="left" vertical="center" indent="1"/>
      <protection locked="0"/>
    </xf>
    <xf numFmtId="0" fontId="5" fillId="3" borderId="34" xfId="2" applyFont="1" applyFill="1" applyBorder="1" applyAlignment="1" applyProtection="1">
      <alignment vertical="center"/>
      <protection locked="0"/>
    </xf>
    <xf numFmtId="0" fontId="5" fillId="3" borderId="334" xfId="2" applyFont="1" applyFill="1" applyBorder="1" applyAlignment="1" applyProtection="1">
      <alignment vertical="center"/>
      <protection locked="0"/>
    </xf>
    <xf numFmtId="183" fontId="5" fillId="3" borderId="335" xfId="2" applyNumberFormat="1" applyFont="1" applyFill="1" applyBorder="1" applyAlignment="1" applyProtection="1">
      <alignment horizontal="centerContinuous"/>
      <protection locked="0"/>
    </xf>
    <xf numFmtId="202" fontId="5" fillId="3" borderId="336" xfId="2" applyNumberFormat="1" applyFont="1" applyFill="1" applyBorder="1" applyAlignment="1" applyProtection="1">
      <alignment horizontal="centerContinuous"/>
    </xf>
    <xf numFmtId="183" fontId="5" fillId="3" borderId="337" xfId="2" applyNumberFormat="1" applyFont="1" applyFill="1" applyBorder="1" applyAlignment="1" applyProtection="1">
      <alignment horizontal="centerContinuous"/>
      <protection locked="0"/>
    </xf>
    <xf numFmtId="202" fontId="5" fillId="3" borderId="338" xfId="2" applyNumberFormat="1" applyFont="1" applyFill="1" applyBorder="1" applyAlignment="1" applyProtection="1">
      <alignment horizontal="centerContinuous"/>
    </xf>
    <xf numFmtId="202" fontId="5" fillId="16" borderId="339" xfId="2" applyNumberFormat="1" applyFont="1" applyFill="1" applyBorder="1" applyAlignment="1" applyProtection="1">
      <alignment horizontal="centerContinuous"/>
      <protection locked="0"/>
    </xf>
    <xf numFmtId="202" fontId="5" fillId="16" borderId="22" xfId="2" applyNumberFormat="1" applyFont="1" applyFill="1" applyBorder="1" applyAlignment="1" applyProtection="1">
      <alignment horizontal="centerContinuous"/>
      <protection locked="0"/>
    </xf>
    <xf numFmtId="202" fontId="5" fillId="16" borderId="340" xfId="2" applyNumberFormat="1" applyFont="1" applyFill="1" applyBorder="1" applyAlignment="1" applyProtection="1">
      <alignment horizontal="centerContinuous"/>
      <protection locked="0"/>
    </xf>
    <xf numFmtId="202" fontId="5" fillId="17" borderId="341" xfId="2" applyNumberFormat="1" applyFont="1" applyFill="1" applyBorder="1" applyAlignment="1" applyProtection="1">
      <alignment horizontal="centerContinuous"/>
      <protection locked="0"/>
    </xf>
    <xf numFmtId="202" fontId="5" fillId="17" borderId="22" xfId="2" applyNumberFormat="1" applyFont="1" applyFill="1" applyBorder="1" applyAlignment="1" applyProtection="1">
      <alignment horizontal="centerContinuous"/>
      <protection locked="0"/>
    </xf>
    <xf numFmtId="202" fontId="5" fillId="17" borderId="342" xfId="2" applyNumberFormat="1" applyFont="1" applyFill="1" applyBorder="1" applyAlignment="1" applyProtection="1">
      <alignment horizontal="centerContinuous"/>
      <protection locked="0"/>
    </xf>
    <xf numFmtId="202" fontId="5" fillId="13" borderId="336" xfId="2" applyNumberFormat="1" applyFont="1" applyFill="1" applyBorder="1" applyAlignment="1" applyProtection="1">
      <alignment horizontal="centerContinuous"/>
      <protection locked="0"/>
    </xf>
    <xf numFmtId="202" fontId="5" fillId="13" borderId="336" xfId="2" applyNumberFormat="1" applyFont="1" applyFill="1" applyBorder="1" applyAlignment="1" applyProtection="1">
      <alignment horizontal="centerContinuous"/>
    </xf>
    <xf numFmtId="202" fontId="5" fillId="14" borderId="337" xfId="2" applyNumberFormat="1" applyFont="1" applyFill="1" applyBorder="1" applyAlignment="1" applyProtection="1">
      <alignment horizontal="centerContinuous"/>
      <protection locked="0"/>
    </xf>
    <xf numFmtId="202" fontId="5" fillId="14" borderId="336" xfId="2" applyNumberFormat="1" applyFont="1" applyFill="1" applyBorder="1" applyAlignment="1" applyProtection="1">
      <alignment horizontal="centerContinuous"/>
    </xf>
    <xf numFmtId="202" fontId="5" fillId="15" borderId="337" xfId="2" applyNumberFormat="1" applyFont="1" applyFill="1" applyBorder="1" applyAlignment="1" applyProtection="1">
      <alignment horizontal="centerContinuous"/>
      <protection locked="0"/>
    </xf>
    <xf numFmtId="202" fontId="5" fillId="15" borderId="336" xfId="2" applyNumberFormat="1" applyFont="1" applyFill="1" applyBorder="1" applyAlignment="1" applyProtection="1">
      <alignment horizontal="centerContinuous"/>
    </xf>
    <xf numFmtId="202" fontId="5" fillId="3" borderId="337" xfId="2" applyNumberFormat="1" applyFont="1" applyFill="1" applyBorder="1" applyAlignment="1" applyProtection="1">
      <alignment horizontal="centerContinuous"/>
      <protection locked="0"/>
    </xf>
    <xf numFmtId="0" fontId="5" fillId="3" borderId="96" xfId="2" applyFont="1" applyFill="1" applyBorder="1" applyAlignment="1" applyProtection="1">
      <alignment horizontal="left" vertical="center" indent="1"/>
      <protection locked="0"/>
    </xf>
    <xf numFmtId="0" fontId="5" fillId="3" borderId="0" xfId="2" applyFont="1" applyFill="1" applyBorder="1" applyAlignment="1" applyProtection="1">
      <alignment horizontal="left" vertical="center" indent="1"/>
      <protection locked="0"/>
    </xf>
    <xf numFmtId="0" fontId="5" fillId="3" borderId="0" xfId="2" applyFont="1" applyFill="1" applyBorder="1" applyAlignment="1" applyProtection="1">
      <alignment vertical="center"/>
      <protection locked="0"/>
    </xf>
    <xf numFmtId="0" fontId="5" fillId="3" borderId="257" xfId="2" applyFont="1" applyFill="1" applyBorder="1" applyAlignment="1" applyProtection="1">
      <alignment vertical="center"/>
      <protection locked="0"/>
    </xf>
    <xf numFmtId="177" fontId="5" fillId="3" borderId="254" xfId="2" applyNumberFormat="1" applyFont="1" applyFill="1" applyBorder="1" applyAlignment="1" applyProtection="1">
      <alignment horizontal="center" vertical="center" shrinkToFit="1"/>
    </xf>
    <xf numFmtId="3" fontId="5" fillId="3" borderId="206" xfId="12" applyNumberFormat="1" applyFont="1" applyFill="1" applyBorder="1" applyAlignment="1" applyProtection="1">
      <alignment horizontal="center" vertical="center" shrinkToFit="1"/>
    </xf>
    <xf numFmtId="177" fontId="5" fillId="3" borderId="343" xfId="2" applyNumberFormat="1" applyFont="1" applyFill="1" applyBorder="1" applyAlignment="1" applyProtection="1">
      <alignment horizontal="center" vertical="center" shrinkToFit="1"/>
    </xf>
    <xf numFmtId="177" fontId="5" fillId="3" borderId="40" xfId="2" applyNumberFormat="1" applyFont="1" applyFill="1" applyBorder="1" applyAlignment="1" applyProtection="1">
      <alignment horizontal="center" vertical="center" shrinkToFit="1"/>
    </xf>
    <xf numFmtId="3" fontId="5" fillId="3" borderId="38" xfId="12" applyNumberFormat="1" applyFont="1" applyFill="1" applyBorder="1" applyAlignment="1" applyProtection="1">
      <alignment horizontal="center" vertical="center" shrinkToFit="1"/>
    </xf>
    <xf numFmtId="183" fontId="5" fillId="3" borderId="254" xfId="2" applyNumberFormat="1" applyFont="1" applyFill="1" applyBorder="1" applyAlignment="1" applyProtection="1">
      <alignment horizontal="center" vertical="center" shrinkToFit="1"/>
    </xf>
    <xf numFmtId="183" fontId="5" fillId="3" borderId="343" xfId="2" applyNumberFormat="1" applyFont="1" applyFill="1" applyBorder="1" applyAlignment="1" applyProtection="1">
      <alignment horizontal="center" vertical="center" shrinkToFit="1"/>
    </xf>
    <xf numFmtId="3" fontId="5" fillId="3" borderId="257" xfId="12" applyNumberFormat="1" applyFont="1" applyFill="1" applyBorder="1" applyAlignment="1" applyProtection="1">
      <alignment horizontal="center" vertical="center" shrinkToFit="1"/>
    </xf>
    <xf numFmtId="183" fontId="5" fillId="3" borderId="40" xfId="2" applyNumberFormat="1" applyFont="1" applyFill="1" applyBorder="1" applyAlignment="1" applyProtection="1">
      <alignment horizontal="center" vertical="center" shrinkToFit="1"/>
    </xf>
    <xf numFmtId="0" fontId="5" fillId="0" borderId="76" xfId="2" applyFont="1" applyFill="1" applyBorder="1" applyAlignment="1" applyProtection="1">
      <alignment horizontal="left" indent="2"/>
    </xf>
    <xf numFmtId="0" fontId="5" fillId="0" borderId="77" xfId="2" applyFont="1" applyFill="1" applyBorder="1" applyAlignment="1" applyProtection="1"/>
    <xf numFmtId="235" fontId="5" fillId="0" borderId="77" xfId="2" applyNumberFormat="1" applyFont="1" applyFill="1" applyBorder="1" applyAlignment="1" applyProtection="1">
      <alignment horizontal="center" shrinkToFit="1"/>
    </xf>
    <xf numFmtId="0" fontId="5" fillId="0" borderId="265" xfId="2" applyFont="1" applyFill="1" applyBorder="1" applyAlignment="1" applyProtection="1">
      <alignment shrinkToFit="1"/>
    </xf>
    <xf numFmtId="207" fontId="5" fillId="0" borderId="344" xfId="2" applyNumberFormat="1" applyFont="1" applyFill="1" applyBorder="1" applyAlignment="1" applyProtection="1">
      <alignment horizontal="right" shrinkToFit="1"/>
    </xf>
    <xf numFmtId="193" fontId="5" fillId="0" borderId="345" xfId="12" applyNumberFormat="1" applyFont="1" applyFill="1" applyBorder="1" applyAlignment="1" applyProtection="1">
      <alignment horizontal="right" shrinkToFit="1"/>
    </xf>
    <xf numFmtId="207" fontId="5" fillId="0" borderId="346" xfId="2" applyNumberFormat="1" applyFont="1" applyFill="1" applyBorder="1" applyAlignment="1" applyProtection="1">
      <alignment horizontal="right" shrinkToFit="1"/>
    </xf>
    <xf numFmtId="183" fontId="5" fillId="0" borderId="344" xfId="2" applyNumberFormat="1" applyFont="1" applyFill="1" applyBorder="1" applyAlignment="1" applyProtection="1">
      <alignment horizontal="right" shrinkToFit="1"/>
    </xf>
    <xf numFmtId="207" fontId="5" fillId="0" borderId="64" xfId="2" applyNumberFormat="1" applyFont="1" applyFill="1" applyBorder="1" applyAlignment="1" applyProtection="1">
      <alignment horizontal="right" shrinkToFit="1"/>
    </xf>
    <xf numFmtId="183" fontId="5" fillId="0" borderId="346" xfId="2" applyNumberFormat="1" applyFont="1" applyFill="1" applyBorder="1" applyAlignment="1" applyProtection="1">
      <alignment horizontal="right" shrinkToFit="1"/>
    </xf>
    <xf numFmtId="193" fontId="5" fillId="0" borderId="265" xfId="12" applyNumberFormat="1" applyFont="1" applyFill="1" applyBorder="1" applyAlignment="1" applyProtection="1">
      <alignment horizontal="right" shrinkToFit="1"/>
    </xf>
    <xf numFmtId="183" fontId="5" fillId="0" borderId="344" xfId="2" applyNumberFormat="1" applyFont="1" applyFill="1" applyBorder="1" applyAlignment="1" applyProtection="1">
      <alignment horizontal="center" shrinkToFit="1"/>
    </xf>
    <xf numFmtId="3" fontId="5" fillId="0" borderId="347" xfId="2" applyNumberFormat="1" applyFont="1" applyFill="1" applyBorder="1" applyAlignment="1" applyProtection="1">
      <alignment shrinkToFit="1"/>
    </xf>
    <xf numFmtId="183" fontId="5" fillId="0" borderId="346" xfId="2" applyNumberFormat="1" applyFont="1" applyFill="1" applyBorder="1" applyAlignment="1" applyProtection="1">
      <alignment horizontal="center" shrinkToFit="1"/>
    </xf>
    <xf numFmtId="3" fontId="5" fillId="0" borderId="66" xfId="2" applyNumberFormat="1" applyFont="1" applyFill="1" applyBorder="1" applyAlignment="1" applyProtection="1">
      <alignment shrinkToFit="1"/>
    </xf>
    <xf numFmtId="1" fontId="5" fillId="0" borderId="0" xfId="2" applyNumberFormat="1" applyFont="1" applyFill="1" applyBorder="1" applyAlignment="1" applyProtection="1">
      <alignment vertical="center"/>
    </xf>
    <xf numFmtId="204" fontId="5" fillId="0" borderId="34" xfId="2" applyNumberFormat="1" applyFont="1" applyFill="1" applyBorder="1" applyAlignment="1" applyProtection="1">
      <alignment horizontal="center" shrinkToFit="1"/>
    </xf>
    <xf numFmtId="0" fontId="5" fillId="0" borderId="348" xfId="2" applyFont="1" applyFill="1" applyBorder="1" applyAlignment="1" applyProtection="1">
      <alignment horizontal="left" indent="2"/>
    </xf>
    <xf numFmtId="0" fontId="5" fillId="0" borderId="79" xfId="2" applyFont="1" applyFill="1" applyBorder="1" applyAlignment="1" applyProtection="1"/>
    <xf numFmtId="0" fontId="5" fillId="0" borderId="79" xfId="2" applyNumberFormat="1" applyFont="1" applyFill="1" applyBorder="1" applyAlignment="1" applyProtection="1"/>
    <xf numFmtId="236" fontId="5" fillId="0" borderId="79" xfId="2" applyNumberFormat="1" applyFont="1" applyFill="1" applyBorder="1" applyAlignment="1" applyProtection="1">
      <alignment horizontal="center" shrinkToFit="1"/>
    </xf>
    <xf numFmtId="232" fontId="5" fillId="0" borderId="201" xfId="2" applyNumberFormat="1" applyFont="1" applyFill="1" applyBorder="1" applyAlignment="1" applyProtection="1">
      <alignment horizontal="right" shrinkToFit="1"/>
    </xf>
    <xf numFmtId="232" fontId="5" fillId="0" borderId="203" xfId="2" applyNumberFormat="1" applyFont="1" applyFill="1" applyBorder="1" applyAlignment="1" applyProtection="1">
      <alignment horizontal="right" shrinkToFit="1"/>
    </xf>
    <xf numFmtId="233" fontId="5" fillId="0" borderId="217" xfId="2" applyNumberFormat="1" applyFont="1" applyFill="1" applyBorder="1" applyAlignment="1" applyProtection="1">
      <alignment horizontal="right" shrinkToFit="1"/>
    </xf>
    <xf numFmtId="3" fontId="5" fillId="0" borderId="216" xfId="12" applyNumberFormat="1" applyFont="1" applyFill="1" applyBorder="1" applyAlignment="1" applyProtection="1">
      <alignment horizontal="right" shrinkToFit="1"/>
    </xf>
    <xf numFmtId="183" fontId="5" fillId="0" borderId="218" xfId="2" applyNumberFormat="1" applyFont="1" applyFill="1" applyBorder="1" applyAlignment="1" applyProtection="1">
      <alignment horizontal="right" shrinkToFit="1"/>
    </xf>
    <xf numFmtId="3" fontId="5" fillId="0" borderId="220" xfId="12" applyNumberFormat="1" applyFont="1" applyFill="1" applyBorder="1" applyAlignment="1" applyProtection="1">
      <alignment horizontal="right" shrinkToFit="1"/>
    </xf>
    <xf numFmtId="183" fontId="5" fillId="0" borderId="201" xfId="2" applyNumberFormat="1" applyFont="1" applyFill="1" applyBorder="1" applyAlignment="1" applyProtection="1">
      <alignment horizontal="center" shrinkToFit="1"/>
    </xf>
    <xf numFmtId="3" fontId="5" fillId="0" borderId="306" xfId="2" applyNumberFormat="1" applyFont="1" applyFill="1" applyBorder="1" applyAlignment="1" applyProtection="1">
      <alignment shrinkToFit="1"/>
    </xf>
    <xf numFmtId="183" fontId="5" fillId="0" borderId="203" xfId="2" applyNumberFormat="1" applyFont="1" applyFill="1" applyBorder="1" applyAlignment="1" applyProtection="1">
      <alignment horizontal="center" shrinkToFit="1"/>
    </xf>
    <xf numFmtId="3" fontId="5" fillId="0" borderId="70" xfId="2" applyNumberFormat="1" applyFont="1" applyFill="1" applyBorder="1" applyAlignment="1" applyProtection="1">
      <alignment shrinkToFit="1"/>
    </xf>
    <xf numFmtId="204" fontId="5" fillId="0" borderId="0" xfId="2" applyNumberFormat="1" applyFont="1" applyFill="1" applyBorder="1" applyAlignment="1" applyProtection="1">
      <alignment vertical="center" shrinkToFit="1"/>
    </xf>
    <xf numFmtId="0" fontId="5" fillId="0" borderId="158" xfId="2" applyFont="1" applyFill="1" applyBorder="1" applyProtection="1">
      <protection locked="0"/>
    </xf>
    <xf numFmtId="0" fontId="5" fillId="0" borderId="79" xfId="2" applyNumberFormat="1" applyFont="1" applyFill="1" applyBorder="1" applyAlignment="1" applyProtection="1">
      <alignment horizontal="left"/>
    </xf>
    <xf numFmtId="176" fontId="5" fillId="0" borderId="205" xfId="2" applyNumberFormat="1" applyFont="1" applyFill="1" applyBorder="1" applyAlignment="1" applyProtection="1">
      <alignment horizontal="left"/>
    </xf>
    <xf numFmtId="0" fontId="5" fillId="0" borderId="79" xfId="2" applyFont="1" applyFill="1" applyBorder="1" applyProtection="1"/>
    <xf numFmtId="235" fontId="5" fillId="0" borderId="79" xfId="2" applyNumberFormat="1" applyFont="1" applyFill="1" applyBorder="1" applyAlignment="1" applyProtection="1">
      <alignment horizontal="center" shrinkToFit="1"/>
    </xf>
    <xf numFmtId="193" fontId="5" fillId="0" borderId="158" xfId="12" applyNumberFormat="1" applyFont="1" applyFill="1" applyBorder="1" applyAlignment="1" applyProtection="1">
      <alignment horizontal="right" shrinkToFit="1"/>
    </xf>
    <xf numFmtId="0" fontId="5" fillId="0" borderId="97" xfId="2" applyFont="1" applyFill="1" applyBorder="1" applyAlignment="1" applyProtection="1">
      <alignment horizontal="left" indent="2"/>
    </xf>
    <xf numFmtId="0" fontId="5" fillId="0" borderId="56" xfId="2" applyFont="1" applyFill="1" applyBorder="1" applyAlignment="1" applyProtection="1"/>
    <xf numFmtId="0" fontId="5" fillId="0" borderId="178" xfId="2" applyFont="1" applyFill="1" applyBorder="1" applyAlignment="1" applyProtection="1"/>
    <xf numFmtId="204" fontId="5" fillId="0" borderId="349" xfId="2" applyNumberFormat="1" applyFont="1" applyFill="1" applyBorder="1" applyAlignment="1" applyProtection="1">
      <alignment horizontal="right" shrinkToFit="1"/>
    </xf>
    <xf numFmtId="193" fontId="5" fillId="0" borderId="160" xfId="12" applyNumberFormat="1" applyFont="1" applyFill="1" applyBorder="1" applyAlignment="1" applyProtection="1">
      <alignment horizontal="right" shrinkToFit="1"/>
    </xf>
    <xf numFmtId="204" fontId="5" fillId="0" borderId="350" xfId="2" applyNumberFormat="1" applyFont="1" applyFill="1" applyBorder="1" applyAlignment="1" applyProtection="1">
      <alignment horizontal="right" shrinkToFit="1"/>
    </xf>
    <xf numFmtId="193" fontId="5" fillId="0" borderId="56" xfId="12" applyNumberFormat="1" applyFont="1" applyFill="1" applyBorder="1" applyAlignment="1" applyProtection="1">
      <alignment horizontal="right" shrinkToFit="1"/>
    </xf>
    <xf numFmtId="193" fontId="5" fillId="0" borderId="57" xfId="12" applyNumberFormat="1" applyFont="1" applyFill="1" applyBorder="1" applyAlignment="1" applyProtection="1">
      <alignment horizontal="right" shrinkToFit="1"/>
    </xf>
    <xf numFmtId="183" fontId="5" fillId="0" borderId="351" xfId="2" applyNumberFormat="1" applyFont="1" applyFill="1" applyBorder="1" applyAlignment="1" applyProtection="1">
      <alignment horizontal="right" shrinkToFit="1"/>
    </xf>
    <xf numFmtId="204" fontId="5" fillId="0" borderId="72" xfId="2" applyNumberFormat="1" applyFont="1" applyFill="1" applyBorder="1" applyAlignment="1" applyProtection="1">
      <alignment horizontal="right" shrinkToFit="1"/>
    </xf>
    <xf numFmtId="3" fontId="5" fillId="0" borderId="352" xfId="12" applyNumberFormat="1" applyFont="1" applyFill="1" applyBorder="1" applyAlignment="1" applyProtection="1">
      <alignment horizontal="right" shrinkToFit="1"/>
    </xf>
    <xf numFmtId="183" fontId="5" fillId="0" borderId="353" xfId="2" applyNumberFormat="1" applyFont="1" applyFill="1" applyBorder="1" applyAlignment="1" applyProtection="1">
      <alignment horizontal="right" shrinkToFit="1"/>
    </xf>
    <xf numFmtId="3" fontId="5" fillId="0" borderId="354" xfId="12" applyNumberFormat="1" applyFont="1" applyFill="1" applyBorder="1" applyAlignment="1" applyProtection="1">
      <alignment horizontal="right" shrinkToFit="1"/>
    </xf>
    <xf numFmtId="0" fontId="5" fillId="0" borderId="12" xfId="2" applyFont="1" applyFill="1" applyBorder="1" applyAlignment="1" applyProtection="1">
      <alignment vertical="center"/>
    </xf>
    <xf numFmtId="0" fontId="5" fillId="0" borderId="133" xfId="2" applyFont="1" applyFill="1" applyBorder="1" applyProtection="1">
      <protection locked="0"/>
    </xf>
    <xf numFmtId="0" fontId="5" fillId="0" borderId="0" xfId="2" applyFont="1" applyBorder="1" applyProtection="1">
      <protection locked="0"/>
    </xf>
    <xf numFmtId="0" fontId="5" fillId="0" borderId="38" xfId="2" applyFont="1" applyBorder="1" applyProtection="1">
      <protection locked="0"/>
    </xf>
    <xf numFmtId="0" fontId="5" fillId="3" borderId="75" xfId="2" applyFont="1" applyFill="1" applyBorder="1" applyAlignment="1" applyProtection="1">
      <alignment vertical="center"/>
      <protection locked="0"/>
    </xf>
    <xf numFmtId="0" fontId="5" fillId="3" borderId="75" xfId="2" applyFont="1" applyFill="1" applyBorder="1" applyAlignment="1" applyProtection="1">
      <alignment horizontal="left" vertical="center" indent="2"/>
      <protection locked="0"/>
    </xf>
    <xf numFmtId="0" fontId="5" fillId="3" borderId="34" xfId="2" applyFont="1" applyFill="1" applyBorder="1" applyAlignment="1" applyProtection="1">
      <alignment horizontal="left" vertical="center" indent="2"/>
      <protection locked="0"/>
    </xf>
    <xf numFmtId="0" fontId="5" fillId="3" borderId="96" xfId="2" applyFont="1" applyFill="1" applyBorder="1" applyAlignment="1" applyProtection="1">
      <alignment vertical="center"/>
      <protection locked="0"/>
    </xf>
    <xf numFmtId="0" fontId="5" fillId="3" borderId="96" xfId="2" applyFont="1" applyFill="1" applyBorder="1" applyAlignment="1" applyProtection="1">
      <alignment horizontal="left" vertical="center" indent="2"/>
      <protection locked="0"/>
    </xf>
    <xf numFmtId="0" fontId="5" fillId="3" borderId="0" xfId="2" applyFont="1" applyFill="1" applyBorder="1" applyAlignment="1" applyProtection="1">
      <alignment horizontal="left" vertical="center" indent="2"/>
      <protection locked="0"/>
    </xf>
    <xf numFmtId="0" fontId="5" fillId="0" borderId="77" xfId="2" applyFont="1" applyFill="1" applyBorder="1" applyAlignment="1" applyProtection="1">
      <alignment horizontal="right"/>
    </xf>
    <xf numFmtId="237" fontId="5" fillId="0" borderId="77" xfId="2" applyNumberFormat="1" applyFont="1" applyFill="1" applyBorder="1" applyAlignment="1" applyProtection="1">
      <alignment horizontal="center" shrinkToFit="1"/>
    </xf>
    <xf numFmtId="0" fontId="5" fillId="0" borderId="265" xfId="2" applyFont="1" applyFill="1" applyBorder="1" applyAlignment="1" applyProtection="1"/>
    <xf numFmtId="204" fontId="5" fillId="0" borderId="344" xfId="2" applyNumberFormat="1" applyFont="1" applyFill="1" applyBorder="1" applyAlignment="1" applyProtection="1">
      <alignment horizontal="right" shrinkToFit="1"/>
    </xf>
    <xf numFmtId="204" fontId="5" fillId="0" borderId="64" xfId="2" applyNumberFormat="1" applyFont="1" applyFill="1" applyBorder="1" applyAlignment="1" applyProtection="1">
      <alignment horizontal="right" shrinkToFit="1"/>
    </xf>
    <xf numFmtId="193" fontId="5" fillId="0" borderId="77" xfId="12" applyNumberFormat="1" applyFont="1" applyFill="1" applyBorder="1" applyAlignment="1" applyProtection="1">
      <alignment horizontal="right" shrinkToFit="1"/>
    </xf>
    <xf numFmtId="204" fontId="5" fillId="0" borderId="346" xfId="2" applyNumberFormat="1" applyFont="1" applyFill="1" applyBorder="1" applyAlignment="1" applyProtection="1">
      <alignment horizontal="right" shrinkToFit="1"/>
    </xf>
    <xf numFmtId="0" fontId="5" fillId="0" borderId="285" xfId="2" applyFont="1" applyFill="1" applyBorder="1" applyAlignment="1" applyProtection="1"/>
    <xf numFmtId="183" fontId="5" fillId="0" borderId="64" xfId="2" applyNumberFormat="1" applyFont="1" applyFill="1" applyBorder="1" applyAlignment="1" applyProtection="1">
      <alignment horizontal="right" shrinkToFit="1"/>
    </xf>
    <xf numFmtId="193" fontId="5" fillId="0" borderId="77" xfId="12" applyNumberFormat="1" applyFont="1" applyFill="1" applyBorder="1" applyAlignment="1" applyProtection="1">
      <alignment shrinkToFit="1"/>
    </xf>
    <xf numFmtId="183" fontId="5" fillId="0" borderId="355" xfId="2" applyNumberFormat="1" applyFont="1" applyFill="1" applyBorder="1" applyAlignment="1" applyProtection="1">
      <alignment horizontal="center" shrinkToFit="1"/>
    </xf>
    <xf numFmtId="183" fontId="5" fillId="0" borderId="356" xfId="2" applyNumberFormat="1" applyFont="1" applyFill="1" applyBorder="1" applyAlignment="1" applyProtection="1">
      <alignment horizontal="center" shrinkToFit="1"/>
    </xf>
    <xf numFmtId="204" fontId="5" fillId="0" borderId="351" xfId="2" applyNumberFormat="1" applyFont="1" applyFill="1" applyBorder="1" applyAlignment="1" applyProtection="1">
      <alignment horizontal="right" shrinkToFit="1"/>
    </xf>
    <xf numFmtId="227" fontId="5" fillId="0" borderId="352" xfId="12" applyNumberFormat="1" applyFont="1" applyFill="1" applyBorder="1" applyAlignment="1" applyProtection="1">
      <alignment horizontal="right" shrinkToFit="1"/>
    </xf>
    <xf numFmtId="227" fontId="5" fillId="0" borderId="81" xfId="12" applyNumberFormat="1" applyFont="1" applyFill="1" applyBorder="1" applyAlignment="1" applyProtection="1">
      <alignment horizontal="right" shrinkToFit="1"/>
    </xf>
    <xf numFmtId="204" fontId="5" fillId="0" borderId="353" xfId="2" applyNumberFormat="1" applyFont="1" applyFill="1" applyBorder="1" applyAlignment="1" applyProtection="1">
      <alignment horizontal="right" shrinkToFit="1"/>
    </xf>
    <xf numFmtId="227" fontId="5" fillId="0" borderId="130" xfId="12" applyNumberFormat="1" applyFont="1" applyFill="1" applyBorder="1" applyAlignment="1" applyProtection="1">
      <alignment horizontal="right" shrinkToFit="1"/>
    </xf>
    <xf numFmtId="0" fontId="5" fillId="0" borderId="81" xfId="2" applyFont="1" applyFill="1" applyBorder="1" applyAlignment="1" applyProtection="1"/>
    <xf numFmtId="200" fontId="5" fillId="0" borderId="81" xfId="2" applyNumberFormat="1" applyFont="1" applyFill="1" applyBorder="1" applyProtection="1"/>
    <xf numFmtId="238" fontId="5" fillId="0" borderId="81" xfId="2" applyNumberFormat="1" applyFont="1" applyFill="1" applyBorder="1" applyAlignment="1" applyProtection="1"/>
    <xf numFmtId="207" fontId="5" fillId="0" borderId="72" xfId="2" applyNumberFormat="1" applyFont="1" applyFill="1" applyBorder="1" applyAlignment="1" applyProtection="1">
      <alignment horizontal="right" shrinkToFit="1"/>
    </xf>
    <xf numFmtId="239" fontId="5" fillId="0" borderId="81" xfId="12" applyNumberFormat="1" applyFont="1" applyFill="1" applyBorder="1" applyAlignment="1" applyProtection="1">
      <alignment horizontal="right" shrinkToFit="1"/>
    </xf>
    <xf numFmtId="239" fontId="5" fillId="0" borderId="354" xfId="12" applyNumberFormat="1" applyFont="1" applyFill="1" applyBorder="1" applyAlignment="1" applyProtection="1">
      <alignment horizontal="right" shrinkToFit="1"/>
    </xf>
    <xf numFmtId="183" fontId="5" fillId="0" borderId="357" xfId="2" applyNumberFormat="1" applyFont="1" applyFill="1" applyBorder="1" applyAlignment="1" applyProtection="1">
      <alignment horizontal="center" shrinkToFit="1"/>
    </xf>
    <xf numFmtId="183" fontId="5" fillId="0" borderId="358" xfId="2" applyNumberFormat="1" applyFont="1" applyFill="1" applyBorder="1" applyAlignment="1" applyProtection="1">
      <alignment horizontal="center" shrinkToFit="1"/>
    </xf>
    <xf numFmtId="183" fontId="5" fillId="0" borderId="359" xfId="2" applyNumberFormat="1" applyFont="1" applyFill="1" applyBorder="1" applyAlignment="1" applyProtection="1">
      <alignment horizontal="center" shrinkToFit="1"/>
    </xf>
    <xf numFmtId="239" fontId="5" fillId="0" borderId="130" xfId="12" applyNumberFormat="1" applyFont="1" applyFill="1" applyBorder="1" applyAlignment="1" applyProtection="1">
      <alignment horizontal="right" shrinkToFit="1"/>
    </xf>
    <xf numFmtId="0" fontId="5" fillId="0" borderId="0" xfId="2" applyFont="1" applyAlignment="1" applyProtection="1">
      <alignment vertical="center"/>
      <protection locked="0"/>
    </xf>
    <xf numFmtId="0" fontId="5" fillId="3" borderId="2" xfId="2" applyFont="1" applyFill="1" applyBorder="1" applyAlignment="1" applyProtection="1">
      <alignment vertical="center"/>
    </xf>
    <xf numFmtId="0" fontId="5" fillId="3" borderId="3" xfId="2" applyFont="1" applyFill="1" applyBorder="1" applyAlignment="1" applyProtection="1">
      <alignment vertical="center"/>
    </xf>
    <xf numFmtId="204" fontId="5" fillId="0" borderId="21" xfId="2" applyNumberFormat="1" applyFont="1" applyFill="1" applyBorder="1" applyAlignment="1" applyProtection="1">
      <alignment horizontal="center" vertical="center" shrinkToFit="1"/>
    </xf>
    <xf numFmtId="204" fontId="5" fillId="0" borderId="22" xfId="2" applyNumberFormat="1" applyFont="1" applyFill="1" applyBorder="1" applyAlignment="1" applyProtection="1">
      <alignment horizontal="center" vertical="center" shrinkToFit="1"/>
    </xf>
    <xf numFmtId="204" fontId="5" fillId="0" borderId="23" xfId="2" applyNumberFormat="1" applyFont="1" applyFill="1" applyBorder="1" applyAlignment="1" applyProtection="1">
      <alignment horizontal="center" vertical="center" shrinkToFit="1"/>
    </xf>
    <xf numFmtId="204" fontId="5" fillId="0" borderId="34" xfId="2" applyNumberFormat="1" applyFont="1" applyFill="1" applyBorder="1" applyAlignment="1" applyProtection="1">
      <alignment horizontal="center" vertical="center" shrinkToFit="1"/>
    </xf>
    <xf numFmtId="189" fontId="5" fillId="0" borderId="21" xfId="2" applyNumberFormat="1" applyFont="1" applyFill="1" applyBorder="1" applyAlignment="1" applyProtection="1">
      <alignment horizontal="center" vertical="center" shrinkToFit="1"/>
    </xf>
    <xf numFmtId="189" fontId="5" fillId="0" borderId="22" xfId="2" applyNumberFormat="1" applyFont="1" applyFill="1" applyBorder="1" applyAlignment="1" applyProtection="1">
      <alignment horizontal="center" vertical="center" shrinkToFit="1"/>
    </xf>
    <xf numFmtId="189" fontId="5" fillId="0" borderId="23" xfId="2" applyNumberFormat="1" applyFont="1" applyFill="1" applyBorder="1" applyAlignment="1" applyProtection="1">
      <alignment horizontal="center" vertical="center" shrinkToFit="1"/>
    </xf>
    <xf numFmtId="204" fontId="5" fillId="0" borderId="342" xfId="2" applyNumberFormat="1" applyFont="1" applyFill="1" applyBorder="1" applyAlignment="1" applyProtection="1">
      <alignment horizontal="center" vertical="center" shrinkToFit="1"/>
    </xf>
    <xf numFmtId="204" fontId="5" fillId="0" borderId="360" xfId="2" applyNumberFormat="1" applyFont="1" applyFill="1" applyBorder="1" applyAlignment="1" applyProtection="1">
      <alignment horizontal="center" vertical="center" shrinkToFit="1"/>
    </xf>
    <xf numFmtId="204" fontId="5" fillId="0" borderId="361" xfId="2" applyNumberFormat="1" applyFont="1" applyFill="1" applyBorder="1" applyAlignment="1" applyProtection="1">
      <alignment horizontal="center" vertical="center" shrinkToFit="1"/>
    </xf>
    <xf numFmtId="2" fontId="5" fillId="0" borderId="0" xfId="2" applyNumberFormat="1" applyFont="1" applyFill="1" applyBorder="1" applyAlignment="1" applyProtection="1">
      <alignment vertical="center" shrinkToFit="1"/>
    </xf>
    <xf numFmtId="0" fontId="18" fillId="0" borderId="0" xfId="12" applyNumberFormat="1" applyFont="1" applyFill="1" applyBorder="1" applyAlignment="1" applyProtection="1">
      <alignment vertical="center"/>
    </xf>
    <xf numFmtId="0" fontId="18" fillId="0" borderId="0" xfId="2" applyNumberFormat="1" applyFont="1" applyFill="1" applyBorder="1" applyAlignment="1" applyProtection="1">
      <alignment vertical="center"/>
    </xf>
    <xf numFmtId="0" fontId="5" fillId="0" borderId="0" xfId="2" applyNumberFormat="1" applyFont="1" applyFill="1" applyBorder="1" applyAlignment="1" applyProtection="1">
      <alignment vertical="center" shrinkToFit="1"/>
    </xf>
    <xf numFmtId="0" fontId="5" fillId="0" borderId="0" xfId="2" applyNumberFormat="1" applyFont="1" applyFill="1" applyBorder="1" applyAlignment="1" applyProtection="1">
      <protection locked="0"/>
    </xf>
    <xf numFmtId="183" fontId="5" fillId="0" borderId="362" xfId="2" applyNumberFormat="1" applyFont="1" applyFill="1" applyBorder="1" applyAlignment="1" applyProtection="1">
      <alignment horizontal="center" shrinkToFit="1"/>
    </xf>
    <xf numFmtId="0" fontId="0" fillId="0" borderId="202" xfId="0" applyBorder="1" applyAlignment="1">
      <alignment horizontal="center" shrinkToFit="1"/>
    </xf>
    <xf numFmtId="183" fontId="5" fillId="0" borderId="363" xfId="2" applyNumberFormat="1" applyFont="1" applyFill="1" applyBorder="1" applyAlignment="1" applyProtection="1">
      <alignment horizontal="center" shrinkToFit="1"/>
    </xf>
    <xf numFmtId="183" fontId="5" fillId="0" borderId="364" xfId="2" applyNumberFormat="1" applyFont="1" applyFill="1" applyBorder="1" applyAlignment="1" applyProtection="1">
      <alignment horizontal="center" shrinkToFit="1"/>
    </xf>
    <xf numFmtId="0" fontId="0" fillId="0" borderId="352" xfId="0" applyBorder="1" applyAlignment="1">
      <alignment horizontal="center" shrinkToFit="1"/>
    </xf>
    <xf numFmtId="183" fontId="5" fillId="0" borderId="365" xfId="2" applyNumberFormat="1" applyFont="1" applyFill="1" applyBorder="1" applyAlignment="1" applyProtection="1">
      <alignment horizontal="center" shrinkToFit="1"/>
    </xf>
    <xf numFmtId="0" fontId="0" fillId="0" borderId="204" xfId="0" applyBorder="1" applyAlignment="1">
      <alignment horizontal="center" shrinkToFit="1"/>
    </xf>
    <xf numFmtId="0" fontId="0" fillId="0" borderId="130" xfId="0" applyBorder="1" applyAlignment="1">
      <alignment horizontal="center" shrinkToFit="1"/>
    </xf>
    <xf numFmtId="202" fontId="5" fillId="13" borderId="258" xfId="2" applyNumberFormat="1" applyFont="1" applyFill="1" applyBorder="1" applyAlignment="1" applyProtection="1">
      <alignment horizontal="center" vertical="center" wrapText="1"/>
      <protection locked="0"/>
    </xf>
    <xf numFmtId="202" fontId="5" fillId="14" borderId="245" xfId="2" applyNumberFormat="1" applyFont="1" applyFill="1" applyBorder="1" applyAlignment="1" applyProtection="1">
      <alignment horizontal="center" vertical="center" wrapText="1"/>
      <protection locked="0"/>
    </xf>
    <xf numFmtId="202" fontId="5" fillId="14" borderId="258" xfId="2" applyNumberFormat="1" applyFont="1" applyFill="1" applyBorder="1" applyAlignment="1" applyProtection="1">
      <alignment horizontal="center" vertical="center" wrapText="1"/>
      <protection locked="0"/>
    </xf>
    <xf numFmtId="202" fontId="5" fillId="15" borderId="245" xfId="2" applyNumberFormat="1" applyFont="1" applyFill="1" applyBorder="1" applyAlignment="1" applyProtection="1">
      <alignment horizontal="center" vertical="center" wrapText="1"/>
      <protection locked="0"/>
    </xf>
    <xf numFmtId="202" fontId="5" fillId="15" borderId="258" xfId="2" applyNumberFormat="1" applyFont="1" applyFill="1" applyBorder="1" applyAlignment="1" applyProtection="1">
      <alignment horizontal="center" vertical="center" wrapText="1"/>
      <protection locked="0"/>
    </xf>
    <xf numFmtId="202" fontId="18" fillId="19" borderId="245" xfId="2" applyNumberFormat="1" applyFont="1" applyFill="1" applyBorder="1" applyAlignment="1" applyProtection="1">
      <alignment horizontal="center" vertical="center" wrapText="1"/>
      <protection locked="0"/>
    </xf>
    <xf numFmtId="202" fontId="18" fillId="19" borderId="258" xfId="2" applyNumberFormat="1" applyFont="1" applyFill="1" applyBorder="1" applyAlignment="1" applyProtection="1">
      <alignment horizontal="center" vertical="center" wrapText="1"/>
      <protection locked="0"/>
    </xf>
    <xf numFmtId="0" fontId="37" fillId="0" borderId="0" xfId="13" applyFont="1">
      <alignment vertical="center"/>
    </xf>
    <xf numFmtId="2" fontId="38" fillId="0" borderId="0" xfId="13" applyNumberFormat="1" applyFont="1">
      <alignment vertical="center"/>
    </xf>
    <xf numFmtId="0" fontId="38" fillId="0" borderId="0" xfId="13" applyFont="1">
      <alignment vertical="center"/>
    </xf>
    <xf numFmtId="0" fontId="38" fillId="0" borderId="0" xfId="13" applyFont="1" applyBorder="1">
      <alignment vertical="center"/>
    </xf>
    <xf numFmtId="0" fontId="5" fillId="0" borderId="0" xfId="14" applyFont="1"/>
    <xf numFmtId="2" fontId="40" fillId="0" borderId="0" xfId="14" applyNumberFormat="1" applyFont="1"/>
    <xf numFmtId="0" fontId="40" fillId="0" borderId="0" xfId="14" applyFont="1"/>
    <xf numFmtId="0" fontId="40" fillId="0" borderId="0" xfId="14" applyFont="1" applyBorder="1"/>
    <xf numFmtId="0" fontId="5" fillId="0" borderId="0" xfId="14" applyFont="1" applyAlignment="1" applyProtection="1">
      <alignment shrinkToFit="1"/>
    </xf>
    <xf numFmtId="0" fontId="5" fillId="0" borderId="0" xfId="14" applyFont="1" applyProtection="1"/>
    <xf numFmtId="0" fontId="5" fillId="0" borderId="0" xfId="14" applyFont="1" applyFill="1" applyBorder="1" applyAlignment="1" applyProtection="1">
      <alignment horizontal="center"/>
    </xf>
    <xf numFmtId="0" fontId="5" fillId="0" borderId="0" xfId="15" applyFont="1">
      <alignment vertical="center"/>
    </xf>
    <xf numFmtId="0" fontId="5" fillId="0" borderId="0" xfId="14" applyFont="1" applyFill="1" applyBorder="1" applyProtection="1"/>
    <xf numFmtId="228" fontId="5" fillId="0" borderId="129" xfId="14" applyNumberFormat="1" applyFont="1" applyBorder="1" applyAlignment="1" applyProtection="1">
      <alignment shrinkToFit="1"/>
      <protection locked="0"/>
    </xf>
    <xf numFmtId="3" fontId="18" fillId="0" borderId="128" xfId="14" applyNumberFormat="1" applyFont="1" applyBorder="1" applyAlignment="1" applyProtection="1">
      <alignment shrinkToFit="1"/>
      <protection locked="0"/>
    </xf>
    <xf numFmtId="3" fontId="5" fillId="0" borderId="128" xfId="14" applyNumberFormat="1" applyFont="1" applyFill="1" applyBorder="1" applyAlignment="1" applyProtection="1">
      <alignment shrinkToFit="1"/>
      <protection locked="0"/>
    </xf>
    <xf numFmtId="3" fontId="5" fillId="0" borderId="128" xfId="14" applyNumberFormat="1" applyFont="1" applyBorder="1" applyAlignment="1" applyProtection="1">
      <alignment shrinkToFit="1"/>
      <protection locked="0"/>
    </xf>
    <xf numFmtId="3" fontId="5" fillId="0" borderId="192" xfId="14" applyNumberFormat="1" applyFont="1" applyBorder="1" applyAlignment="1" applyProtection="1">
      <alignment shrinkToFit="1"/>
      <protection locked="0"/>
    </xf>
    <xf numFmtId="2" fontId="5" fillId="0" borderId="149" xfId="14" applyNumberFormat="1" applyFont="1" applyBorder="1" applyAlignment="1" applyProtection="1">
      <alignment shrinkToFit="1"/>
      <protection locked="0"/>
    </xf>
    <xf numFmtId="2" fontId="5" fillId="0" borderId="192" xfId="14" applyNumberFormat="1" applyFont="1" applyBorder="1" applyAlignment="1" applyProtection="1">
      <alignment shrinkToFit="1"/>
      <protection locked="0"/>
    </xf>
    <xf numFmtId="3" fontId="18" fillId="0" borderId="189" xfId="14" applyNumberFormat="1" applyFont="1" applyBorder="1" applyAlignment="1" applyProtection="1">
      <alignment shrinkToFit="1"/>
      <protection locked="0"/>
    </xf>
    <xf numFmtId="3" fontId="5" fillId="0" borderId="368" xfId="14" applyNumberFormat="1" applyFont="1" applyBorder="1" applyAlignment="1" applyProtection="1">
      <alignment shrinkToFit="1"/>
      <protection locked="0"/>
    </xf>
    <xf numFmtId="3" fontId="5" fillId="0" borderId="369" xfId="14" applyNumberFormat="1" applyFont="1" applyBorder="1" applyAlignment="1" applyProtection="1">
      <alignment shrinkToFit="1"/>
      <protection locked="0"/>
    </xf>
    <xf numFmtId="3" fontId="18" fillId="0" borderId="303" xfId="14" applyNumberFormat="1" applyFont="1" applyBorder="1" applyAlignment="1" applyProtection="1">
      <alignment shrinkToFit="1"/>
      <protection locked="0"/>
    </xf>
    <xf numFmtId="0" fontId="5" fillId="0" borderId="369" xfId="14" applyNumberFormat="1" applyFont="1" applyBorder="1" applyAlignment="1" applyProtection="1">
      <alignment horizontal="center" shrinkToFit="1"/>
      <protection locked="0"/>
    </xf>
    <xf numFmtId="240" fontId="5" fillId="0" borderId="189" xfId="14" applyNumberFormat="1" applyFont="1" applyBorder="1" applyAlignment="1" applyProtection="1">
      <alignment shrinkToFit="1"/>
      <protection locked="0"/>
    </xf>
    <xf numFmtId="240" fontId="5" fillId="0" borderId="128" xfId="14" applyNumberFormat="1" applyFont="1" applyBorder="1" applyAlignment="1" applyProtection="1">
      <alignment shrinkToFit="1"/>
      <protection locked="0"/>
    </xf>
    <xf numFmtId="241" fontId="5" fillId="0" borderId="128" xfId="14" applyNumberFormat="1" applyFont="1" applyBorder="1" applyAlignment="1" applyProtection="1">
      <alignment shrinkToFit="1"/>
      <protection locked="0"/>
    </xf>
    <xf numFmtId="0" fontId="5" fillId="0" borderId="69" xfId="14" applyNumberFormat="1" applyFont="1" applyBorder="1" applyAlignment="1" applyProtection="1">
      <alignment shrinkToFit="1"/>
      <protection locked="0"/>
    </xf>
    <xf numFmtId="0" fontId="5" fillId="0" borderId="368" xfId="14" applyNumberFormat="1" applyFont="1" applyBorder="1" applyAlignment="1" applyProtection="1">
      <alignment horizontal="center" shrinkToFit="1"/>
      <protection locked="0"/>
    </xf>
    <xf numFmtId="0" fontId="5" fillId="0" borderId="370" xfId="14" applyNumberFormat="1" applyFont="1" applyBorder="1" applyAlignment="1" applyProtection="1">
      <alignment horizontal="center" shrinkToFit="1"/>
      <protection locked="0"/>
    </xf>
    <xf numFmtId="228" fontId="5" fillId="0" borderId="193" xfId="14" applyNumberFormat="1" applyFont="1" applyBorder="1" applyAlignment="1" applyProtection="1">
      <alignment shrinkToFit="1"/>
      <protection locked="0"/>
    </xf>
    <xf numFmtId="3" fontId="18" fillId="0" borderId="64" xfId="14" applyNumberFormat="1" applyFont="1" applyBorder="1" applyAlignment="1" applyProtection="1">
      <alignment shrinkToFit="1"/>
      <protection locked="0"/>
    </xf>
    <xf numFmtId="3" fontId="5" fillId="0" borderId="64" xfId="14" applyNumberFormat="1" applyFont="1" applyFill="1" applyBorder="1" applyAlignment="1" applyProtection="1">
      <alignment shrinkToFit="1"/>
      <protection locked="0"/>
    </xf>
    <xf numFmtId="3" fontId="5" fillId="0" borderId="64" xfId="14" applyNumberFormat="1" applyFont="1" applyBorder="1" applyAlignment="1" applyProtection="1">
      <alignment shrinkToFit="1"/>
      <protection locked="0"/>
    </xf>
    <xf numFmtId="3" fontId="5" fillId="0" borderId="346" xfId="14" applyNumberFormat="1" applyFont="1" applyBorder="1" applyAlignment="1" applyProtection="1">
      <alignment shrinkToFit="1"/>
      <protection locked="0"/>
    </xf>
    <xf numFmtId="2" fontId="5" fillId="0" borderId="345" xfId="14" applyNumberFormat="1" applyFont="1" applyBorder="1" applyAlignment="1" applyProtection="1">
      <alignment shrinkToFit="1"/>
      <protection locked="0"/>
    </xf>
    <xf numFmtId="2" fontId="5" fillId="0" borderId="346" xfId="14" applyNumberFormat="1" applyFont="1" applyBorder="1" applyAlignment="1" applyProtection="1">
      <alignment shrinkToFit="1"/>
      <protection locked="0"/>
    </xf>
    <xf numFmtId="3" fontId="18" fillId="0" borderId="77" xfId="14" applyNumberFormat="1" applyFont="1" applyBorder="1" applyAlignment="1" applyProtection="1">
      <alignment shrinkToFit="1"/>
      <protection locked="0"/>
    </xf>
    <xf numFmtId="3" fontId="5" fillId="0" borderId="65" xfId="14" applyNumberFormat="1" applyFont="1" applyBorder="1" applyAlignment="1" applyProtection="1">
      <alignment shrinkToFit="1"/>
      <protection locked="0"/>
    </xf>
    <xf numFmtId="3" fontId="5" fillId="0" borderId="371" xfId="14" applyNumberFormat="1" applyFont="1" applyBorder="1" applyAlignment="1" applyProtection="1">
      <alignment shrinkToFit="1"/>
      <protection locked="0"/>
    </xf>
    <xf numFmtId="3" fontId="18" fillId="0" borderId="347" xfId="14" applyNumberFormat="1" applyFont="1" applyBorder="1" applyAlignment="1" applyProtection="1">
      <alignment shrinkToFit="1"/>
      <protection locked="0"/>
    </xf>
    <xf numFmtId="0" fontId="5" fillId="0" borderId="371" xfId="14" applyNumberFormat="1" applyFont="1" applyBorder="1" applyAlignment="1" applyProtection="1">
      <alignment horizontal="center" shrinkToFit="1"/>
      <protection locked="0"/>
    </xf>
    <xf numFmtId="240" fontId="5" fillId="0" borderId="77" xfId="14" applyNumberFormat="1" applyFont="1" applyBorder="1" applyAlignment="1" applyProtection="1">
      <alignment shrinkToFit="1"/>
      <protection locked="0"/>
    </xf>
    <xf numFmtId="240" fontId="5" fillId="0" borderId="64" xfId="14" applyNumberFormat="1" applyFont="1" applyBorder="1" applyAlignment="1" applyProtection="1">
      <alignment shrinkToFit="1"/>
      <protection locked="0"/>
    </xf>
    <xf numFmtId="241" fontId="5" fillId="0" borderId="64" xfId="14" applyNumberFormat="1" applyFont="1" applyBorder="1" applyAlignment="1" applyProtection="1">
      <alignment shrinkToFit="1"/>
      <protection locked="0"/>
    </xf>
    <xf numFmtId="0" fontId="5" fillId="0" borderId="65" xfId="14" applyNumberFormat="1" applyFont="1" applyBorder="1" applyAlignment="1" applyProtection="1">
      <alignment shrinkToFit="1"/>
      <protection locked="0"/>
    </xf>
    <xf numFmtId="0" fontId="5" fillId="0" borderId="65" xfId="14" applyNumberFormat="1" applyFont="1" applyBorder="1" applyAlignment="1" applyProtection="1">
      <alignment horizontal="center" shrinkToFit="1"/>
      <protection locked="0"/>
    </xf>
    <xf numFmtId="0" fontId="5" fillId="0" borderId="372" xfId="14" applyNumberFormat="1" applyFont="1" applyBorder="1" applyAlignment="1" applyProtection="1">
      <alignment horizontal="center" shrinkToFit="1"/>
      <protection locked="0"/>
    </xf>
    <xf numFmtId="2" fontId="5" fillId="12" borderId="16" xfId="14" applyNumberFormat="1" applyFont="1" applyFill="1" applyBorder="1" applyAlignment="1" applyProtection="1">
      <alignment horizontal="center" vertical="center" wrapText="1" shrinkToFit="1"/>
      <protection locked="0"/>
    </xf>
    <xf numFmtId="2" fontId="5" fillId="12" borderId="14" xfId="14" applyNumberFormat="1" applyFont="1" applyFill="1" applyBorder="1" applyAlignment="1" applyProtection="1">
      <alignment horizontal="center" vertical="center" wrapText="1" shrinkToFit="1"/>
      <protection locked="0"/>
    </xf>
    <xf numFmtId="0" fontId="38" fillId="7" borderId="16" xfId="13" applyFont="1" applyFill="1" applyBorder="1" applyAlignment="1">
      <alignment horizontal="center" vertical="center" shrinkToFit="1"/>
    </xf>
    <xf numFmtId="0" fontId="38" fillId="7" borderId="15" xfId="13" applyFont="1" applyFill="1" applyBorder="1" applyAlignment="1">
      <alignment horizontal="center" vertical="center" shrinkToFit="1"/>
    </xf>
    <xf numFmtId="0" fontId="38" fillId="7" borderId="14" xfId="13" applyFont="1" applyFill="1" applyBorder="1" applyAlignment="1">
      <alignment horizontal="center" vertical="center" shrinkToFit="1"/>
    </xf>
    <xf numFmtId="0" fontId="38" fillId="7" borderId="373" xfId="13" applyFont="1" applyFill="1" applyBorder="1" applyAlignment="1">
      <alignment horizontal="center" vertical="center" shrinkToFit="1"/>
    </xf>
    <xf numFmtId="0" fontId="38" fillId="7" borderId="49" xfId="13" applyFont="1" applyFill="1" applyBorder="1" applyAlignment="1">
      <alignment horizontal="center" vertical="center" shrinkToFit="1"/>
    </xf>
    <xf numFmtId="0" fontId="5" fillId="3" borderId="46" xfId="14" applyNumberFormat="1" applyFont="1" applyFill="1" applyBorder="1" applyAlignment="1" applyProtection="1">
      <alignment horizontal="center" vertical="center" wrapText="1" shrinkToFit="1"/>
      <protection locked="0"/>
    </xf>
    <xf numFmtId="0" fontId="5" fillId="3" borderId="62" xfId="14" applyNumberFormat="1" applyFont="1" applyFill="1" applyBorder="1" applyAlignment="1" applyProtection="1">
      <alignment horizontal="center" vertical="center" shrinkToFit="1"/>
      <protection locked="0"/>
    </xf>
    <xf numFmtId="0" fontId="5" fillId="3" borderId="62" xfId="14" applyNumberFormat="1" applyFont="1" applyFill="1" applyBorder="1" applyAlignment="1" applyProtection="1">
      <alignment horizontal="center" vertical="center" wrapText="1" shrinkToFit="1"/>
      <protection locked="0"/>
    </xf>
    <xf numFmtId="0" fontId="5" fillId="3" borderId="255" xfId="14" applyNumberFormat="1" applyFont="1" applyFill="1" applyBorder="1" applyAlignment="1" applyProtection="1">
      <alignment horizontal="center" vertical="center" wrapText="1" shrinkToFit="1"/>
      <protection locked="0"/>
    </xf>
    <xf numFmtId="0" fontId="5" fillId="3" borderId="160" xfId="14" applyNumberFormat="1" applyFont="1" applyFill="1" applyBorder="1" applyAlignment="1" applyProtection="1">
      <alignment horizontal="center" vertical="center" wrapText="1"/>
      <protection locked="0"/>
    </xf>
    <xf numFmtId="0" fontId="5" fillId="3" borderId="350" xfId="14" applyNumberFormat="1" applyFont="1" applyFill="1" applyBorder="1" applyAlignment="1" applyProtection="1">
      <alignment horizontal="center" vertical="center" wrapText="1"/>
      <protection locked="0"/>
    </xf>
    <xf numFmtId="0" fontId="5" fillId="3" borderId="206" xfId="14" applyNumberFormat="1" applyFont="1" applyFill="1" applyBorder="1" applyAlignment="1" applyProtection="1">
      <alignment horizontal="center" vertical="center" shrinkToFit="1"/>
      <protection locked="0"/>
    </xf>
    <xf numFmtId="0" fontId="5" fillId="3" borderId="366" xfId="14" applyNumberFormat="1" applyFont="1" applyFill="1" applyBorder="1" applyAlignment="1" applyProtection="1">
      <alignment horizontal="center" vertical="center"/>
      <protection locked="0"/>
    </xf>
    <xf numFmtId="0" fontId="5" fillId="3" borderId="40" xfId="14" applyNumberFormat="1" applyFont="1" applyFill="1" applyBorder="1" applyAlignment="1" applyProtection="1">
      <alignment horizontal="center" vertical="center" shrinkToFit="1"/>
      <protection locked="0"/>
    </xf>
    <xf numFmtId="0" fontId="5" fillId="3" borderId="40" xfId="14" applyFont="1" applyFill="1" applyBorder="1" applyAlignment="1" applyProtection="1">
      <alignment horizontal="center" vertical="center" shrinkToFit="1"/>
      <protection locked="0"/>
    </xf>
    <xf numFmtId="0" fontId="5" fillId="3" borderId="367" xfId="14" applyNumberFormat="1" applyFont="1" applyFill="1" applyBorder="1" applyAlignment="1" applyProtection="1">
      <alignment horizontal="center" vertical="center" wrapText="1"/>
      <protection locked="0"/>
    </xf>
    <xf numFmtId="0" fontId="5" fillId="3" borderId="307" xfId="14" applyNumberFormat="1" applyFont="1" applyFill="1" applyBorder="1" applyAlignment="1" applyProtection="1">
      <alignment horizontal="center" vertical="center" shrinkToFit="1"/>
      <protection locked="0"/>
    </xf>
    <xf numFmtId="0" fontId="5" fillId="3" borderId="367" xfId="14" applyNumberFormat="1" applyFont="1" applyFill="1" applyBorder="1" applyAlignment="1" applyProtection="1">
      <alignment horizontal="center" vertical="center" wrapText="1" shrinkToFit="1"/>
      <protection locked="0"/>
    </xf>
    <xf numFmtId="0" fontId="5" fillId="3" borderId="307" xfId="14" applyNumberFormat="1" applyFont="1" applyFill="1" applyBorder="1" applyAlignment="1" applyProtection="1">
      <alignment horizontal="center" vertical="center" wrapText="1" shrinkToFit="1"/>
      <protection locked="0"/>
    </xf>
    <xf numFmtId="0" fontId="5" fillId="3" borderId="62" xfId="14" applyFont="1" applyFill="1" applyBorder="1" applyAlignment="1" applyProtection="1">
      <alignment horizontal="center" vertical="center" wrapText="1" shrinkToFit="1"/>
      <protection locked="0"/>
    </xf>
    <xf numFmtId="0" fontId="5" fillId="3" borderId="62" xfId="14" applyFont="1" applyFill="1" applyBorder="1" applyAlignment="1" applyProtection="1">
      <alignment horizontal="center" vertical="center" shrinkToFit="1"/>
      <protection locked="0"/>
    </xf>
    <xf numFmtId="0" fontId="5" fillId="3" borderId="100" xfId="14" applyFont="1" applyFill="1" applyBorder="1" applyAlignment="1" applyProtection="1">
      <alignment horizontal="center" vertical="center"/>
      <protection locked="0"/>
    </xf>
    <xf numFmtId="2" fontId="5" fillId="12" borderId="275" xfId="14" applyNumberFormat="1" applyFont="1" applyFill="1" applyBorder="1" applyAlignment="1" applyProtection="1">
      <alignment horizontal="center" vertical="center" wrapText="1" shrinkToFit="1"/>
      <protection locked="0"/>
    </xf>
    <xf numFmtId="2" fontId="5" fillId="12" borderId="318" xfId="14" applyNumberFormat="1" applyFont="1" applyFill="1" applyBorder="1" applyAlignment="1" applyProtection="1">
      <alignment horizontal="center" vertical="center" wrapText="1" shrinkToFit="1"/>
      <protection locked="0"/>
    </xf>
    <xf numFmtId="0" fontId="38" fillId="7" borderId="374" xfId="13" applyFont="1" applyFill="1" applyBorder="1" applyAlignment="1">
      <alignment horizontal="center" vertical="center" shrinkToFit="1"/>
    </xf>
    <xf numFmtId="0" fontId="38" fillId="7" borderId="375" xfId="13" applyFont="1" applyFill="1" applyBorder="1" applyAlignment="1">
      <alignment horizontal="center" vertical="center" shrinkToFit="1"/>
    </xf>
    <xf numFmtId="0" fontId="38" fillId="7" borderId="376" xfId="13" applyFont="1" applyFill="1" applyBorder="1" applyAlignment="1">
      <alignment horizontal="center" vertical="center" shrinkToFit="1"/>
    </xf>
    <xf numFmtId="0" fontId="38" fillId="7" borderId="377" xfId="13" applyFont="1" applyFill="1" applyBorder="1" applyAlignment="1">
      <alignment horizontal="center" vertical="center" shrinkToFit="1"/>
    </xf>
    <xf numFmtId="0" fontId="38" fillId="7" borderId="378" xfId="13" applyFont="1" applyFill="1" applyBorder="1" applyAlignment="1">
      <alignment horizontal="center" vertical="center" shrinkToFit="1"/>
    </xf>
    <xf numFmtId="0" fontId="5" fillId="3" borderId="379" xfId="14" applyNumberFormat="1" applyFont="1" applyFill="1" applyBorder="1" applyAlignment="1" applyProtection="1">
      <alignment horizontal="center" vertical="center" wrapText="1" shrinkToFit="1"/>
      <protection locked="0"/>
    </xf>
    <xf numFmtId="0" fontId="5" fillId="3" borderId="149" xfId="14" applyNumberFormat="1" applyFont="1" applyFill="1" applyBorder="1" applyAlignment="1" applyProtection="1">
      <alignment horizontal="center" vertical="center" wrapText="1"/>
      <protection locked="0"/>
    </xf>
    <xf numFmtId="0" fontId="5" fillId="3" borderId="148" xfId="14" applyNumberFormat="1" applyFont="1" applyFill="1" applyBorder="1" applyAlignment="1" applyProtection="1">
      <alignment horizontal="center" vertical="center" wrapText="1"/>
      <protection locked="0"/>
    </xf>
    <xf numFmtId="0" fontId="5" fillId="3" borderId="216" xfId="14" applyNumberFormat="1" applyFont="1" applyFill="1" applyBorder="1" applyAlignment="1" applyProtection="1">
      <alignment horizontal="center" vertical="center" wrapText="1" shrinkToFit="1"/>
      <protection locked="0"/>
    </xf>
    <xf numFmtId="0" fontId="5" fillId="3" borderId="379" xfId="14" applyNumberFormat="1" applyFont="1" applyFill="1" applyBorder="1" applyAlignment="1" applyProtection="1">
      <alignment horizontal="center" vertical="center" wrapText="1"/>
      <protection locked="0"/>
    </xf>
    <xf numFmtId="0" fontId="5" fillId="3" borderId="380" xfId="14" applyNumberFormat="1" applyFont="1" applyFill="1" applyBorder="1" applyAlignment="1" applyProtection="1">
      <alignment horizontal="center" vertical="center" wrapText="1"/>
      <protection locked="0"/>
    </xf>
    <xf numFmtId="0" fontId="5" fillId="3" borderId="381" xfId="14" applyNumberFormat="1" applyFont="1" applyFill="1" applyBorder="1" applyAlignment="1" applyProtection="1">
      <alignment horizontal="center" vertical="center" wrapText="1" shrinkToFit="1"/>
      <protection locked="0"/>
    </xf>
    <xf numFmtId="0" fontId="5" fillId="3" borderId="380" xfId="14" applyNumberFormat="1" applyFont="1" applyFill="1" applyBorder="1" applyAlignment="1" applyProtection="1">
      <alignment horizontal="center" vertical="center" wrapText="1" shrinkToFit="1"/>
      <protection locked="0"/>
    </xf>
    <xf numFmtId="2" fontId="38" fillId="7" borderId="57" xfId="13" applyNumberFormat="1" applyFont="1" applyFill="1" applyBorder="1" applyAlignment="1">
      <alignment horizontal="center" vertical="center" wrapText="1"/>
    </xf>
    <xf numFmtId="2" fontId="38" fillId="7" borderId="97" xfId="13" applyNumberFormat="1" applyFont="1" applyFill="1" applyBorder="1" applyAlignment="1">
      <alignment horizontal="center" vertical="center" wrapText="1"/>
    </xf>
    <xf numFmtId="0" fontId="38" fillId="21" borderId="0" xfId="13" applyFont="1" applyFill="1" applyBorder="1" applyAlignment="1">
      <alignment horizontal="center" vertical="center" shrinkToFit="1"/>
    </xf>
    <xf numFmtId="0" fontId="38" fillId="22" borderId="0" xfId="13" applyFont="1" applyFill="1" applyBorder="1" applyAlignment="1">
      <alignment horizontal="center" vertical="center" shrinkToFit="1"/>
    </xf>
    <xf numFmtId="0" fontId="5" fillId="3" borderId="27" xfId="14" applyNumberFormat="1" applyFont="1" applyFill="1" applyBorder="1" applyAlignment="1" applyProtection="1">
      <alignment horizontal="center" vertical="center" wrapText="1" shrinkToFit="1"/>
      <protection locked="0"/>
    </xf>
    <xf numFmtId="0" fontId="5" fillId="3" borderId="99" xfId="14" applyNumberFormat="1" applyFont="1" applyFill="1" applyBorder="1" applyAlignment="1" applyProtection="1">
      <alignment horizontal="center"/>
      <protection locked="0"/>
    </xf>
    <xf numFmtId="0" fontId="5" fillId="3" borderId="84" xfId="14" applyNumberFormat="1" applyFont="1" applyFill="1" applyBorder="1" applyAlignment="1" applyProtection="1">
      <alignment horizontal="center"/>
      <protection locked="0"/>
    </xf>
    <xf numFmtId="0" fontId="5" fillId="3" borderId="143" xfId="14" applyNumberFormat="1" applyFont="1" applyFill="1" applyBorder="1" applyAlignment="1" applyProtection="1">
      <alignment horizontal="center"/>
      <protection locked="0"/>
    </xf>
    <xf numFmtId="0" fontId="5" fillId="3" borderId="138" xfId="14" applyNumberFormat="1" applyFont="1" applyFill="1" applyBorder="1" applyAlignment="1" applyProtection="1">
      <alignment horizontal="center" vertical="center" wrapText="1"/>
      <protection locked="0"/>
    </xf>
    <xf numFmtId="0" fontId="5" fillId="3" borderId="139" xfId="14" applyNumberFormat="1" applyFont="1" applyFill="1" applyBorder="1" applyAlignment="1" applyProtection="1">
      <alignment horizontal="center" vertical="center" wrapText="1"/>
      <protection locked="0"/>
    </xf>
    <xf numFmtId="0" fontId="5" fillId="3" borderId="382" xfId="14" applyNumberFormat="1" applyFont="1" applyFill="1" applyBorder="1" applyAlignment="1" applyProtection="1">
      <alignment horizontal="center"/>
      <protection locked="0"/>
    </xf>
    <xf numFmtId="0" fontId="5" fillId="3" borderId="383" xfId="14" applyNumberFormat="1" applyFont="1" applyFill="1" applyBorder="1" applyAlignment="1" applyProtection="1">
      <alignment horizontal="center" vertical="center" wrapText="1"/>
      <protection locked="0"/>
    </xf>
    <xf numFmtId="0" fontId="5" fillId="3" borderId="383" xfId="14" applyNumberFormat="1" applyFont="1" applyFill="1" applyBorder="1" applyAlignment="1" applyProtection="1">
      <alignment horizontal="center" vertical="center" wrapText="1" shrinkToFit="1"/>
      <protection locked="0"/>
    </xf>
    <xf numFmtId="0" fontId="5" fillId="3" borderId="136" xfId="14" applyNumberFormat="1" applyFont="1" applyFill="1" applyBorder="1" applyAlignment="1" applyProtection="1">
      <alignment horizontal="center" vertical="center" wrapText="1" shrinkToFit="1"/>
      <protection locked="0"/>
    </xf>
    <xf numFmtId="0" fontId="5" fillId="3" borderId="26" xfId="14" applyFont="1" applyFill="1" applyBorder="1" applyAlignment="1" applyProtection="1">
      <alignment horizontal="center" vertical="center" wrapText="1" shrinkToFit="1"/>
      <protection locked="0"/>
    </xf>
    <xf numFmtId="0" fontId="5" fillId="3" borderId="26" xfId="14" applyFont="1" applyFill="1" applyBorder="1" applyAlignment="1" applyProtection="1">
      <alignment horizontal="center" vertical="center" shrinkToFit="1"/>
      <protection locked="0"/>
    </xf>
    <xf numFmtId="0" fontId="5" fillId="3" borderId="135" xfId="14" applyFont="1" applyFill="1" applyBorder="1" applyAlignment="1" applyProtection="1">
      <alignment horizontal="center" vertical="center"/>
      <protection locked="0"/>
    </xf>
    <xf numFmtId="2" fontId="38" fillId="7" borderId="38" xfId="13" applyNumberFormat="1" applyFont="1" applyFill="1" applyBorder="1" applyAlignment="1">
      <alignment horizontal="center" vertical="center" wrapText="1"/>
    </xf>
    <xf numFmtId="2" fontId="38" fillId="7" borderId="96" xfId="13" applyNumberFormat="1" applyFont="1" applyFill="1" applyBorder="1" applyAlignment="1">
      <alignment horizontal="center" vertical="center" wrapText="1"/>
    </xf>
    <xf numFmtId="0" fontId="38" fillId="7" borderId="57" xfId="13" applyFont="1" applyFill="1" applyBorder="1" applyAlignment="1">
      <alignment horizontal="center" vertical="center" shrinkToFit="1"/>
    </xf>
    <xf numFmtId="0" fontId="38" fillId="7" borderId="56" xfId="13" applyFont="1" applyFill="1" applyBorder="1" applyAlignment="1">
      <alignment horizontal="center" vertical="center" shrinkToFit="1"/>
    </xf>
    <xf numFmtId="0" fontId="38" fillId="7" borderId="13" xfId="13" applyFont="1" applyFill="1" applyBorder="1" applyAlignment="1">
      <alignment horizontal="center" vertical="center" shrinkToFit="1"/>
    </xf>
    <xf numFmtId="0" fontId="38" fillId="7" borderId="12" xfId="13" applyFont="1" applyFill="1" applyBorder="1" applyAlignment="1">
      <alignment horizontal="center" vertical="center" shrinkToFit="1"/>
    </xf>
    <xf numFmtId="0" fontId="38" fillId="7" borderId="11" xfId="13" applyFont="1" applyFill="1" applyBorder="1" applyAlignment="1">
      <alignment horizontal="center" vertical="center" shrinkToFit="1"/>
    </xf>
    <xf numFmtId="0" fontId="5" fillId="0" borderId="0" xfId="14" applyFont="1" applyAlignment="1">
      <alignment horizontal="right" vertical="center"/>
    </xf>
    <xf numFmtId="2" fontId="38" fillId="7" borderId="177" xfId="13" applyNumberFormat="1" applyFont="1" applyFill="1" applyBorder="1" applyAlignment="1">
      <alignment horizontal="center" vertical="center" wrapText="1"/>
    </xf>
    <xf numFmtId="2" fontId="38" fillId="7" borderId="170" xfId="13" applyNumberFormat="1" applyFont="1" applyFill="1" applyBorder="1" applyAlignment="1">
      <alignment horizontal="center" vertical="center" wrapText="1"/>
    </xf>
    <xf numFmtId="0" fontId="38" fillId="7" borderId="177" xfId="13" applyFont="1" applyFill="1" applyBorder="1" applyAlignment="1">
      <alignment horizontal="center" vertical="center" shrinkToFit="1"/>
    </xf>
    <xf numFmtId="0" fontId="38" fillId="7" borderId="171" xfId="13" applyFont="1" applyFill="1" applyBorder="1" applyAlignment="1">
      <alignment horizontal="center" vertical="center" shrinkToFit="1"/>
    </xf>
    <xf numFmtId="0" fontId="38" fillId="7" borderId="251" xfId="13" applyFont="1" applyFill="1" applyBorder="1" applyAlignment="1">
      <alignment horizontal="center" vertical="center" shrinkToFit="1"/>
    </xf>
    <xf numFmtId="0" fontId="38" fillId="7" borderId="384" xfId="13" applyFont="1" applyFill="1" applyBorder="1" applyAlignment="1">
      <alignment horizontal="center" vertical="center" shrinkToFit="1"/>
    </xf>
    <xf numFmtId="0" fontId="38" fillId="7" borderId="385" xfId="13" applyFont="1" applyFill="1" applyBorder="1" applyAlignment="1">
      <alignment horizontal="center" vertical="center" shrinkToFit="1"/>
    </xf>
    <xf numFmtId="0" fontId="41" fillId="0" borderId="0" xfId="13" applyFont="1">
      <alignment vertical="center"/>
    </xf>
    <xf numFmtId="2" fontId="42" fillId="0" borderId="0" xfId="13" applyNumberFormat="1" applyFont="1">
      <alignment vertical="center"/>
    </xf>
    <xf numFmtId="0" fontId="42" fillId="0" borderId="0" xfId="13" applyFont="1">
      <alignment vertical="center"/>
    </xf>
    <xf numFmtId="0" fontId="42" fillId="0" borderId="0" xfId="13" applyFont="1" applyBorder="1">
      <alignment vertical="center"/>
    </xf>
    <xf numFmtId="0" fontId="43" fillId="0" borderId="0" xfId="13" applyFont="1" applyBorder="1">
      <alignment vertical="center"/>
    </xf>
    <xf numFmtId="0" fontId="11" fillId="2" borderId="4" xfId="14" applyFont="1" applyFill="1" applyBorder="1"/>
    <xf numFmtId="0" fontId="11" fillId="2" borderId="3" xfId="14" applyFont="1" applyFill="1" applyBorder="1"/>
    <xf numFmtId="0" fontId="11" fillId="2" borderId="3" xfId="14" applyNumberFormat="1" applyFont="1" applyFill="1" applyBorder="1" applyProtection="1">
      <protection locked="0"/>
    </xf>
    <xf numFmtId="242" fontId="11" fillId="2" borderId="3" xfId="14" applyNumberFormat="1" applyFont="1" applyFill="1" applyBorder="1" applyAlignment="1" applyProtection="1">
      <alignment horizontal="left"/>
      <protection locked="0"/>
    </xf>
    <xf numFmtId="0" fontId="11" fillId="2" borderId="3" xfId="14" applyFont="1" applyFill="1" applyBorder="1" applyProtection="1">
      <protection locked="0"/>
    </xf>
    <xf numFmtId="193" fontId="6" fillId="2" borderId="3" xfId="14" applyNumberFormat="1" applyFont="1" applyFill="1" applyBorder="1" applyProtection="1">
      <protection locked="0"/>
    </xf>
    <xf numFmtId="193" fontId="11" fillId="2" borderId="3" xfId="14" applyNumberFormat="1" applyFont="1" applyFill="1" applyBorder="1" applyProtection="1">
      <protection locked="0"/>
    </xf>
    <xf numFmtId="0" fontId="6" fillId="2" borderId="2" xfId="14" applyNumberFormat="1" applyFont="1" applyFill="1" applyBorder="1" applyAlignment="1" applyProtection="1">
      <alignment horizontal="left" vertical="center" indent="1"/>
      <protection locked="0"/>
    </xf>
    <xf numFmtId="0" fontId="5" fillId="0" borderId="100" xfId="14" applyNumberFormat="1" applyFont="1" applyBorder="1" applyAlignment="1" applyProtection="1">
      <alignment horizontal="center" shrinkToFit="1"/>
      <protection locked="0"/>
    </xf>
    <xf numFmtId="0" fontId="5" fillId="0" borderId="62" xfId="14" applyNumberFormat="1" applyFont="1" applyBorder="1" applyAlignment="1" applyProtection="1">
      <alignment horizontal="center" shrinkToFit="1"/>
      <protection locked="0"/>
    </xf>
    <xf numFmtId="0" fontId="5" fillId="0" borderId="379" xfId="14" applyNumberFormat="1" applyFont="1" applyBorder="1" applyAlignment="1" applyProtection="1">
      <alignment shrinkToFit="1"/>
      <protection locked="0"/>
    </xf>
    <xf numFmtId="241" fontId="5" fillId="0" borderId="40" xfId="14" applyNumberFormat="1" applyFont="1" applyBorder="1" applyAlignment="1" applyProtection="1">
      <alignment shrinkToFit="1"/>
      <protection locked="0"/>
    </xf>
    <xf numFmtId="240" fontId="5" fillId="0" borderId="40" xfId="14" applyNumberFormat="1" applyFont="1" applyBorder="1" applyAlignment="1" applyProtection="1">
      <alignment shrinkToFit="1"/>
      <protection locked="0"/>
    </xf>
    <xf numFmtId="240" fontId="5" fillId="0" borderId="0" xfId="14" applyNumberFormat="1" applyFont="1" applyBorder="1" applyAlignment="1" applyProtection="1">
      <alignment shrinkToFit="1"/>
      <protection locked="0"/>
    </xf>
    <xf numFmtId="0" fontId="5" fillId="0" borderId="380" xfId="14" applyNumberFormat="1" applyFont="1" applyBorder="1" applyAlignment="1" applyProtection="1">
      <alignment horizontal="center" shrinkToFit="1"/>
      <protection locked="0"/>
    </xf>
    <xf numFmtId="3" fontId="5" fillId="0" borderId="255" xfId="14" applyNumberFormat="1" applyFont="1" applyBorder="1" applyAlignment="1" applyProtection="1">
      <alignment shrinkToFit="1"/>
      <protection locked="0"/>
    </xf>
    <xf numFmtId="3" fontId="5" fillId="0" borderId="40" xfId="14" applyNumberFormat="1" applyFont="1" applyBorder="1" applyAlignment="1" applyProtection="1">
      <alignment shrinkToFit="1"/>
      <protection locked="0"/>
    </xf>
    <xf numFmtId="3" fontId="18" fillId="0" borderId="40" xfId="14" applyNumberFormat="1" applyFont="1" applyBorder="1" applyAlignment="1" applyProtection="1">
      <alignment shrinkToFit="1"/>
      <protection locked="0"/>
    </xf>
    <xf numFmtId="3" fontId="18" fillId="0" borderId="307" xfId="14" applyNumberFormat="1" applyFont="1" applyBorder="1" applyAlignment="1" applyProtection="1">
      <alignment shrinkToFit="1"/>
      <protection locked="0"/>
    </xf>
    <xf numFmtId="3" fontId="5" fillId="0" borderId="380" xfId="14" applyNumberFormat="1" applyFont="1" applyBorder="1" applyAlignment="1" applyProtection="1">
      <alignment shrinkToFit="1"/>
      <protection locked="0"/>
    </xf>
    <xf numFmtId="3" fontId="5" fillId="0" borderId="62" xfId="14" applyNumberFormat="1" applyFont="1" applyBorder="1" applyAlignment="1" applyProtection="1">
      <alignment shrinkToFit="1"/>
      <protection locked="0"/>
    </xf>
    <xf numFmtId="3" fontId="18" fillId="0" borderId="0" xfId="14" applyNumberFormat="1" applyFont="1" applyBorder="1" applyAlignment="1" applyProtection="1">
      <alignment shrinkToFit="1"/>
      <protection locked="0"/>
    </xf>
    <xf numFmtId="2" fontId="5" fillId="0" borderId="255" xfId="14" applyNumberFormat="1" applyFont="1" applyBorder="1" applyAlignment="1" applyProtection="1">
      <alignment shrinkToFit="1"/>
      <protection locked="0"/>
    </xf>
    <xf numFmtId="2" fontId="5" fillId="0" borderId="206" xfId="14" applyNumberFormat="1" applyFont="1" applyBorder="1" applyAlignment="1" applyProtection="1">
      <alignment shrinkToFit="1"/>
      <protection locked="0"/>
    </xf>
    <xf numFmtId="3" fontId="5" fillId="0" borderId="40" xfId="14" applyNumberFormat="1" applyFont="1" applyFill="1" applyBorder="1" applyAlignment="1" applyProtection="1">
      <alignment shrinkToFit="1"/>
      <protection locked="0"/>
    </xf>
    <xf numFmtId="228" fontId="5" fillId="0" borderId="38" xfId="14" applyNumberFormat="1" applyFont="1" applyBorder="1" applyAlignment="1" applyProtection="1">
      <alignment shrinkToFit="1"/>
      <protection locked="0"/>
    </xf>
    <xf numFmtId="241" fontId="18" fillId="23" borderId="388" xfId="14" applyNumberFormat="1" applyFont="1" applyFill="1" applyBorder="1" applyAlignment="1">
      <alignment vertical="center" shrinkToFit="1"/>
    </xf>
    <xf numFmtId="240" fontId="18" fillId="23" borderId="388" xfId="14" applyNumberFormat="1" applyFont="1" applyFill="1" applyBorder="1" applyAlignment="1">
      <alignment vertical="center" shrinkToFit="1"/>
    </xf>
    <xf numFmtId="0" fontId="18" fillId="23" borderId="389" xfId="14" applyNumberFormat="1" applyFont="1" applyFill="1" applyBorder="1" applyAlignment="1">
      <alignment vertical="center" shrinkToFit="1"/>
    </xf>
    <xf numFmtId="3" fontId="18" fillId="23" borderId="389" xfId="14" applyNumberFormat="1" applyFont="1" applyFill="1" applyBorder="1" applyAlignment="1">
      <alignment vertical="center" shrinkToFit="1"/>
    </xf>
    <xf numFmtId="3" fontId="18" fillId="23" borderId="388" xfId="14" applyNumberFormat="1" applyFont="1" applyFill="1" applyBorder="1" applyAlignment="1">
      <alignment vertical="center" shrinkToFit="1"/>
    </xf>
    <xf numFmtId="2" fontId="18" fillId="23" borderId="389" xfId="14" applyNumberFormat="1" applyFont="1" applyFill="1" applyBorder="1" applyAlignment="1">
      <alignment vertical="center" shrinkToFit="1"/>
    </xf>
    <xf numFmtId="2" fontId="18" fillId="23" borderId="388" xfId="14" applyNumberFormat="1" applyFont="1" applyFill="1" applyBorder="1" applyAlignment="1">
      <alignment vertical="center" shrinkToFit="1"/>
    </xf>
    <xf numFmtId="228" fontId="18" fillId="23" borderId="390" xfId="14" applyNumberFormat="1" applyFont="1" applyFill="1" applyBorder="1" applyAlignment="1">
      <alignment vertical="center" shrinkToFit="1"/>
    </xf>
    <xf numFmtId="0" fontId="18" fillId="23" borderId="387" xfId="14" applyNumberFormat="1" applyFont="1" applyFill="1" applyBorder="1" applyAlignment="1">
      <alignment horizontal="center" vertical="center" shrinkToFit="1"/>
    </xf>
    <xf numFmtId="0" fontId="0" fillId="0" borderId="386" xfId="0" applyBorder="1" applyAlignment="1">
      <alignment horizontal="center" vertical="center" shrinkToFit="1"/>
    </xf>
    <xf numFmtId="0" fontId="0" fillId="0" borderId="391" xfId="0" applyBorder="1" applyAlignment="1">
      <alignment horizontal="center" vertical="center" shrinkToFit="1"/>
    </xf>
    <xf numFmtId="0" fontId="5" fillId="3" borderId="79" xfId="14" applyNumberFormat="1" applyFont="1" applyFill="1" applyBorder="1" applyAlignment="1" applyProtection="1">
      <alignment horizontal="center" vertical="center"/>
      <protection locked="0"/>
    </xf>
    <xf numFmtId="0" fontId="5" fillId="3" borderId="68" xfId="14" applyNumberFormat="1" applyFont="1" applyFill="1" applyBorder="1" applyAlignment="1" applyProtection="1">
      <alignment horizontal="center" vertical="center"/>
      <protection locked="0"/>
    </xf>
    <xf numFmtId="0" fontId="0" fillId="0" borderId="166" xfId="0" applyBorder="1" applyAlignment="1">
      <alignment horizontal="center" vertical="center"/>
    </xf>
    <xf numFmtId="0" fontId="5" fillId="3" borderId="392" xfId="14" applyNumberFormat="1" applyFont="1" applyFill="1" applyBorder="1" applyAlignment="1" applyProtection="1">
      <alignment horizontal="center" vertical="center" wrapText="1"/>
      <protection locked="0"/>
    </xf>
    <xf numFmtId="194" fontId="5" fillId="12" borderId="166" xfId="2" applyNumberFormat="1" applyFont="1" applyFill="1" applyBorder="1" applyAlignment="1" applyProtection="1">
      <alignment horizontal="center" vertical="center" wrapText="1" shrinkToFit="1"/>
      <protection locked="0"/>
    </xf>
    <xf numFmtId="195" fontId="5" fillId="12" borderId="165" xfId="2" applyNumberFormat="1" applyFont="1" applyFill="1" applyBorder="1" applyAlignment="1" applyProtection="1">
      <alignment horizontal="center" vertical="center" wrapText="1" shrinkToFit="1"/>
      <protection locked="0"/>
    </xf>
    <xf numFmtId="196" fontId="5" fillId="12" borderId="56" xfId="2" applyNumberFormat="1" applyFont="1" applyFill="1" applyBorder="1" applyAlignment="1" applyProtection="1">
      <alignment horizontal="center" vertical="center" wrapText="1" shrinkToFit="1"/>
      <protection locked="0"/>
    </xf>
    <xf numFmtId="197" fontId="5" fillId="12" borderId="42" xfId="2" applyNumberFormat="1" applyFont="1" applyFill="1" applyBorder="1" applyAlignment="1" applyProtection="1">
      <alignment horizontal="center" vertical="center" wrapText="1" shrinkToFit="1"/>
      <protection locked="0"/>
    </xf>
    <xf numFmtId="0" fontId="18" fillId="0" borderId="0" xfId="2" applyFont="1" applyFill="1" applyBorder="1" applyAlignment="1" applyProtection="1">
      <alignment horizontal="left" vertical="center" indent="1"/>
      <protection locked="0"/>
    </xf>
    <xf numFmtId="0" fontId="5" fillId="0" borderId="0" xfId="2" applyFont="1" applyFill="1" applyBorder="1" applyAlignment="1" applyProtection="1">
      <alignment horizontal="center"/>
      <protection locked="0"/>
    </xf>
    <xf numFmtId="176" fontId="33" fillId="0" borderId="134" xfId="2" applyNumberFormat="1" applyFont="1" applyFill="1" applyBorder="1" applyAlignment="1" applyProtection="1">
      <alignment horizontal="left" vertical="center" indent="1"/>
      <protection locked="0"/>
    </xf>
    <xf numFmtId="0" fontId="5" fillId="0" borderId="393" xfId="2" applyFont="1" applyFill="1" applyBorder="1" applyAlignment="1" applyProtection="1">
      <alignment horizontal="right"/>
    </xf>
    <xf numFmtId="3" fontId="5" fillId="0" borderId="158" xfId="12" applyNumberFormat="1" applyFont="1" applyFill="1" applyBorder="1" applyAlignment="1" applyProtection="1">
      <alignment horizontal="right" shrinkToFit="1"/>
    </xf>
    <xf numFmtId="0" fontId="5" fillId="0" borderId="0" xfId="2" applyFont="1" applyFill="1" applyBorder="1" applyAlignment="1" applyProtection="1">
      <protection locked="0"/>
    </xf>
    <xf numFmtId="0" fontId="5" fillId="0" borderId="0" xfId="14" applyFont="1" applyAlignment="1"/>
    <xf numFmtId="0" fontId="5" fillId="0" borderId="57" xfId="3" applyFont="1" applyFill="1" applyBorder="1" applyAlignment="1">
      <alignment horizontal="left" vertical="center" indent="1" shrinkToFit="1"/>
    </xf>
    <xf numFmtId="0" fontId="5" fillId="0" borderId="56" xfId="3" applyFont="1" applyFill="1" applyBorder="1" applyAlignment="1">
      <alignment horizontal="left" vertical="center" indent="1" shrinkToFit="1"/>
    </xf>
    <xf numFmtId="0" fontId="5" fillId="0" borderId="97" xfId="3" applyFont="1" applyFill="1" applyBorder="1" applyAlignment="1">
      <alignment horizontal="left" vertical="center" indent="1" shrinkToFit="1"/>
    </xf>
    <xf numFmtId="0" fontId="5" fillId="0" borderId="0" xfId="14" applyFont="1" applyAlignment="1">
      <alignment horizontal="left" indent="1" shrinkToFit="1"/>
    </xf>
    <xf numFmtId="0" fontId="5" fillId="0" borderId="38" xfId="3" applyFont="1" applyFill="1" applyBorder="1" applyAlignment="1">
      <alignment horizontal="left" vertical="center" indent="1" shrinkToFit="1"/>
    </xf>
    <xf numFmtId="0" fontId="5" fillId="0" borderId="0" xfId="3" applyFont="1" applyFill="1" applyBorder="1" applyAlignment="1">
      <alignment horizontal="left" vertical="center" indent="1" shrinkToFit="1"/>
    </xf>
    <xf numFmtId="0" fontId="5" fillId="0" borderId="96" xfId="3" applyFont="1" applyFill="1" applyBorder="1" applyAlignment="1">
      <alignment horizontal="left" vertical="center" indent="1" shrinkToFit="1"/>
    </xf>
    <xf numFmtId="0" fontId="5" fillId="0" borderId="0" xfId="14" applyFont="1" applyBorder="1" applyAlignment="1"/>
    <xf numFmtId="0" fontId="5" fillId="0" borderId="394" xfId="14" applyFont="1" applyBorder="1" applyAlignment="1">
      <alignment horizontal="left" indent="1" shrinkToFit="1"/>
    </xf>
    <xf numFmtId="0" fontId="5" fillId="0" borderId="395" xfId="14" applyFont="1" applyBorder="1" applyAlignment="1"/>
    <xf numFmtId="0" fontId="5" fillId="0" borderId="0" xfId="16" applyFont="1" applyAlignment="1"/>
    <xf numFmtId="0" fontId="5" fillId="0" borderId="0" xfId="14" applyNumberFormat="1" applyFont="1" applyBorder="1" applyAlignment="1" applyProtection="1">
      <protection locked="0"/>
    </xf>
    <xf numFmtId="0" fontId="5" fillId="0" borderId="0" xfId="14" applyNumberFormat="1" applyFont="1" applyBorder="1" applyAlignment="1" applyProtection="1">
      <alignment horizontal="left" indent="1"/>
      <protection locked="0"/>
    </xf>
    <xf numFmtId="0" fontId="5" fillId="0" borderId="0" xfId="16" applyFont="1" applyBorder="1" applyAlignment="1"/>
    <xf numFmtId="0" fontId="5" fillId="0" borderId="0" xfId="14" applyNumberFormat="1" applyFont="1" applyBorder="1" applyAlignment="1"/>
    <xf numFmtId="0" fontId="5" fillId="0" borderId="0" xfId="17" applyFont="1" applyFill="1" applyAlignment="1"/>
    <xf numFmtId="0" fontId="5" fillId="0" borderId="0" xfId="17" applyNumberFormat="1" applyFont="1" applyFill="1" applyBorder="1" applyAlignment="1"/>
    <xf numFmtId="193" fontId="5" fillId="0" borderId="0" xfId="17" applyNumberFormat="1" applyFont="1" applyFill="1" applyBorder="1" applyAlignment="1"/>
    <xf numFmtId="0" fontId="5" fillId="0" borderId="396" xfId="17" applyFont="1" applyFill="1" applyBorder="1" applyAlignment="1">
      <alignment horizontal="center" vertical="center" wrapText="1"/>
    </xf>
    <xf numFmtId="0" fontId="5" fillId="0" borderId="397" xfId="17" applyFont="1" applyFill="1" applyBorder="1" applyAlignment="1">
      <alignment horizontal="center" vertical="center" wrapText="1"/>
    </xf>
    <xf numFmtId="0" fontId="5" fillId="0" borderId="398" xfId="17" applyFont="1" applyFill="1" applyBorder="1" applyAlignment="1">
      <alignment horizontal="center" vertical="center" wrapText="1"/>
    </xf>
    <xf numFmtId="0" fontId="5" fillId="0" borderId="399" xfId="17" applyFont="1" applyFill="1" applyBorder="1" applyAlignment="1">
      <alignment horizontal="center" vertical="center" wrapText="1"/>
    </xf>
    <xf numFmtId="193" fontId="45" fillId="0" borderId="0" xfId="17" applyNumberFormat="1" applyFont="1" applyFill="1" applyBorder="1" applyAlignment="1"/>
    <xf numFmtId="0" fontId="5" fillId="0" borderId="177" xfId="3" applyFont="1" applyFill="1" applyBorder="1" applyAlignment="1">
      <alignment horizontal="left" vertical="center" indent="1" shrinkToFit="1"/>
    </xf>
    <xf numFmtId="0" fontId="5" fillId="0" borderId="171" xfId="3" applyFont="1" applyFill="1" applyBorder="1" applyAlignment="1">
      <alignment horizontal="left" vertical="center" indent="1" shrinkToFit="1"/>
    </xf>
    <xf numFmtId="0" fontId="5" fillId="0" borderId="170" xfId="3" applyFont="1" applyFill="1" applyBorder="1" applyAlignment="1">
      <alignment horizontal="left" vertical="center" indent="1" shrinkToFit="1"/>
    </xf>
    <xf numFmtId="0" fontId="46" fillId="0" borderId="0" xfId="17" applyFont="1" applyFill="1" applyAlignment="1">
      <alignment horizontal="right"/>
    </xf>
    <xf numFmtId="193" fontId="5" fillId="0" borderId="285" xfId="14" applyNumberFormat="1" applyFont="1" applyFill="1" applyBorder="1" applyAlignment="1"/>
    <xf numFmtId="193" fontId="5" fillId="0" borderId="0" xfId="14" applyNumberFormat="1" applyFont="1" applyBorder="1" applyAlignment="1"/>
    <xf numFmtId="0" fontId="10" fillId="0" borderId="0" xfId="14" applyFont="1" applyAlignment="1"/>
    <xf numFmtId="0" fontId="10" fillId="2" borderId="4" xfId="14" applyFont="1" applyFill="1" applyBorder="1" applyAlignment="1"/>
    <xf numFmtId="0" fontId="10" fillId="2" borderId="3" xfId="14" applyFont="1" applyFill="1" applyBorder="1" applyAlignment="1"/>
    <xf numFmtId="0" fontId="10" fillId="2" borderId="3" xfId="14" applyFont="1" applyFill="1" applyBorder="1" applyAlignment="1">
      <alignment vertical="center"/>
    </xf>
    <xf numFmtId="0" fontId="31" fillId="2" borderId="2" xfId="14" applyFont="1" applyFill="1" applyBorder="1" applyAlignment="1">
      <alignment horizontal="left" vertical="center"/>
    </xf>
    <xf numFmtId="0" fontId="10" fillId="2" borderId="35" xfId="14" applyFont="1" applyFill="1" applyBorder="1" applyAlignment="1"/>
    <xf numFmtId="0" fontId="10" fillId="2" borderId="34" xfId="14" applyFont="1" applyFill="1" applyBorder="1" applyAlignment="1"/>
    <xf numFmtId="0" fontId="31" fillId="2" borderId="2" xfId="14" applyFont="1" applyFill="1" applyBorder="1" applyAlignment="1">
      <alignment horizontal="left" vertical="center" indent="1"/>
    </xf>
    <xf numFmtId="0" fontId="5" fillId="0" borderId="0" xfId="14" applyFont="1" applyAlignment="1">
      <alignment shrinkToFit="1"/>
    </xf>
    <xf numFmtId="0" fontId="0" fillId="0" borderId="0" xfId="0" applyAlignment="1">
      <alignment shrinkToFit="1"/>
    </xf>
    <xf numFmtId="0" fontId="5" fillId="0" borderId="395" xfId="14" applyFont="1" applyBorder="1" applyAlignment="1">
      <alignment shrinkToFit="1"/>
    </xf>
    <xf numFmtId="0" fontId="0" fillId="0" borderId="395" xfId="0" applyBorder="1" applyAlignment="1">
      <alignment shrinkToFit="1"/>
    </xf>
    <xf numFmtId="0" fontId="5" fillId="0" borderId="394" xfId="14" applyFont="1" applyBorder="1" applyAlignment="1">
      <alignment shrinkToFit="1"/>
    </xf>
    <xf numFmtId="0" fontId="0" fillId="0" borderId="394" xfId="0" applyBorder="1" applyAlignment="1">
      <alignment shrinkToFit="1"/>
    </xf>
    <xf numFmtId="0" fontId="5" fillId="0" borderId="0" xfId="14" applyNumberFormat="1" applyFont="1" applyBorder="1" applyAlignment="1" applyProtection="1">
      <alignment shrinkToFit="1"/>
      <protection locked="0"/>
    </xf>
    <xf numFmtId="0" fontId="5" fillId="0" borderId="395" xfId="14" applyNumberFormat="1" applyFont="1" applyBorder="1" applyAlignment="1" applyProtection="1">
      <alignment shrinkToFit="1"/>
      <protection locked="0"/>
    </xf>
    <xf numFmtId="0" fontId="5" fillId="0" borderId="394" xfId="14" applyNumberFormat="1" applyFont="1" applyBorder="1" applyAlignment="1" applyProtection="1">
      <alignment shrinkToFit="1"/>
      <protection locked="0"/>
    </xf>
    <xf numFmtId="0" fontId="5" fillId="0" borderId="0" xfId="14" applyFont="1" applyBorder="1" applyAlignment="1">
      <alignment shrinkToFit="1"/>
    </xf>
    <xf numFmtId="0" fontId="5" fillId="0" borderId="0" xfId="14" applyNumberFormat="1" applyFont="1" applyBorder="1" applyAlignment="1">
      <alignment shrinkToFit="1"/>
    </xf>
    <xf numFmtId="0" fontId="5" fillId="0" borderId="0" xfId="16" applyFont="1" applyBorder="1" applyAlignment="1">
      <alignment shrinkToFit="1"/>
    </xf>
    <xf numFmtId="0" fontId="5" fillId="0" borderId="395" xfId="16" applyFont="1" applyBorder="1" applyAlignment="1">
      <alignment shrinkToFit="1"/>
    </xf>
    <xf numFmtId="0" fontId="5" fillId="0" borderId="394" xfId="16" applyFont="1" applyBorder="1" applyAlignment="1">
      <alignment shrinkToFit="1"/>
    </xf>
    <xf numFmtId="3" fontId="5" fillId="0" borderId="129" xfId="14" applyNumberFormat="1" applyFont="1" applyBorder="1" applyAlignment="1" applyProtection="1">
      <alignment shrinkToFit="1"/>
      <protection locked="0"/>
    </xf>
    <xf numFmtId="3" fontId="5" fillId="0" borderId="149" xfId="14" applyNumberFormat="1" applyFont="1" applyBorder="1" applyAlignment="1" applyProtection="1">
      <alignment shrinkToFit="1"/>
      <protection locked="0"/>
    </xf>
    <xf numFmtId="0" fontId="5" fillId="0" borderId="306" xfId="14" applyNumberFormat="1" applyFont="1" applyBorder="1" applyAlignment="1" applyProtection="1">
      <alignment shrinkToFit="1"/>
      <protection locked="0"/>
    </xf>
    <xf numFmtId="183" fontId="5" fillId="3" borderId="307" xfId="14" applyNumberFormat="1" applyFont="1" applyFill="1" applyBorder="1" applyAlignment="1" applyProtection="1">
      <alignment horizontal="center" vertical="center" shrinkToFit="1"/>
      <protection locked="0"/>
    </xf>
    <xf numFmtId="183" fontId="5" fillId="3" borderId="40" xfId="14" applyNumberFormat="1" applyFont="1" applyFill="1" applyBorder="1" applyAlignment="1" applyProtection="1">
      <alignment horizontal="center" vertical="center" shrinkToFit="1"/>
      <protection locked="0"/>
    </xf>
    <xf numFmtId="183" fontId="5" fillId="3" borderId="255" xfId="14" applyNumberFormat="1" applyFont="1" applyFill="1" applyBorder="1" applyAlignment="1" applyProtection="1">
      <alignment horizontal="center" vertical="center" shrinkToFit="1"/>
      <protection locked="0"/>
    </xf>
    <xf numFmtId="0" fontId="5" fillId="3" borderId="400" xfId="14" applyNumberFormat="1" applyFont="1" applyFill="1" applyBorder="1" applyAlignment="1" applyProtection="1">
      <alignment horizontal="center" vertical="center" wrapText="1" shrinkToFit="1"/>
      <protection locked="0"/>
    </xf>
    <xf numFmtId="0" fontId="5" fillId="3" borderId="138" xfId="14" applyNumberFormat="1" applyFont="1" applyFill="1" applyBorder="1" applyAlignment="1" applyProtection="1">
      <alignment horizontal="center" vertical="center"/>
      <protection locked="0"/>
    </xf>
    <xf numFmtId="0" fontId="5" fillId="3" borderId="34" xfId="14" applyNumberFormat="1" applyFont="1" applyFill="1" applyBorder="1" applyAlignment="1" applyProtection="1">
      <alignment horizontal="center" vertical="center"/>
      <protection locked="0"/>
    </xf>
    <xf numFmtId="0" fontId="5" fillId="3" borderId="139" xfId="14" applyNumberFormat="1" applyFont="1" applyFill="1" applyBorder="1" applyAlignment="1" applyProtection="1">
      <alignment horizontal="center" vertical="center"/>
      <protection locked="0"/>
    </xf>
    <xf numFmtId="0" fontId="5" fillId="3" borderId="138" xfId="14" applyFont="1" applyFill="1" applyBorder="1" applyAlignment="1" applyProtection="1">
      <alignment horizontal="center" vertical="center" wrapText="1" shrinkToFit="1"/>
      <protection locked="0"/>
    </xf>
    <xf numFmtId="0" fontId="5" fillId="3" borderId="136" xfId="14" applyFont="1" applyFill="1" applyBorder="1" applyAlignment="1" applyProtection="1">
      <alignment horizontal="center" vertical="center" shrinkToFit="1"/>
      <protection locked="0"/>
    </xf>
    <xf numFmtId="0" fontId="48" fillId="0" borderId="0" xfId="13" applyFont="1">
      <alignment vertical="center"/>
    </xf>
    <xf numFmtId="0" fontId="49" fillId="2" borderId="4" xfId="14" applyFont="1" applyFill="1" applyBorder="1"/>
    <xf numFmtId="0" fontId="49" fillId="2" borderId="3" xfId="14" applyFont="1" applyFill="1" applyBorder="1"/>
    <xf numFmtId="0" fontId="49" fillId="2" borderId="3" xfId="14" applyNumberFormat="1" applyFont="1" applyFill="1" applyBorder="1" applyProtection="1">
      <protection locked="0"/>
    </xf>
    <xf numFmtId="242" fontId="49" fillId="2" borderId="3" xfId="14" applyNumberFormat="1" applyFont="1" applyFill="1" applyBorder="1" applyAlignment="1" applyProtection="1">
      <alignment horizontal="left"/>
      <protection locked="0"/>
    </xf>
    <xf numFmtId="0" fontId="49" fillId="2" borderId="3" xfId="14" applyFont="1" applyFill="1" applyBorder="1" applyProtection="1">
      <protection locked="0"/>
    </xf>
    <xf numFmtId="193" fontId="8" fillId="2" borderId="3" xfId="14" applyNumberFormat="1" applyFont="1" applyFill="1" applyBorder="1" applyProtection="1">
      <protection locked="0"/>
    </xf>
    <xf numFmtId="193" fontId="49" fillId="2" borderId="3" xfId="14" applyNumberFormat="1" applyFont="1" applyFill="1" applyBorder="1" applyProtection="1">
      <protection locked="0"/>
    </xf>
    <xf numFmtId="0" fontId="8" fillId="2" borderId="2" xfId="14" applyNumberFormat="1" applyFont="1" applyFill="1" applyBorder="1" applyAlignment="1" applyProtection="1">
      <alignment horizontal="left" vertical="center" indent="1"/>
      <protection locked="0"/>
    </xf>
    <xf numFmtId="0" fontId="5" fillId="3" borderId="307" xfId="14" applyFont="1" applyFill="1" applyBorder="1" applyAlignment="1" applyProtection="1">
      <alignment horizontal="center" vertical="center" shrinkToFit="1"/>
      <protection locked="0"/>
    </xf>
    <xf numFmtId="0" fontId="5" fillId="3" borderId="206" xfId="14" applyFont="1" applyFill="1" applyBorder="1" applyAlignment="1" applyProtection="1">
      <alignment horizontal="center" vertical="center" wrapText="1" shrinkToFit="1"/>
      <protection locked="0"/>
    </xf>
    <xf numFmtId="0" fontId="5" fillId="3" borderId="401" xfId="14" applyNumberFormat="1" applyFont="1" applyFill="1" applyBorder="1" applyAlignment="1" applyProtection="1">
      <alignment horizontal="center" vertical="center" wrapText="1" shrinkToFit="1"/>
      <protection locked="0"/>
    </xf>
    <xf numFmtId="0" fontId="5" fillId="0" borderId="303" xfId="14" applyNumberFormat="1" applyFont="1" applyBorder="1" applyAlignment="1" applyProtection="1">
      <alignment shrinkToFit="1"/>
      <protection locked="0"/>
    </xf>
    <xf numFmtId="0" fontId="0" fillId="0" borderId="408" xfId="0" applyBorder="1" applyAlignment="1">
      <alignment horizontal="center" vertical="center" shrinkToFit="1"/>
    </xf>
    <xf numFmtId="0" fontId="5" fillId="0" borderId="381" xfId="14" applyNumberFormat="1" applyFont="1" applyBorder="1" applyAlignment="1" applyProtection="1">
      <alignment shrinkToFit="1"/>
      <protection locked="0"/>
    </xf>
    <xf numFmtId="3" fontId="5" fillId="0" borderId="206" xfId="14" applyNumberFormat="1" applyFont="1" applyBorder="1" applyAlignment="1" applyProtection="1">
      <alignment shrinkToFit="1"/>
      <protection locked="0"/>
    </xf>
    <xf numFmtId="3" fontId="5" fillId="0" borderId="38" xfId="14" applyNumberFormat="1" applyFont="1" applyBorder="1" applyAlignment="1" applyProtection="1">
      <alignment shrinkToFit="1"/>
      <protection locked="0"/>
    </xf>
    <xf numFmtId="0" fontId="18" fillId="24" borderId="409" xfId="14" applyNumberFormat="1" applyFont="1" applyFill="1" applyBorder="1" applyAlignment="1" applyProtection="1">
      <alignment horizontal="center" vertical="center" shrinkToFit="1"/>
      <protection locked="0"/>
    </xf>
    <xf numFmtId="0" fontId="0" fillId="0" borderId="410" xfId="0" applyBorder="1" applyAlignment="1">
      <alignment horizontal="center" vertical="center" shrinkToFit="1"/>
    </xf>
    <xf numFmtId="0" fontId="0" fillId="0" borderId="411" xfId="0" applyBorder="1" applyAlignment="1">
      <alignment horizontal="center" vertical="center" shrinkToFit="1"/>
    </xf>
    <xf numFmtId="0" fontId="18" fillId="0" borderId="402" xfId="14" applyNumberFormat="1" applyFont="1" applyBorder="1" applyAlignment="1" applyProtection="1">
      <alignment vertical="center" shrinkToFit="1"/>
      <protection locked="0"/>
    </xf>
    <xf numFmtId="241" fontId="18" fillId="0" borderId="403" xfId="14" applyNumberFormat="1" applyFont="1" applyBorder="1" applyAlignment="1" applyProtection="1">
      <alignment vertical="center" shrinkToFit="1"/>
      <protection locked="0"/>
    </xf>
    <xf numFmtId="3" fontId="18" fillId="0" borderId="404" xfId="14" applyNumberFormat="1" applyFont="1" applyBorder="1" applyAlignment="1" applyProtection="1">
      <alignment vertical="center" shrinkToFit="1"/>
      <protection locked="0"/>
    </xf>
    <xf numFmtId="3" fontId="18" fillId="0" borderId="403" xfId="14" applyNumberFormat="1" applyFont="1" applyBorder="1" applyAlignment="1" applyProtection="1">
      <alignment vertical="center" shrinkToFit="1"/>
      <protection locked="0"/>
    </xf>
    <xf numFmtId="3" fontId="18" fillId="0" borderId="405" xfId="14" applyNumberFormat="1" applyFont="1" applyBorder="1" applyAlignment="1" applyProtection="1">
      <alignment vertical="center" shrinkToFit="1"/>
      <protection locked="0"/>
    </xf>
    <xf numFmtId="3" fontId="18" fillId="0" borderId="406" xfId="14" applyNumberFormat="1" applyFont="1" applyBorder="1" applyAlignment="1" applyProtection="1">
      <alignment vertical="center" shrinkToFit="1"/>
      <protection locked="0"/>
    </xf>
    <xf numFmtId="0" fontId="18" fillId="0" borderId="407" xfId="14" applyNumberFormat="1" applyFont="1" applyBorder="1" applyAlignment="1" applyProtection="1">
      <alignment horizontal="left" vertical="center" indent="1" shrinkToFit="1"/>
      <protection locked="0"/>
    </xf>
    <xf numFmtId="0" fontId="0" fillId="0" borderId="408" xfId="0" applyBorder="1" applyAlignment="1">
      <alignment horizontal="left" vertical="center" indent="1" shrinkToFit="1"/>
    </xf>
    <xf numFmtId="0" fontId="0" fillId="0" borderId="405" xfId="0" applyBorder="1" applyAlignment="1">
      <alignment horizontal="left" vertical="center" indent="1" shrinkToFit="1"/>
    </xf>
    <xf numFmtId="0" fontId="18" fillId="25" borderId="409" xfId="14" applyNumberFormat="1" applyFont="1" applyFill="1" applyBorder="1" applyAlignment="1" applyProtection="1">
      <alignment horizontal="center" vertical="center" shrinkToFit="1"/>
      <protection locked="0"/>
    </xf>
    <xf numFmtId="0" fontId="18" fillId="26" borderId="409" xfId="14" applyNumberFormat="1" applyFont="1" applyFill="1" applyBorder="1" applyAlignment="1" applyProtection="1">
      <alignment horizontal="center" vertical="center" shrinkToFit="1"/>
      <protection locked="0"/>
    </xf>
    <xf numFmtId="0" fontId="5" fillId="0" borderId="412" xfId="14" applyNumberFormat="1" applyFont="1" applyBorder="1" applyAlignment="1" applyProtection="1">
      <alignment horizontal="center" vertical="center" shrinkToFit="1"/>
      <protection locked="0"/>
    </xf>
    <xf numFmtId="0" fontId="5" fillId="0" borderId="413" xfId="14" applyNumberFormat="1" applyFont="1" applyBorder="1" applyAlignment="1" applyProtection="1">
      <alignment horizontal="center" vertical="center" shrinkToFit="1"/>
      <protection locked="0"/>
    </xf>
    <xf numFmtId="0" fontId="5" fillId="0" borderId="413" xfId="14" applyNumberFormat="1" applyFont="1" applyBorder="1" applyAlignment="1" applyProtection="1">
      <alignment horizontal="left" vertical="center" shrinkToFit="1"/>
      <protection locked="0"/>
    </xf>
    <xf numFmtId="0" fontId="0" fillId="0" borderId="414" xfId="0" applyBorder="1" applyAlignment="1">
      <alignment horizontal="left" vertical="center" shrinkToFit="1"/>
    </xf>
    <xf numFmtId="3" fontId="5" fillId="0" borderId="415" xfId="14" applyNumberFormat="1" applyFont="1" applyBorder="1" applyAlignment="1" applyProtection="1">
      <alignment vertical="center" shrinkToFit="1"/>
      <protection locked="0"/>
    </xf>
    <xf numFmtId="3" fontId="5" fillId="0" borderId="413" xfId="14" applyNumberFormat="1" applyFont="1" applyBorder="1" applyAlignment="1" applyProtection="1">
      <alignment vertical="center" shrinkToFit="1"/>
      <protection locked="0"/>
    </xf>
    <xf numFmtId="3" fontId="5" fillId="0" borderId="416" xfId="14" applyNumberFormat="1" applyFont="1" applyBorder="1" applyAlignment="1" applyProtection="1">
      <alignment vertical="center" shrinkToFit="1"/>
      <protection locked="0"/>
    </xf>
    <xf numFmtId="0" fontId="18" fillId="0" borderId="418" xfId="14" applyNumberFormat="1" applyFont="1" applyBorder="1" applyAlignment="1" applyProtection="1">
      <alignment vertical="center" shrinkToFit="1"/>
      <protection locked="0"/>
    </xf>
    <xf numFmtId="3" fontId="18" fillId="0" borderId="419" xfId="14" applyNumberFormat="1" applyFont="1" applyBorder="1" applyAlignment="1" applyProtection="1">
      <alignment vertical="center" shrinkToFit="1"/>
      <protection locked="0"/>
    </xf>
    <xf numFmtId="3" fontId="18" fillId="0" borderId="418" xfId="14" applyNumberFormat="1" applyFont="1" applyBorder="1" applyAlignment="1" applyProtection="1">
      <alignment vertical="center" shrinkToFit="1"/>
      <protection locked="0"/>
    </xf>
    <xf numFmtId="3" fontId="18" fillId="0" borderId="420" xfId="14" applyNumberFormat="1" applyFont="1" applyBorder="1" applyAlignment="1" applyProtection="1">
      <alignment vertical="center" shrinkToFit="1"/>
      <protection locked="0"/>
    </xf>
    <xf numFmtId="0" fontId="18" fillId="0" borderId="417" xfId="14" applyNumberFormat="1" applyFont="1" applyBorder="1" applyAlignment="1" applyProtection="1">
      <alignment horizontal="center" vertical="center" shrinkToFit="1"/>
      <protection locked="0"/>
    </xf>
    <xf numFmtId="0" fontId="0" fillId="0" borderId="421" xfId="0" applyBorder="1" applyAlignment="1">
      <alignment horizontal="center" vertical="center" shrinkToFit="1"/>
    </xf>
    <xf numFmtId="0" fontId="0" fillId="0" borderId="422" xfId="0" applyBorder="1" applyAlignment="1">
      <alignment horizontal="center" vertical="center" shrinkToFit="1"/>
    </xf>
    <xf numFmtId="241" fontId="18" fillId="0" borderId="419" xfId="14" applyNumberFormat="1" applyFont="1" applyBorder="1" applyAlignment="1" applyProtection="1">
      <alignment vertical="center" shrinkToFit="1"/>
      <protection locked="0"/>
    </xf>
    <xf numFmtId="0" fontId="5" fillId="0" borderId="307" xfId="14" applyNumberFormat="1" applyFont="1" applyBorder="1" applyAlignment="1" applyProtection="1">
      <alignment shrinkToFit="1"/>
      <protection locked="0"/>
    </xf>
    <xf numFmtId="241" fontId="18" fillId="24" borderId="425" xfId="14" applyNumberFormat="1" applyFont="1" applyFill="1" applyBorder="1" applyAlignment="1" applyProtection="1">
      <alignment vertical="center" shrinkToFit="1"/>
      <protection locked="0"/>
    </xf>
    <xf numFmtId="3" fontId="18" fillId="24" borderId="425" xfId="14" applyNumberFormat="1" applyFont="1" applyFill="1" applyBorder="1" applyAlignment="1" applyProtection="1">
      <alignment vertical="center" shrinkToFit="1"/>
      <protection locked="0"/>
    </xf>
    <xf numFmtId="3" fontId="18" fillId="24" borderId="424" xfId="14" applyNumberFormat="1" applyFont="1" applyFill="1" applyBorder="1" applyAlignment="1" applyProtection="1">
      <alignment vertical="center" shrinkToFit="1"/>
      <protection locked="0"/>
    </xf>
    <xf numFmtId="3" fontId="18" fillId="24" borderId="426" xfId="14" applyNumberFormat="1" applyFont="1" applyFill="1" applyBorder="1" applyAlignment="1" applyProtection="1">
      <alignment vertical="center" shrinkToFit="1"/>
      <protection locked="0"/>
    </xf>
    <xf numFmtId="0" fontId="18" fillId="24" borderId="423" xfId="14" applyNumberFormat="1" applyFont="1" applyFill="1" applyBorder="1" applyAlignment="1" applyProtection="1">
      <alignment horizontal="center" vertical="center" shrinkToFit="1"/>
      <protection locked="0"/>
    </xf>
    <xf numFmtId="0" fontId="1" fillId="24" borderId="424" xfId="0" applyNumberFormat="1" applyFont="1" applyFill="1" applyBorder="1" applyAlignment="1">
      <alignment horizontal="center" vertical="center" shrinkToFit="1"/>
    </xf>
    <xf numFmtId="241" fontId="18" fillId="25" borderId="425" xfId="14" applyNumberFormat="1" applyFont="1" applyFill="1" applyBorder="1" applyAlignment="1" applyProtection="1">
      <alignment vertical="center" shrinkToFit="1"/>
      <protection locked="0"/>
    </xf>
    <xf numFmtId="3" fontId="18" fillId="25" borderId="425" xfId="14" applyNumberFormat="1" applyFont="1" applyFill="1" applyBorder="1" applyAlignment="1" applyProtection="1">
      <alignment vertical="center" shrinkToFit="1"/>
      <protection locked="0"/>
    </xf>
    <xf numFmtId="3" fontId="18" fillId="25" borderId="424" xfId="14" applyNumberFormat="1" applyFont="1" applyFill="1" applyBorder="1" applyAlignment="1" applyProtection="1">
      <alignment vertical="center" shrinkToFit="1"/>
      <protection locked="0"/>
    </xf>
    <xf numFmtId="3" fontId="18" fillId="25" borderId="426" xfId="14" applyNumberFormat="1" applyFont="1" applyFill="1" applyBorder="1" applyAlignment="1" applyProtection="1">
      <alignment vertical="center" shrinkToFit="1"/>
      <protection locked="0"/>
    </xf>
    <xf numFmtId="0" fontId="18" fillId="25" borderId="423" xfId="14" applyNumberFormat="1" applyFont="1" applyFill="1" applyBorder="1" applyAlignment="1" applyProtection="1">
      <alignment horizontal="center" vertical="center" shrinkToFit="1"/>
      <protection locked="0"/>
    </xf>
    <xf numFmtId="0" fontId="1" fillId="25" borderId="424" xfId="0" applyNumberFormat="1" applyFont="1" applyFill="1" applyBorder="1" applyAlignment="1">
      <alignment horizontal="center" vertical="center" shrinkToFit="1"/>
    </xf>
    <xf numFmtId="241" fontId="18" fillId="26" borderId="425" xfId="14" applyNumberFormat="1" applyFont="1" applyFill="1" applyBorder="1" applyAlignment="1" applyProtection="1">
      <alignment vertical="center" shrinkToFit="1"/>
      <protection locked="0"/>
    </xf>
    <xf numFmtId="3" fontId="18" fillId="26" borderId="425" xfId="14" applyNumberFormat="1" applyFont="1" applyFill="1" applyBorder="1" applyAlignment="1" applyProtection="1">
      <alignment vertical="center" shrinkToFit="1"/>
      <protection locked="0"/>
    </xf>
    <xf numFmtId="3" fontId="18" fillId="26" borderId="424" xfId="14" applyNumberFormat="1" applyFont="1" applyFill="1" applyBorder="1" applyAlignment="1" applyProtection="1">
      <alignment vertical="center" shrinkToFit="1"/>
      <protection locked="0"/>
    </xf>
    <xf numFmtId="3" fontId="18" fillId="26" borderId="426" xfId="14" applyNumberFormat="1" applyFont="1" applyFill="1" applyBorder="1" applyAlignment="1" applyProtection="1">
      <alignment vertical="center" shrinkToFit="1"/>
      <protection locked="0"/>
    </xf>
    <xf numFmtId="0" fontId="18" fillId="26" borderId="423" xfId="14" applyNumberFormat="1" applyFont="1" applyFill="1" applyBorder="1" applyAlignment="1" applyProtection="1">
      <alignment horizontal="center" vertical="center" shrinkToFit="1"/>
      <protection locked="0"/>
    </xf>
    <xf numFmtId="0" fontId="1" fillId="26" borderId="424" xfId="0" applyNumberFormat="1" applyFont="1" applyFill="1" applyBorder="1" applyAlignment="1">
      <alignment horizontal="center" vertical="center" shrinkToFit="1"/>
    </xf>
    <xf numFmtId="0" fontId="18" fillId="24" borderId="427" xfId="14" applyNumberFormat="1" applyFont="1" applyFill="1" applyBorder="1" applyAlignment="1">
      <alignment horizontal="center" vertical="center" shrinkToFit="1"/>
    </xf>
    <xf numFmtId="0" fontId="0" fillId="0" borderId="428" xfId="0" applyBorder="1" applyAlignment="1">
      <alignment horizontal="center" vertical="center" shrinkToFit="1"/>
    </xf>
    <xf numFmtId="0" fontId="0" fillId="0" borderId="429" xfId="0" applyBorder="1" applyAlignment="1">
      <alignment horizontal="center" vertical="center" shrinkToFit="1"/>
    </xf>
    <xf numFmtId="241" fontId="18" fillId="24" borderId="430" xfId="14" applyNumberFormat="1" applyFont="1" applyFill="1" applyBorder="1" applyAlignment="1">
      <alignment vertical="center" shrinkToFit="1"/>
    </xf>
    <xf numFmtId="3" fontId="18" fillId="24" borderId="430" xfId="14" applyNumberFormat="1" applyFont="1" applyFill="1" applyBorder="1" applyAlignment="1">
      <alignment vertical="center" shrinkToFit="1"/>
    </xf>
    <xf numFmtId="3" fontId="18" fillId="24" borderId="431" xfId="14" applyNumberFormat="1" applyFont="1" applyFill="1" applyBorder="1" applyAlignment="1">
      <alignment vertical="center" shrinkToFit="1"/>
    </xf>
    <xf numFmtId="3" fontId="50" fillId="24" borderId="431" xfId="14" applyNumberFormat="1" applyFont="1" applyFill="1" applyBorder="1" applyAlignment="1">
      <alignment vertical="center" shrinkToFit="1"/>
    </xf>
    <xf numFmtId="3" fontId="18" fillId="24" borderId="432" xfId="14" applyNumberFormat="1" applyFont="1" applyFill="1" applyBorder="1" applyAlignment="1">
      <alignment vertical="center" shrinkToFit="1"/>
    </xf>
    <xf numFmtId="0" fontId="18" fillId="23" borderId="427" xfId="14" applyNumberFormat="1" applyFont="1" applyFill="1" applyBorder="1" applyAlignment="1">
      <alignment horizontal="center" vertical="center" shrinkToFit="1"/>
    </xf>
    <xf numFmtId="241" fontId="18" fillId="23" borderId="430" xfId="14" applyNumberFormat="1" applyFont="1" applyFill="1" applyBorder="1" applyAlignment="1">
      <alignment vertical="center" shrinkToFit="1"/>
    </xf>
    <xf numFmtId="3" fontId="18" fillId="23" borderId="430" xfId="14" applyNumberFormat="1" applyFont="1" applyFill="1" applyBorder="1" applyAlignment="1">
      <alignment vertical="center" shrinkToFit="1"/>
    </xf>
    <xf numFmtId="3" fontId="18" fillId="23" borderId="431" xfId="14" applyNumberFormat="1" applyFont="1" applyFill="1" applyBorder="1" applyAlignment="1">
      <alignment vertical="center" shrinkToFit="1"/>
    </xf>
    <xf numFmtId="3" fontId="50" fillId="23" borderId="431" xfId="14" applyNumberFormat="1" applyFont="1" applyFill="1" applyBorder="1" applyAlignment="1">
      <alignment vertical="center" shrinkToFit="1"/>
    </xf>
    <xf numFmtId="3" fontId="18" fillId="23" borderId="432" xfId="14" applyNumberFormat="1" applyFont="1" applyFill="1" applyBorder="1" applyAlignment="1">
      <alignment vertical="center" shrinkToFit="1"/>
    </xf>
    <xf numFmtId="0" fontId="18" fillId="23" borderId="407" xfId="14" applyNumberFormat="1" applyFont="1" applyFill="1" applyBorder="1" applyAlignment="1">
      <alignment horizontal="center" vertical="center" shrinkToFit="1"/>
    </xf>
    <xf numFmtId="0" fontId="0" fillId="0" borderId="436" xfId="0" applyBorder="1" applyAlignment="1">
      <alignment horizontal="center" vertical="center" shrinkToFit="1"/>
    </xf>
    <xf numFmtId="241" fontId="18" fillId="23" borderId="433" xfId="14" applyNumberFormat="1" applyFont="1" applyFill="1" applyBorder="1" applyAlignment="1">
      <alignment vertical="center" shrinkToFit="1"/>
    </xf>
    <xf numFmtId="3" fontId="18" fillId="23" borderId="433" xfId="14" applyNumberFormat="1" applyFont="1" applyFill="1" applyBorder="1" applyAlignment="1">
      <alignment vertical="center" shrinkToFit="1"/>
    </xf>
    <xf numFmtId="3" fontId="18" fillId="23" borderId="434" xfId="14" applyNumberFormat="1" applyFont="1" applyFill="1" applyBorder="1" applyAlignment="1">
      <alignment vertical="center" shrinkToFit="1"/>
    </xf>
    <xf numFmtId="3" fontId="18" fillId="23" borderId="435" xfId="14" applyNumberFormat="1" applyFont="1" applyFill="1" applyBorder="1" applyAlignment="1">
      <alignment vertical="center" shrinkToFit="1"/>
    </xf>
    <xf numFmtId="3" fontId="50" fillId="23" borderId="434" xfId="14" applyNumberFormat="1" applyFont="1" applyFill="1" applyBorder="1" applyAlignment="1">
      <alignment vertical="center" shrinkToFit="1"/>
    </xf>
    <xf numFmtId="183" fontId="5" fillId="17" borderId="206" xfId="14" applyNumberFormat="1" applyFont="1" applyFill="1" applyBorder="1" applyAlignment="1" applyProtection="1">
      <alignment horizontal="center" vertical="center" shrinkToFit="1"/>
      <protection locked="0"/>
    </xf>
    <xf numFmtId="183" fontId="5" fillId="16" borderId="255" xfId="14" applyNumberFormat="1" applyFont="1" applyFill="1" applyBorder="1" applyAlignment="1" applyProtection="1">
      <alignment horizontal="center" vertical="center" shrinkToFit="1"/>
      <protection locked="0"/>
    </xf>
    <xf numFmtId="0" fontId="5" fillId="3" borderId="35" xfId="14" applyNumberFormat="1" applyFont="1" applyFill="1" applyBorder="1" applyAlignment="1" applyProtection="1">
      <alignment horizontal="center" vertical="center"/>
      <protection locked="0"/>
    </xf>
    <xf numFmtId="0" fontId="52" fillId="0" borderId="0" xfId="13" applyFont="1">
      <alignment vertical="center"/>
    </xf>
    <xf numFmtId="0" fontId="2" fillId="2" borderId="4" xfId="14" applyFont="1" applyFill="1" applyBorder="1"/>
    <xf numFmtId="242" fontId="2" fillId="2" borderId="3" xfId="14" applyNumberFormat="1" applyFont="1" applyFill="1" applyBorder="1" applyAlignment="1" applyProtection="1">
      <alignment horizontal="left"/>
      <protection locked="0"/>
    </xf>
    <xf numFmtId="0" fontId="2" fillId="2" borderId="3" xfId="14" applyFont="1" applyFill="1" applyBorder="1" applyProtection="1">
      <protection locked="0"/>
    </xf>
    <xf numFmtId="193" fontId="53" fillId="2" borderId="3" xfId="14" applyNumberFormat="1" applyFont="1" applyFill="1" applyBorder="1" applyProtection="1">
      <protection locked="0"/>
    </xf>
    <xf numFmtId="193" fontId="2" fillId="2" borderId="3" xfId="14" applyNumberFormat="1" applyFont="1" applyFill="1" applyBorder="1" applyProtection="1">
      <protection locked="0"/>
    </xf>
    <xf numFmtId="0" fontId="53" fillId="2" borderId="2" xfId="14" applyNumberFormat="1" applyFont="1" applyFill="1" applyBorder="1" applyAlignment="1" applyProtection="1">
      <alignment horizontal="left" vertical="center" indent="1"/>
      <protection locked="0"/>
    </xf>
    <xf numFmtId="0" fontId="5" fillId="3" borderId="38" xfId="14" applyNumberFormat="1" applyFont="1" applyFill="1" applyBorder="1" applyAlignment="1" applyProtection="1">
      <alignment horizontal="center" vertical="center"/>
      <protection locked="0"/>
    </xf>
    <xf numFmtId="3" fontId="50" fillId="23" borderId="430" xfId="14" applyNumberFormat="1" applyFont="1" applyFill="1" applyBorder="1" applyAlignment="1">
      <alignment vertical="center" shrinkToFit="1"/>
    </xf>
    <xf numFmtId="3" fontId="18" fillId="23" borderId="432" xfId="14" applyNumberFormat="1" applyFont="1" applyFill="1" applyBorder="1" applyAlignment="1">
      <alignment vertical="center"/>
    </xf>
    <xf numFmtId="3" fontId="50" fillId="23" borderId="433" xfId="14" applyNumberFormat="1" applyFont="1" applyFill="1" applyBorder="1" applyAlignment="1">
      <alignment vertical="center" shrinkToFit="1"/>
    </xf>
    <xf numFmtId="239" fontId="5" fillId="0" borderId="149" xfId="14" applyNumberFormat="1" applyFont="1" applyBorder="1" applyAlignment="1" applyProtection="1">
      <alignment shrinkToFit="1"/>
      <protection locked="0"/>
    </xf>
    <xf numFmtId="239" fontId="5" fillId="0" borderId="128" xfId="14" applyNumberFormat="1" applyFont="1" applyBorder="1" applyAlignment="1" applyProtection="1">
      <alignment shrinkToFit="1"/>
      <protection locked="0"/>
    </xf>
    <xf numFmtId="0" fontId="5" fillId="0" borderId="128" xfId="14" applyNumberFormat="1" applyFont="1" applyBorder="1" applyAlignment="1" applyProtection="1">
      <alignment shrinkToFit="1"/>
      <protection locked="0"/>
    </xf>
    <xf numFmtId="239" fontId="5" fillId="0" borderId="192" xfId="14" applyNumberFormat="1" applyFont="1" applyBorder="1" applyAlignment="1" applyProtection="1">
      <alignment horizontal="center" shrinkToFit="1"/>
      <protection locked="0"/>
    </xf>
    <xf numFmtId="0" fontId="5" fillId="3" borderId="38" xfId="14" applyNumberFormat="1" applyFont="1" applyFill="1" applyBorder="1" applyAlignment="1" applyProtection="1">
      <alignment horizontal="center" vertical="center" wrapText="1" shrinkToFit="1"/>
      <protection locked="0"/>
    </xf>
    <xf numFmtId="0" fontId="5" fillId="3" borderId="206" xfId="14" applyNumberFormat="1" applyFont="1" applyFill="1" applyBorder="1" applyAlignment="1" applyProtection="1">
      <alignment horizontal="center" vertical="center" wrapText="1"/>
      <protection locked="0"/>
    </xf>
    <xf numFmtId="0" fontId="5" fillId="3" borderId="40" xfId="14" applyFont="1" applyFill="1" applyBorder="1" applyAlignment="1" applyProtection="1">
      <alignment horizontal="center" vertical="center" wrapText="1" shrinkToFit="1"/>
      <protection locked="0"/>
    </xf>
    <xf numFmtId="0" fontId="5" fillId="3" borderId="40" xfId="14" applyFont="1" applyFill="1" applyBorder="1" applyAlignment="1" applyProtection="1">
      <alignment horizontal="center" vertical="center" wrapText="1" shrinkToFit="1"/>
      <protection locked="0"/>
    </xf>
    <xf numFmtId="0" fontId="5" fillId="17" borderId="202" xfId="14" applyNumberFormat="1" applyFont="1" applyFill="1" applyBorder="1" applyAlignment="1" applyProtection="1">
      <alignment horizontal="center" vertical="center"/>
      <protection locked="0"/>
    </xf>
    <xf numFmtId="0" fontId="5" fillId="17" borderId="79" xfId="14" applyNumberFormat="1" applyFont="1" applyFill="1" applyBorder="1" applyAlignment="1" applyProtection="1">
      <alignment horizontal="center" vertical="center"/>
      <protection locked="0"/>
    </xf>
    <xf numFmtId="0" fontId="5" fillId="17" borderId="363" xfId="14" applyNumberFormat="1" applyFont="1" applyFill="1" applyBorder="1" applyAlignment="1" applyProtection="1">
      <alignment horizontal="center" vertical="center"/>
      <protection locked="0"/>
    </xf>
    <xf numFmtId="0" fontId="5" fillId="16" borderId="202" xfId="14" applyNumberFormat="1" applyFont="1" applyFill="1" applyBorder="1" applyAlignment="1" applyProtection="1">
      <alignment horizontal="center" vertical="center"/>
      <protection locked="0"/>
    </xf>
    <xf numFmtId="0" fontId="5" fillId="16" borderId="79" xfId="14" applyNumberFormat="1" applyFont="1" applyFill="1" applyBorder="1" applyAlignment="1" applyProtection="1">
      <alignment horizontal="center" vertical="center"/>
      <protection locked="0"/>
    </xf>
    <xf numFmtId="0" fontId="5" fillId="16" borderId="363" xfId="14" applyNumberFormat="1" applyFont="1" applyFill="1" applyBorder="1" applyAlignment="1" applyProtection="1">
      <alignment horizontal="center" vertical="center"/>
      <protection locked="0"/>
    </xf>
    <xf numFmtId="0" fontId="5" fillId="3" borderId="216" xfId="14" applyFont="1" applyFill="1" applyBorder="1" applyAlignment="1" applyProtection="1">
      <alignment horizontal="center" vertical="center" wrapText="1" shrinkToFit="1"/>
      <protection locked="0"/>
    </xf>
    <xf numFmtId="0" fontId="5" fillId="3" borderId="379" xfId="14" applyFont="1" applyFill="1" applyBorder="1" applyAlignment="1" applyProtection="1">
      <alignment horizontal="center" vertical="center" wrapText="1" shrinkToFit="1"/>
      <protection locked="0"/>
    </xf>
    <xf numFmtId="0" fontId="5" fillId="3" borderId="218" xfId="14" applyFont="1" applyFill="1" applyBorder="1" applyAlignment="1" applyProtection="1">
      <alignment horizontal="center" vertical="center" wrapText="1" shrinkToFit="1"/>
      <protection locked="0"/>
    </xf>
    <xf numFmtId="0" fontId="5" fillId="3" borderId="35" xfId="14" applyNumberFormat="1" applyFont="1" applyFill="1" applyBorder="1" applyAlignment="1" applyProtection="1">
      <alignment horizontal="center" vertical="center" wrapText="1" shrinkToFit="1"/>
      <protection locked="0"/>
    </xf>
    <xf numFmtId="0" fontId="5" fillId="3" borderId="25" xfId="14" applyFont="1" applyFill="1" applyBorder="1" applyAlignment="1" applyProtection="1">
      <alignment horizontal="center" vertical="center" wrapText="1" shrinkToFit="1"/>
      <protection locked="0"/>
    </xf>
    <xf numFmtId="0" fontId="54" fillId="0" borderId="0" xfId="13" applyFont="1">
      <alignment vertical="center"/>
    </xf>
    <xf numFmtId="0" fontId="55" fillId="2" borderId="4" xfId="14" applyFont="1" applyFill="1" applyBorder="1"/>
    <xf numFmtId="242" fontId="55" fillId="2" borderId="3" xfId="14" applyNumberFormat="1" applyFont="1" applyFill="1" applyBorder="1" applyAlignment="1" applyProtection="1">
      <alignment horizontal="left"/>
      <protection locked="0"/>
    </xf>
    <xf numFmtId="0" fontId="55" fillId="2" borderId="3" xfId="14" applyFont="1" applyFill="1" applyBorder="1" applyProtection="1">
      <protection locked="0"/>
    </xf>
    <xf numFmtId="193" fontId="56" fillId="2" borderId="3" xfId="14" applyNumberFormat="1" applyFont="1" applyFill="1" applyBorder="1" applyProtection="1">
      <protection locked="0"/>
    </xf>
    <xf numFmtId="193" fontId="55" fillId="2" borderId="3" xfId="14" applyNumberFormat="1" applyFont="1" applyFill="1" applyBorder="1" applyProtection="1">
      <protection locked="0"/>
    </xf>
    <xf numFmtId="0" fontId="56" fillId="2" borderId="2" xfId="14" applyNumberFormat="1" applyFont="1" applyFill="1" applyBorder="1" applyAlignment="1" applyProtection="1">
      <alignment horizontal="left" vertical="center" indent="1"/>
      <protection locked="0"/>
    </xf>
    <xf numFmtId="0" fontId="5" fillId="3" borderId="255" xfId="14" applyFont="1" applyFill="1" applyBorder="1" applyAlignment="1" applyProtection="1">
      <alignment horizontal="center" vertical="center" wrapText="1" shrinkToFit="1"/>
      <protection locked="0"/>
    </xf>
    <xf numFmtId="239" fontId="18" fillId="0" borderId="404" xfId="14" applyNumberFormat="1" applyFont="1" applyBorder="1" applyAlignment="1" applyProtection="1">
      <alignment horizontal="center" vertical="center" shrinkToFit="1"/>
      <protection locked="0"/>
    </xf>
    <xf numFmtId="0" fontId="18" fillId="0" borderId="403" xfId="14" applyNumberFormat="1" applyFont="1" applyBorder="1" applyAlignment="1" applyProtection="1">
      <alignment vertical="center" shrinkToFit="1"/>
      <protection locked="0"/>
    </xf>
    <xf numFmtId="239" fontId="18" fillId="0" borderId="403" xfId="14" applyNumberFormat="1" applyFont="1" applyBorder="1" applyAlignment="1" applyProtection="1">
      <alignment vertical="center" shrinkToFit="1"/>
      <protection locked="0"/>
    </xf>
    <xf numFmtId="239" fontId="18" fillId="0" borderId="405" xfId="14" applyNumberFormat="1" applyFont="1" applyBorder="1" applyAlignment="1" applyProtection="1">
      <alignment vertical="center" shrinkToFit="1"/>
      <protection locked="0"/>
    </xf>
    <xf numFmtId="228" fontId="18" fillId="0" borderId="406" xfId="14" applyNumberFormat="1" applyFont="1" applyBorder="1" applyAlignment="1" applyProtection="1">
      <alignment vertical="center" shrinkToFit="1"/>
      <protection locked="0"/>
    </xf>
    <xf numFmtId="239" fontId="5" fillId="0" borderId="255" xfId="14" applyNumberFormat="1" applyFont="1" applyBorder="1" applyAlignment="1" applyProtection="1">
      <alignment horizontal="center" shrinkToFit="1"/>
      <protection locked="0"/>
    </xf>
    <xf numFmtId="0" fontId="5" fillId="0" borderId="40" xfId="14" applyNumberFormat="1" applyFont="1" applyBorder="1" applyAlignment="1" applyProtection="1">
      <alignment shrinkToFit="1"/>
      <protection locked="0"/>
    </xf>
    <xf numFmtId="239" fontId="5" fillId="0" borderId="40" xfId="14" applyNumberFormat="1" applyFont="1" applyBorder="1" applyAlignment="1" applyProtection="1">
      <alignment shrinkToFit="1"/>
      <protection locked="0"/>
    </xf>
    <xf numFmtId="239" fontId="5" fillId="0" borderId="206" xfId="14" applyNumberFormat="1" applyFont="1" applyBorder="1" applyAlignment="1" applyProtection="1">
      <alignment shrinkToFit="1"/>
      <protection locked="0"/>
    </xf>
    <xf numFmtId="239" fontId="18" fillId="0" borderId="419" xfId="14" applyNumberFormat="1" applyFont="1" applyBorder="1" applyAlignment="1" applyProtection="1">
      <alignment horizontal="center" vertical="center" shrinkToFit="1"/>
      <protection locked="0"/>
    </xf>
    <xf numFmtId="239" fontId="18" fillId="0" borderId="419" xfId="14" applyNumberFormat="1" applyFont="1" applyBorder="1" applyAlignment="1" applyProtection="1">
      <alignment vertical="center" shrinkToFit="1"/>
      <protection locked="0"/>
    </xf>
    <xf numFmtId="239" fontId="18" fillId="0" borderId="418" xfId="14" applyNumberFormat="1" applyFont="1" applyBorder="1" applyAlignment="1" applyProtection="1">
      <alignment vertical="center" shrinkToFit="1"/>
      <protection locked="0"/>
    </xf>
    <xf numFmtId="228" fontId="18" fillId="0" borderId="420" xfId="14" applyNumberFormat="1" applyFont="1" applyBorder="1" applyAlignment="1" applyProtection="1">
      <alignment vertical="center" shrinkToFit="1"/>
      <protection locked="0"/>
    </xf>
    <xf numFmtId="239" fontId="18" fillId="23" borderId="430" xfId="14" applyNumberFormat="1" applyFont="1" applyFill="1" applyBorder="1" applyAlignment="1">
      <alignment vertical="center" shrinkToFit="1"/>
    </xf>
    <xf numFmtId="0" fontId="18" fillId="23" borderId="431" xfId="14" applyNumberFormat="1" applyFont="1" applyFill="1" applyBorder="1" applyAlignment="1">
      <alignment vertical="center" shrinkToFit="1"/>
    </xf>
    <xf numFmtId="239" fontId="50" fillId="23" borderId="430" xfId="14" applyNumberFormat="1" applyFont="1" applyFill="1" applyBorder="1" applyAlignment="1">
      <alignment vertical="center" shrinkToFit="1"/>
    </xf>
    <xf numFmtId="239" fontId="50" fillId="23" borderId="431" xfId="14" applyNumberFormat="1" applyFont="1" applyFill="1" applyBorder="1" applyAlignment="1">
      <alignment vertical="center" shrinkToFit="1"/>
    </xf>
    <xf numFmtId="239" fontId="18" fillId="23" borderId="431" xfId="14" applyNumberFormat="1" applyFont="1" applyFill="1" applyBorder="1" applyAlignment="1">
      <alignment vertical="center" shrinkToFit="1"/>
    </xf>
    <xf numFmtId="228" fontId="18" fillId="23" borderId="432" xfId="14" applyNumberFormat="1" applyFont="1" applyFill="1" applyBorder="1" applyAlignment="1">
      <alignment vertical="center" shrinkToFit="1"/>
    </xf>
    <xf numFmtId="239" fontId="18" fillId="23" borderId="433" xfId="14" applyNumberFormat="1" applyFont="1" applyFill="1" applyBorder="1" applyAlignment="1">
      <alignment vertical="center" shrinkToFit="1"/>
    </xf>
    <xf numFmtId="0" fontId="18" fillId="23" borderId="434" xfId="14" applyNumberFormat="1" applyFont="1" applyFill="1" applyBorder="1" applyAlignment="1">
      <alignment vertical="center" shrinkToFit="1"/>
    </xf>
    <xf numFmtId="239" fontId="18" fillId="23" borderId="434" xfId="14" applyNumberFormat="1" applyFont="1" applyFill="1" applyBorder="1" applyAlignment="1">
      <alignment vertical="center" shrinkToFit="1"/>
    </xf>
    <xf numFmtId="228" fontId="18" fillId="23" borderId="435" xfId="14" applyNumberFormat="1" applyFont="1" applyFill="1" applyBorder="1" applyAlignment="1">
      <alignment vertical="center" shrinkToFit="1"/>
    </xf>
    <xf numFmtId="0" fontId="57" fillId="0" borderId="0" xfId="18" applyFont="1" applyProtection="1">
      <protection locked="0"/>
    </xf>
    <xf numFmtId="0" fontId="57" fillId="0" borderId="0" xfId="18" applyFont="1" applyAlignment="1" applyProtection="1">
      <alignment horizontal="center"/>
      <protection locked="0"/>
    </xf>
    <xf numFmtId="0" fontId="57" fillId="0" borderId="0" xfId="18" applyFont="1" applyBorder="1" applyProtection="1">
      <protection locked="0"/>
    </xf>
    <xf numFmtId="0" fontId="57" fillId="0" borderId="0" xfId="18" applyFont="1" applyBorder="1" applyAlignment="1" applyProtection="1">
      <alignment horizontal="center"/>
      <protection locked="0"/>
    </xf>
    <xf numFmtId="0" fontId="57" fillId="0" borderId="0" xfId="18" applyFont="1" applyAlignment="1" applyProtection="1">
      <alignment horizontal="center"/>
      <protection locked="0"/>
    </xf>
    <xf numFmtId="0" fontId="58" fillId="0" borderId="0" xfId="18" applyFont="1" applyAlignment="1" applyProtection="1">
      <alignment horizontal="center"/>
      <protection locked="0"/>
    </xf>
    <xf numFmtId="0" fontId="33" fillId="0" borderId="0" xfId="18" applyFont="1" applyAlignment="1" applyProtection="1">
      <alignment horizontal="center" shrinkToFit="1"/>
      <protection locked="0"/>
    </xf>
    <xf numFmtId="176" fontId="5" fillId="0" borderId="0" xfId="18" applyNumberFormat="1" applyFont="1" applyProtection="1"/>
    <xf numFmtId="0" fontId="5" fillId="0" borderId="0" xfId="18" applyFont="1" applyProtection="1">
      <protection locked="0"/>
    </xf>
    <xf numFmtId="55" fontId="58" fillId="0" borderId="0" xfId="18" applyNumberFormat="1" applyFont="1" applyAlignment="1" applyProtection="1">
      <alignment horizontal="center"/>
      <protection locked="0"/>
    </xf>
  </cellXfs>
  <cellStyles count="19">
    <cellStyle name="桁区切り 2" xfId="12"/>
    <cellStyle name="標準" xfId="0" builtinId="0"/>
    <cellStyle name="標準 2 2" xfId="3"/>
    <cellStyle name="標準 9 2 2" xfId="13"/>
    <cellStyle name="標準_A4横表紙_1" xfId="18"/>
    <cellStyle name="標準_Book2" xfId="4"/>
    <cellStyle name="標準_K値テーブル" xfId="8"/>
    <cellStyle name="標準_ｴｱﾊﾝ" xfId="14"/>
    <cellStyle name="標準_外部遮蔽_1" xfId="9"/>
    <cellStyle name="標準_空気線図" xfId="16"/>
    <cellStyle name="標準_空気線図_1" xfId="17"/>
    <cellStyle name="標準_空気線図リンクサンプル" xfId="15"/>
    <cellStyle name="標準_熱通過率" xfId="10"/>
    <cellStyle name="標準_熱負荷_1" xfId="1"/>
    <cellStyle name="標準_熱負荷計算書" xfId="2"/>
    <cellStyle name="標準_負荷計算" xfId="11"/>
    <cellStyle name="標準_負荷計算2000_1" xfId="5"/>
    <cellStyle name="標準_負荷計算2000_K値テーブル" xfId="7"/>
    <cellStyle name="標準_負荷計算基礎データ"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1724-4912-B0E7-8A6416B1F822}"/>
            </c:ext>
          </c:extLst>
        </c:ser>
        <c:ser>
          <c:idx val="1"/>
          <c:order val="1"/>
          <c:tx>
            <c:v>比エンタルピ座標軸</c:v>
          </c:tx>
          <c:spPr>
            <a:ln w="3175">
              <a:solidFill>
                <a:srgbClr val="000000"/>
              </a:solidFill>
              <a:prstDash val="solid"/>
            </a:ln>
          </c:spPr>
          <c:marker>
            <c:symbol val="none"/>
          </c:marker>
          <c:xVal>
            <c:numLit>
              <c:formatCode>General</c:formatCode>
              <c:ptCount val="2"/>
              <c:pt idx="0">
                <c:v>-10.178169782224485</c:v>
              </c:pt>
              <c:pt idx="1">
                <c:v>26.408799999999999</c:v>
              </c:pt>
            </c:numLit>
          </c:xVal>
          <c:yVal>
            <c:numLit>
              <c:formatCode>General</c:formatCode>
              <c:ptCount val="2"/>
              <c:pt idx="0">
                <c:v>2.4560824455002899E-3</c:v>
              </c:pt>
              <c:pt idx="1">
                <c:v>3.4000000000000002E-2</c:v>
              </c:pt>
            </c:numLit>
          </c:yVal>
          <c:smooth val="0"/>
          <c:extLst>
            <c:ext xmlns:c16="http://schemas.microsoft.com/office/drawing/2014/chart" uri="{C3380CC4-5D6E-409C-BE32-E72D297353CC}">
              <c16:uniqueId val="{00000001-1724-4912-B0E7-8A6416B1F822}"/>
            </c:ext>
          </c:extLst>
        </c:ser>
        <c:ser>
          <c:idx val="2"/>
          <c:order val="2"/>
          <c:tx>
            <c:v>比エンタルピ座標軸ラベル</c:v>
          </c:tx>
          <c:spPr>
            <a:ln w="3175">
              <a:solidFill>
                <a:srgbClr val="000000"/>
              </a:solidFill>
              <a:prstDash val="solid"/>
            </a:ln>
          </c:spPr>
          <c:marker>
            <c:symbol val="none"/>
          </c:marker>
          <c:dLbls>
            <c:dLbl>
              <c:idx val="0"/>
              <c:layout>
                <c:manualLayout>
                  <c:x val="-7.7204861111111106E-2"/>
                  <c:y val="-3.9173336640061513E-17"/>
                </c:manualLayout>
              </c:layout>
              <c:tx>
                <c:rich>
                  <a:bodyPr rot="-294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比エンタルピ </a:t>
                    </a:r>
                    <a:r>
                      <a:rPr lang="en-US"/>
                      <a:t>h [kJ/kg(DA)]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1724-4912-B0E7-8A6416B1F8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11.774012087110206</c:v>
              </c:pt>
            </c:numLit>
          </c:xVal>
          <c:yVal>
            <c:numLit>
              <c:formatCode>General</c:formatCode>
              <c:ptCount val="1"/>
              <c:pt idx="0">
                <c:v>2.1382432978200118E-2</c:v>
              </c:pt>
            </c:numLit>
          </c:yVal>
          <c:smooth val="0"/>
          <c:extLst>
            <c:ext xmlns:c16="http://schemas.microsoft.com/office/drawing/2014/chart" uri="{C3380CC4-5D6E-409C-BE32-E72D297353CC}">
              <c16:uniqueId val="{00000003-1724-4912-B0E7-8A6416B1F822}"/>
            </c:ext>
          </c:extLst>
        </c:ser>
        <c:ser>
          <c:idx val="3"/>
          <c:order val="3"/>
          <c:tx>
            <c:v>h=-9</c:v>
          </c:tx>
          <c:spPr>
            <a:ln w="3175">
              <a:solidFill>
                <a:srgbClr val="808080"/>
              </a:solidFill>
              <a:prstDash val="solid"/>
            </a:ln>
          </c:spPr>
          <c:marker>
            <c:symbol val="none"/>
          </c:marker>
          <c:xVal>
            <c:numLit>
              <c:formatCode>General</c:formatCode>
              <c:ptCount val="2"/>
              <c:pt idx="0">
                <c:v>-11.760874015442164</c:v>
              </c:pt>
              <c:pt idx="1">
                <c:v>-11.460874015442165</c:v>
              </c:pt>
            </c:numLit>
          </c:xVal>
          <c:yVal>
            <c:numLit>
              <c:formatCode>General</c:formatCode>
              <c:ptCount val="2"/>
              <c:pt idx="0">
                <c:v>1.0915340244929911E-3</c:v>
              </c:pt>
              <c:pt idx="1">
                <c:v>9.7292658151792533E-4</c:v>
              </c:pt>
            </c:numLit>
          </c:yVal>
          <c:smooth val="0"/>
          <c:extLst>
            <c:ext xmlns:c16="http://schemas.microsoft.com/office/drawing/2014/chart" uri="{C3380CC4-5D6E-409C-BE32-E72D297353CC}">
              <c16:uniqueId val="{00000004-1724-4912-B0E7-8A6416B1F822}"/>
            </c:ext>
          </c:extLst>
        </c:ser>
        <c:ser>
          <c:idx val="4"/>
          <c:order val="4"/>
          <c:tx>
            <c:v>h=-8</c:v>
          </c:tx>
          <c:spPr>
            <a:ln w="3175">
              <a:solidFill>
                <a:srgbClr val="808080"/>
              </a:solidFill>
              <a:prstDash val="solid"/>
            </a:ln>
          </c:spPr>
          <c:marker>
            <c:symbol val="none"/>
          </c:marker>
          <c:xVal>
            <c:numLit>
              <c:formatCode>General</c:formatCode>
              <c:ptCount val="2"/>
              <c:pt idx="0">
                <c:v>-11.452465233740831</c:v>
              </c:pt>
              <c:pt idx="1">
                <c:v>-11.152465233740831</c:v>
              </c:pt>
            </c:numLit>
          </c:xVal>
          <c:yVal>
            <c:numLit>
              <c:formatCode>General</c:formatCode>
              <c:ptCount val="2"/>
              <c:pt idx="0">
                <c:v>1.3574325463158354E-3</c:v>
              </c:pt>
              <c:pt idx="1">
                <c:v>1.2394792183822454E-3</c:v>
              </c:pt>
            </c:numLit>
          </c:yVal>
          <c:smooth val="0"/>
          <c:extLst>
            <c:ext xmlns:c16="http://schemas.microsoft.com/office/drawing/2014/chart" uri="{C3380CC4-5D6E-409C-BE32-E72D297353CC}">
              <c16:uniqueId val="{00000005-1724-4912-B0E7-8A6416B1F822}"/>
            </c:ext>
          </c:extLst>
        </c:ser>
        <c:ser>
          <c:idx val="5"/>
          <c:order val="5"/>
          <c:tx>
            <c:v>h=-7</c:v>
          </c:tx>
          <c:spPr>
            <a:ln w="3175">
              <a:solidFill>
                <a:srgbClr val="808080"/>
              </a:solidFill>
              <a:prstDash val="solid"/>
            </a:ln>
          </c:spPr>
          <c:marker>
            <c:symbol val="none"/>
          </c:marker>
          <c:xVal>
            <c:numLit>
              <c:formatCode>General</c:formatCode>
              <c:ptCount val="2"/>
              <c:pt idx="0">
                <c:v>-11.144056452039498</c:v>
              </c:pt>
              <c:pt idx="1">
                <c:v>-10.844056452039498</c:v>
              </c:pt>
            </c:numLit>
          </c:xVal>
          <c:yVal>
            <c:numLit>
              <c:formatCode>General</c:formatCode>
              <c:ptCount val="2"/>
              <c:pt idx="0">
                <c:v>1.6233310681386798E-3</c:v>
              </c:pt>
              <c:pt idx="1">
                <c:v>1.5058135279994939E-3</c:v>
              </c:pt>
            </c:numLit>
          </c:yVal>
          <c:smooth val="0"/>
          <c:extLst>
            <c:ext xmlns:c16="http://schemas.microsoft.com/office/drawing/2014/chart" uri="{C3380CC4-5D6E-409C-BE32-E72D297353CC}">
              <c16:uniqueId val="{00000006-1724-4912-B0E7-8A6416B1F822}"/>
            </c:ext>
          </c:extLst>
        </c:ser>
        <c:ser>
          <c:idx val="6"/>
          <c:order val="6"/>
          <c:tx>
            <c:v>h=-6</c:v>
          </c:tx>
          <c:spPr>
            <a:ln w="3175">
              <a:solidFill>
                <a:srgbClr val="808080"/>
              </a:solidFill>
              <a:prstDash val="solid"/>
            </a:ln>
          </c:spPr>
          <c:marker>
            <c:symbol val="none"/>
          </c:marker>
          <c:xVal>
            <c:numLit>
              <c:formatCode>General</c:formatCode>
              <c:ptCount val="2"/>
              <c:pt idx="0">
                <c:v>-10.835647670338163</c:v>
              </c:pt>
              <c:pt idx="1">
                <c:v>-10.535647670338165</c:v>
              </c:pt>
            </c:numLit>
          </c:xVal>
          <c:yVal>
            <c:numLit>
              <c:formatCode>General</c:formatCode>
              <c:ptCount val="2"/>
              <c:pt idx="0">
                <c:v>1.8892295899615242E-3</c:v>
              </c:pt>
              <c:pt idx="1">
                <c:v>1.7720231854368492E-3</c:v>
              </c:pt>
            </c:numLit>
          </c:yVal>
          <c:smooth val="0"/>
          <c:extLst>
            <c:ext xmlns:c16="http://schemas.microsoft.com/office/drawing/2014/chart" uri="{C3380CC4-5D6E-409C-BE32-E72D297353CC}">
              <c16:uniqueId val="{00000007-1724-4912-B0E7-8A6416B1F822}"/>
            </c:ext>
          </c:extLst>
        </c:ser>
        <c:ser>
          <c:idx val="7"/>
          <c:order val="7"/>
          <c:tx>
            <c:v>h=-5</c:v>
          </c:tx>
          <c:spPr>
            <a:ln w="3175">
              <a:solidFill>
                <a:srgbClr val="808080"/>
              </a:solidFill>
              <a:prstDash val="solid"/>
            </a:ln>
          </c:spPr>
          <c:marker>
            <c:symbol val="none"/>
          </c:marker>
          <c:dLbls>
            <c:dLbl>
              <c:idx val="0"/>
              <c:layout>
                <c:manualLayout>
                  <c:x val="-5.2083333333333296E-3"/>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724-4912-B0E7-8A6416B1F8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-10.52723888863683</c:v>
              </c:pt>
              <c:pt idx="1">
                <c:v>-5</c:v>
              </c:pt>
            </c:numLit>
          </c:xVal>
          <c:yVal>
            <c:numLit>
              <c:formatCode>General</c:formatCode>
              <c:ptCount val="2"/>
              <c:pt idx="0">
                <c:v>2.1551281117843687E-3</c:v>
              </c:pt>
              <c:pt idx="1">
                <c:v>0</c:v>
              </c:pt>
            </c:numLit>
          </c:yVal>
          <c:smooth val="0"/>
          <c:extLst>
            <c:ext xmlns:c16="http://schemas.microsoft.com/office/drawing/2014/chart" uri="{C3380CC4-5D6E-409C-BE32-E72D297353CC}">
              <c16:uniqueId val="{00000009-1724-4912-B0E7-8A6416B1F822}"/>
            </c:ext>
          </c:extLst>
        </c:ser>
        <c:ser>
          <c:idx val="8"/>
          <c:order val="8"/>
          <c:tx>
            <c:v>h=-4</c:v>
          </c:tx>
          <c:spPr>
            <a:ln w="3175">
              <a:solidFill>
                <a:srgbClr val="808080"/>
              </a:solidFill>
              <a:prstDash val="solid"/>
            </a:ln>
          </c:spPr>
          <c:marker>
            <c:symbol val="none"/>
          </c:marker>
          <c:xVal>
            <c:numLit>
              <c:formatCode>General</c:formatCode>
              <c:ptCount val="2"/>
              <c:pt idx="0">
                <c:v>-10.218830106935497</c:v>
              </c:pt>
              <c:pt idx="1">
                <c:v>-9.9188301069354967</c:v>
              </c:pt>
            </c:numLit>
          </c:xVal>
          <c:yVal>
            <c:numLit>
              <c:formatCode>General</c:formatCode>
              <c:ptCount val="2"/>
              <c:pt idx="0">
                <c:v>2.4210266336072133E-3</c:v>
              </c:pt>
              <c:pt idx="1">
                <c:v>2.3042348934257033E-3</c:v>
              </c:pt>
            </c:numLit>
          </c:yVal>
          <c:smooth val="0"/>
          <c:extLst>
            <c:ext xmlns:c16="http://schemas.microsoft.com/office/drawing/2014/chart" uri="{C3380CC4-5D6E-409C-BE32-E72D297353CC}">
              <c16:uniqueId val="{0000000A-1724-4912-B0E7-8A6416B1F822}"/>
            </c:ext>
          </c:extLst>
        </c:ser>
        <c:ser>
          <c:idx val="9"/>
          <c:order val="9"/>
          <c:tx>
            <c:v>h=-3</c:v>
          </c:tx>
          <c:spPr>
            <a:ln w="3175">
              <a:solidFill>
                <a:srgbClr val="808080"/>
              </a:solidFill>
              <a:prstDash val="solid"/>
            </a:ln>
          </c:spPr>
          <c:marker>
            <c:symbol val="none"/>
          </c:marker>
          <c:xVal>
            <c:numLit>
              <c:formatCode>General</c:formatCode>
              <c:ptCount val="2"/>
              <c:pt idx="0">
                <c:v>-9.9104213252341626</c:v>
              </c:pt>
              <c:pt idx="1">
                <c:v>-9.6104213252341637</c:v>
              </c:pt>
            </c:numLit>
          </c:xVal>
          <c:yVal>
            <c:numLit>
              <c:formatCode>General</c:formatCode>
              <c:ptCount val="2"/>
              <c:pt idx="0">
                <c:v>2.6869251554300574E-3</c:v>
              </c:pt>
              <c:pt idx="1">
                <c:v>2.5702784983462792E-3</c:v>
              </c:pt>
            </c:numLit>
          </c:yVal>
          <c:smooth val="0"/>
          <c:extLst>
            <c:ext xmlns:c16="http://schemas.microsoft.com/office/drawing/2014/chart" uri="{C3380CC4-5D6E-409C-BE32-E72D297353CC}">
              <c16:uniqueId val="{0000000B-1724-4912-B0E7-8A6416B1F822}"/>
            </c:ext>
          </c:extLst>
        </c:ser>
        <c:ser>
          <c:idx val="10"/>
          <c:order val="10"/>
          <c:tx>
            <c:v>h=-2</c:v>
          </c:tx>
          <c:spPr>
            <a:ln w="3175">
              <a:solidFill>
                <a:srgbClr val="808080"/>
              </a:solidFill>
              <a:prstDash val="solid"/>
            </a:ln>
          </c:spPr>
          <c:marker>
            <c:symbol val="none"/>
          </c:marker>
          <c:xVal>
            <c:numLit>
              <c:formatCode>General</c:formatCode>
              <c:ptCount val="2"/>
              <c:pt idx="0">
                <c:v>-9.6020125435328296</c:v>
              </c:pt>
              <c:pt idx="1">
                <c:v>-9.3020125435328289</c:v>
              </c:pt>
            </c:numLit>
          </c:xVal>
          <c:yVal>
            <c:numLit>
              <c:formatCode>General</c:formatCode>
              <c:ptCount val="2"/>
              <c:pt idx="0">
                <c:v>2.952823677252902E-3</c:v>
              </c:pt>
              <c:pt idx="1">
                <c:v>2.8362957054687095E-3</c:v>
              </c:pt>
            </c:numLit>
          </c:yVal>
          <c:smooth val="0"/>
          <c:extLst>
            <c:ext xmlns:c16="http://schemas.microsoft.com/office/drawing/2014/chart" uri="{C3380CC4-5D6E-409C-BE32-E72D297353CC}">
              <c16:uniqueId val="{0000000C-1724-4912-B0E7-8A6416B1F822}"/>
            </c:ext>
          </c:extLst>
        </c:ser>
        <c:ser>
          <c:idx val="11"/>
          <c:order val="11"/>
          <c:tx>
            <c:v>h=-1</c:v>
          </c:tx>
          <c:spPr>
            <a:ln w="3175">
              <a:solidFill>
                <a:srgbClr val="808080"/>
              </a:solidFill>
              <a:prstDash val="solid"/>
            </a:ln>
          </c:spPr>
          <c:marker>
            <c:symbol val="none"/>
          </c:marker>
          <c:xVal>
            <c:numLit>
              <c:formatCode>General</c:formatCode>
              <c:ptCount val="2"/>
              <c:pt idx="0">
                <c:v>-9.2936037618314966</c:v>
              </c:pt>
              <c:pt idx="1">
                <c:v>-8.9936037618314959</c:v>
              </c:pt>
            </c:numLit>
          </c:xVal>
          <c:yVal>
            <c:numLit>
              <c:formatCode>General</c:formatCode>
              <c:ptCount val="2"/>
              <c:pt idx="0">
                <c:v>3.2187221990757462E-3</c:v>
              </c:pt>
              <c:pt idx="1">
                <c:v>3.102293118611757E-3</c:v>
              </c:pt>
            </c:numLit>
          </c:yVal>
          <c:smooth val="0"/>
          <c:extLst>
            <c:ext xmlns:c16="http://schemas.microsoft.com/office/drawing/2014/chart" uri="{C3380CC4-5D6E-409C-BE32-E72D297353CC}">
              <c16:uniqueId val="{0000000D-1724-4912-B0E7-8A6416B1F822}"/>
            </c:ext>
          </c:extLst>
        </c:ser>
        <c:ser>
          <c:idx val="12"/>
          <c:order val="12"/>
          <c:tx>
            <c:v>h=0</c:v>
          </c:tx>
          <c:spPr>
            <a:ln w="3175">
              <a:solidFill>
                <a:srgbClr val="808080"/>
              </a:solidFill>
              <a:prstDash val="solid"/>
            </a:ln>
          </c:spPr>
          <c:marker>
            <c:symbol val="none"/>
          </c:marker>
          <c:dLbls>
            <c:dLbl>
              <c:idx val="0"/>
              <c:layout>
                <c:manualLayout>
                  <c:x val="-2.8094242125984253E-2"/>
                  <c:y val="-6.525674675281130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724-4912-B0E7-8A6416B1F8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-8.9851949801301618</c:v>
              </c:pt>
              <c:pt idx="1">
                <c:v>0</c:v>
              </c:pt>
            </c:numLit>
          </c:xVal>
          <c:yVal>
            <c:numLit>
              <c:formatCode>General</c:formatCode>
              <c:ptCount val="2"/>
              <c:pt idx="0">
                <c:v>3.4846207208985907E-3</c:v>
              </c:pt>
              <c:pt idx="1">
                <c:v>0</c:v>
              </c:pt>
            </c:numLit>
          </c:yVal>
          <c:smooth val="0"/>
          <c:extLst>
            <c:ext xmlns:c16="http://schemas.microsoft.com/office/drawing/2014/chart" uri="{C3380CC4-5D6E-409C-BE32-E72D297353CC}">
              <c16:uniqueId val="{0000000F-1724-4912-B0E7-8A6416B1F822}"/>
            </c:ext>
          </c:extLst>
        </c:ser>
        <c:ser>
          <c:idx val="13"/>
          <c:order val="13"/>
          <c:tx>
            <c:v>h=1</c:v>
          </c:tx>
          <c:spPr>
            <a:ln w="3175">
              <a:solidFill>
                <a:srgbClr val="808080"/>
              </a:solidFill>
              <a:prstDash val="solid"/>
            </a:ln>
          </c:spPr>
          <c:marker>
            <c:symbol val="none"/>
          </c:marker>
          <c:xVal>
            <c:numLit>
              <c:formatCode>General</c:formatCode>
              <c:ptCount val="2"/>
              <c:pt idx="0">
                <c:v>-8.6767861984288288</c:v>
              </c:pt>
              <c:pt idx="1">
                <c:v>-8.3767861984288281</c:v>
              </c:pt>
            </c:numLit>
          </c:xVal>
          <c:yVal>
            <c:numLit>
              <c:formatCode>General</c:formatCode>
              <c:ptCount val="2"/>
              <c:pt idx="0">
                <c:v>3.7505192427214353E-3</c:v>
              </c:pt>
              <c:pt idx="1">
                <c:v>3.6342455388548439E-3</c:v>
              </c:pt>
            </c:numLit>
          </c:yVal>
          <c:smooth val="0"/>
          <c:extLst>
            <c:ext xmlns:c16="http://schemas.microsoft.com/office/drawing/2014/chart" uri="{C3380CC4-5D6E-409C-BE32-E72D297353CC}">
              <c16:uniqueId val="{00000010-1724-4912-B0E7-8A6416B1F822}"/>
            </c:ext>
          </c:extLst>
        </c:ser>
        <c:ser>
          <c:idx val="14"/>
          <c:order val="14"/>
          <c:tx>
            <c:v>h=2</c:v>
          </c:tx>
          <c:spPr>
            <a:ln w="3175">
              <a:solidFill>
                <a:srgbClr val="808080"/>
              </a:solidFill>
              <a:prstDash val="solid"/>
            </a:ln>
          </c:spPr>
          <c:marker>
            <c:symbol val="none"/>
          </c:marker>
          <c:xVal>
            <c:numLit>
              <c:formatCode>General</c:formatCode>
              <c:ptCount val="2"/>
              <c:pt idx="0">
                <c:v>-8.3683774167274958</c:v>
              </c:pt>
              <c:pt idx="1">
                <c:v>-8.0683774167274951</c:v>
              </c:pt>
            </c:numLit>
          </c:xVal>
          <c:yVal>
            <c:numLit>
              <c:formatCode>General</c:formatCode>
              <c:ptCount val="2"/>
              <c:pt idx="0">
                <c:v>4.0164177645442799E-3</c:v>
              </c:pt>
              <c:pt idx="1">
                <c:v>3.9002062030882552E-3</c:v>
              </c:pt>
            </c:numLit>
          </c:yVal>
          <c:smooth val="0"/>
          <c:extLst>
            <c:ext xmlns:c16="http://schemas.microsoft.com/office/drawing/2014/chart" uri="{C3380CC4-5D6E-409C-BE32-E72D297353CC}">
              <c16:uniqueId val="{00000011-1724-4912-B0E7-8A6416B1F822}"/>
            </c:ext>
          </c:extLst>
        </c:ser>
        <c:ser>
          <c:idx val="15"/>
          <c:order val="15"/>
          <c:tx>
            <c:v>h=3</c:v>
          </c:tx>
          <c:spPr>
            <a:ln w="3175">
              <a:solidFill>
                <a:srgbClr val="808080"/>
              </a:solidFill>
              <a:prstDash val="solid"/>
            </a:ln>
          </c:spPr>
          <c:marker>
            <c:symbol val="none"/>
          </c:marker>
          <c:xVal>
            <c:numLit>
              <c:formatCode>General</c:formatCode>
              <c:ptCount val="2"/>
              <c:pt idx="0">
                <c:v>-8.059968635026161</c:v>
              </c:pt>
              <c:pt idx="1">
                <c:v>-7.7599686350261612</c:v>
              </c:pt>
            </c:numLit>
          </c:xVal>
          <c:yVal>
            <c:numLit>
              <c:formatCode>General</c:formatCode>
              <c:ptCount val="2"/>
              <c:pt idx="0">
                <c:v>4.282316286367124E-3</c:v>
              </c:pt>
              <c:pt idx="1">
                <c:v>4.1661590956639247E-3</c:v>
              </c:pt>
            </c:numLit>
          </c:yVal>
          <c:smooth val="0"/>
          <c:extLst>
            <c:ext xmlns:c16="http://schemas.microsoft.com/office/drawing/2014/chart" uri="{C3380CC4-5D6E-409C-BE32-E72D297353CC}">
              <c16:uniqueId val="{00000012-1724-4912-B0E7-8A6416B1F822}"/>
            </c:ext>
          </c:extLst>
        </c:ser>
        <c:ser>
          <c:idx val="16"/>
          <c:order val="16"/>
          <c:tx>
            <c:v>h=4</c:v>
          </c:tx>
          <c:spPr>
            <a:ln w="3175">
              <a:solidFill>
                <a:srgbClr val="808080"/>
              </a:solidFill>
              <a:prstDash val="solid"/>
            </a:ln>
          </c:spPr>
          <c:marker>
            <c:symbol val="none"/>
          </c:marker>
          <c:xVal>
            <c:numLit>
              <c:formatCode>General</c:formatCode>
              <c:ptCount val="2"/>
              <c:pt idx="0">
                <c:v>-7.751559853324828</c:v>
              </c:pt>
              <c:pt idx="1">
                <c:v>-7.4515598533248282</c:v>
              </c:pt>
            </c:numLit>
          </c:xVal>
          <c:yVal>
            <c:numLit>
              <c:formatCode>General</c:formatCode>
              <c:ptCount val="2"/>
              <c:pt idx="0">
                <c:v>4.5482148081899682E-3</c:v>
              </c:pt>
              <c:pt idx="1">
                <c:v>4.4321055886916774E-3</c:v>
              </c:pt>
            </c:numLit>
          </c:yVal>
          <c:smooth val="0"/>
          <c:extLst>
            <c:ext xmlns:c16="http://schemas.microsoft.com/office/drawing/2014/chart" uri="{C3380CC4-5D6E-409C-BE32-E72D297353CC}">
              <c16:uniqueId val="{00000013-1724-4912-B0E7-8A6416B1F822}"/>
            </c:ext>
          </c:extLst>
        </c:ser>
        <c:ser>
          <c:idx val="17"/>
          <c:order val="17"/>
          <c:tx>
            <c:v>h=5</c:v>
          </c:tx>
          <c:spPr>
            <a:ln w="3175">
              <a:solidFill>
                <a:srgbClr val="808080"/>
              </a:solidFill>
              <a:prstDash val="solid"/>
            </a:ln>
          </c:spPr>
          <c:marker>
            <c:symbol val="none"/>
          </c:marker>
          <c:dLbls>
            <c:dLbl>
              <c:idx val="0"/>
              <c:layout>
                <c:manualLayout>
                  <c:x val="-2.809424212598426E-2"/>
                  <c:y val="-6.525674675281130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724-4912-B0E7-8A6416B1F8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-7.4431510716234941</c:v>
              </c:pt>
              <c:pt idx="1">
                <c:v>5</c:v>
              </c:pt>
            </c:numLit>
          </c:xVal>
          <c:yVal>
            <c:numLit>
              <c:formatCode>General</c:formatCode>
              <c:ptCount val="2"/>
              <c:pt idx="0">
                <c:v>4.8141133300128132E-3</c:v>
              </c:pt>
              <c:pt idx="1">
                <c:v>0</c:v>
              </c:pt>
            </c:numLit>
          </c:yVal>
          <c:smooth val="0"/>
          <c:extLst>
            <c:ext xmlns:c16="http://schemas.microsoft.com/office/drawing/2014/chart" uri="{C3380CC4-5D6E-409C-BE32-E72D297353CC}">
              <c16:uniqueId val="{00000015-1724-4912-B0E7-8A6416B1F822}"/>
            </c:ext>
          </c:extLst>
        </c:ser>
        <c:ser>
          <c:idx val="18"/>
          <c:order val="18"/>
          <c:tx>
            <c:v>h=6</c:v>
          </c:tx>
          <c:spPr>
            <a:ln w="3175">
              <a:solidFill>
                <a:srgbClr val="808080"/>
              </a:solidFill>
              <a:prstDash val="solid"/>
            </a:ln>
          </c:spPr>
          <c:marker>
            <c:symbol val="none"/>
          </c:marker>
          <c:xVal>
            <c:numLit>
              <c:formatCode>General</c:formatCode>
              <c:ptCount val="2"/>
              <c:pt idx="0">
                <c:v>-7.1347422899221611</c:v>
              </c:pt>
              <c:pt idx="1">
                <c:v>-6.8347422899221613</c:v>
              </c:pt>
            </c:numLit>
          </c:xVal>
          <c:yVal>
            <c:numLit>
              <c:formatCode>General</c:formatCode>
              <c:ptCount val="2"/>
              <c:pt idx="0">
                <c:v>5.0800118518356573E-3</c:v>
              </c:pt>
              <c:pt idx="1">
                <c:v>4.9639834196128175E-3</c:v>
              </c:pt>
            </c:numLit>
          </c:yVal>
          <c:smooth val="0"/>
          <c:extLst>
            <c:ext xmlns:c16="http://schemas.microsoft.com/office/drawing/2014/chart" uri="{C3380CC4-5D6E-409C-BE32-E72D297353CC}">
              <c16:uniqueId val="{00000016-1724-4912-B0E7-8A6416B1F822}"/>
            </c:ext>
          </c:extLst>
        </c:ser>
        <c:ser>
          <c:idx val="19"/>
          <c:order val="19"/>
          <c:tx>
            <c:v>h=7</c:v>
          </c:tx>
          <c:spPr>
            <a:ln w="3175">
              <a:solidFill>
                <a:srgbClr val="808080"/>
              </a:solidFill>
              <a:prstDash val="solid"/>
            </a:ln>
          </c:spPr>
          <c:marker>
            <c:symbol val="none"/>
          </c:marker>
          <c:xVal>
            <c:numLit>
              <c:formatCode>General</c:formatCode>
              <c:ptCount val="2"/>
              <c:pt idx="0">
                <c:v>-6.8263335082208272</c:v>
              </c:pt>
              <c:pt idx="1">
                <c:v>-6.5263335082208274</c:v>
              </c:pt>
            </c:numLit>
          </c:xVal>
          <c:yVal>
            <c:numLit>
              <c:formatCode>General</c:formatCode>
              <c:ptCount val="2"/>
              <c:pt idx="0">
                <c:v>5.3459103736585014E-3</c:v>
              </c:pt>
              <c:pt idx="1">
                <c:v>5.2299162736214972E-3</c:v>
              </c:pt>
            </c:numLit>
          </c:yVal>
          <c:smooth val="0"/>
          <c:extLst>
            <c:ext xmlns:c16="http://schemas.microsoft.com/office/drawing/2014/chart" uri="{C3380CC4-5D6E-409C-BE32-E72D297353CC}">
              <c16:uniqueId val="{00000017-1724-4912-B0E7-8A6416B1F822}"/>
            </c:ext>
          </c:extLst>
        </c:ser>
        <c:ser>
          <c:idx val="20"/>
          <c:order val="20"/>
          <c:tx>
            <c:v>h=8</c:v>
          </c:tx>
          <c:spPr>
            <a:ln w="3175">
              <a:solidFill>
                <a:srgbClr val="808080"/>
              </a:solidFill>
              <a:prstDash val="solid"/>
            </a:ln>
          </c:spPr>
          <c:marker>
            <c:symbol val="none"/>
          </c:marker>
          <c:xVal>
            <c:numLit>
              <c:formatCode>General</c:formatCode>
              <c:ptCount val="2"/>
              <c:pt idx="0">
                <c:v>-6.5179247265194933</c:v>
              </c:pt>
              <c:pt idx="1">
                <c:v>-6.2179247265194935</c:v>
              </c:pt>
            </c:numLit>
          </c:xVal>
          <c:yVal>
            <c:numLit>
              <c:formatCode>General</c:formatCode>
              <c:ptCount val="2"/>
              <c:pt idx="0">
                <c:v>5.6118088954813464E-3</c:v>
              </c:pt>
              <c:pt idx="1">
                <c:v>5.4958458566615404E-3</c:v>
              </c:pt>
            </c:numLit>
          </c:yVal>
          <c:smooth val="0"/>
          <c:extLst>
            <c:ext xmlns:c16="http://schemas.microsoft.com/office/drawing/2014/chart" uri="{C3380CC4-5D6E-409C-BE32-E72D297353CC}">
              <c16:uniqueId val="{00000018-1724-4912-B0E7-8A6416B1F822}"/>
            </c:ext>
          </c:extLst>
        </c:ser>
        <c:ser>
          <c:idx val="21"/>
          <c:order val="21"/>
          <c:tx>
            <c:v>h=9</c:v>
          </c:tx>
          <c:spPr>
            <a:ln w="3175">
              <a:solidFill>
                <a:srgbClr val="808080"/>
              </a:solidFill>
              <a:prstDash val="solid"/>
            </a:ln>
          </c:spPr>
          <c:marker>
            <c:symbol val="none"/>
          </c:marker>
          <c:xVal>
            <c:numLit>
              <c:formatCode>General</c:formatCode>
              <c:ptCount val="2"/>
              <c:pt idx="0">
                <c:v>-6.2095159448181603</c:v>
              </c:pt>
              <c:pt idx="1">
                <c:v>-5.9095159448181604</c:v>
              </c:pt>
            </c:numLit>
          </c:xVal>
          <c:yVal>
            <c:numLit>
              <c:formatCode>General</c:formatCode>
              <c:ptCount val="2"/>
              <c:pt idx="0">
                <c:v>5.8777074173041906E-3</c:v>
              </c:pt>
              <c:pt idx="1">
                <c:v>5.7617726149351506E-3</c:v>
              </c:pt>
            </c:numLit>
          </c:yVal>
          <c:smooth val="0"/>
          <c:extLst>
            <c:ext xmlns:c16="http://schemas.microsoft.com/office/drawing/2014/chart" uri="{C3380CC4-5D6E-409C-BE32-E72D297353CC}">
              <c16:uniqueId val="{00000019-1724-4912-B0E7-8A6416B1F822}"/>
            </c:ext>
          </c:extLst>
        </c:ser>
        <c:ser>
          <c:idx val="22"/>
          <c:order val="22"/>
          <c:tx>
            <c:v>h=10</c:v>
          </c:tx>
          <c:spPr>
            <a:ln w="3175">
              <a:solidFill>
                <a:srgbClr val="808080"/>
              </a:solidFill>
              <a:prstDash val="solid"/>
            </a:ln>
          </c:spPr>
          <c:marker>
            <c:symbol val="none"/>
          </c:marker>
          <c:dLbls>
            <c:dLbl>
              <c:idx val="0"/>
              <c:layout>
                <c:manualLayout>
                  <c:x val="-3.0087489063867018E-2"/>
                  <c:y val="-9.347701729591650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1724-4912-B0E7-8A6416B1F8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-5.9011071631168264</c:v>
              </c:pt>
              <c:pt idx="1">
                <c:v>10</c:v>
              </c:pt>
            </c:numLit>
          </c:xVal>
          <c:yVal>
            <c:numLit>
              <c:formatCode>General</c:formatCode>
              <c:ptCount val="2"/>
              <c:pt idx="0">
                <c:v>6.1436059391270347E-3</c:v>
              </c:pt>
              <c:pt idx="1">
                <c:v>0</c:v>
              </c:pt>
            </c:numLit>
          </c:yVal>
          <c:smooth val="0"/>
          <c:extLst>
            <c:ext xmlns:c16="http://schemas.microsoft.com/office/drawing/2014/chart" uri="{C3380CC4-5D6E-409C-BE32-E72D297353CC}">
              <c16:uniqueId val="{0000001B-1724-4912-B0E7-8A6416B1F822}"/>
            </c:ext>
          </c:extLst>
        </c:ser>
        <c:ser>
          <c:idx val="23"/>
          <c:order val="23"/>
          <c:tx>
            <c:v>h=11</c:v>
          </c:tx>
          <c:spPr>
            <a:ln w="3175">
              <a:solidFill>
                <a:srgbClr val="808080"/>
              </a:solidFill>
              <a:prstDash val="solid"/>
            </a:ln>
          </c:spPr>
          <c:marker>
            <c:symbol val="none"/>
          </c:marker>
          <c:xVal>
            <c:numLit>
              <c:formatCode>General</c:formatCode>
              <c:ptCount val="2"/>
              <c:pt idx="0">
                <c:v>-5.5926983814154925</c:v>
              </c:pt>
              <c:pt idx="1">
                <c:v>-5.2926983814154926</c:v>
              </c:pt>
            </c:numLit>
          </c:xVal>
          <c:yVal>
            <c:numLit>
              <c:formatCode>General</c:formatCode>
              <c:ptCount val="2"/>
              <c:pt idx="0">
                <c:v>6.4095044609498797E-3</c:v>
              </c:pt>
              <c:pt idx="1">
                <c:v>6.2936190700336779E-3</c:v>
              </c:pt>
            </c:numLit>
          </c:yVal>
          <c:smooth val="0"/>
          <c:extLst>
            <c:ext xmlns:c16="http://schemas.microsoft.com/office/drawing/2014/chart" uri="{C3380CC4-5D6E-409C-BE32-E72D297353CC}">
              <c16:uniqueId val="{0000001C-1724-4912-B0E7-8A6416B1F822}"/>
            </c:ext>
          </c:extLst>
        </c:ser>
        <c:ser>
          <c:idx val="24"/>
          <c:order val="24"/>
          <c:tx>
            <c:v>h=12</c:v>
          </c:tx>
          <c:spPr>
            <a:ln w="3175">
              <a:solidFill>
                <a:srgbClr val="808080"/>
              </a:solidFill>
              <a:prstDash val="solid"/>
            </a:ln>
          </c:spPr>
          <c:marker>
            <c:symbol val="none"/>
          </c:marker>
          <c:xVal>
            <c:numLit>
              <c:formatCode>General</c:formatCode>
              <c:ptCount val="2"/>
              <c:pt idx="0">
                <c:v>-5.2842895997141595</c:v>
              </c:pt>
              <c:pt idx="1">
                <c:v>-4.9842895997141596</c:v>
              </c:pt>
            </c:numLit>
          </c:xVal>
          <c:yVal>
            <c:numLit>
              <c:formatCode>General</c:formatCode>
              <c:ptCount val="2"/>
              <c:pt idx="0">
                <c:v>6.6754029827727239E-3</c:v>
              </c:pt>
              <c:pt idx="1">
                <c:v>6.5595393319539518E-3</c:v>
              </c:pt>
            </c:numLit>
          </c:yVal>
          <c:smooth val="0"/>
          <c:extLst>
            <c:ext xmlns:c16="http://schemas.microsoft.com/office/drawing/2014/chart" uri="{C3380CC4-5D6E-409C-BE32-E72D297353CC}">
              <c16:uniqueId val="{0000001D-1724-4912-B0E7-8A6416B1F822}"/>
            </c:ext>
          </c:extLst>
        </c:ser>
        <c:ser>
          <c:idx val="25"/>
          <c:order val="25"/>
          <c:tx>
            <c:v>h=13</c:v>
          </c:tx>
          <c:spPr>
            <a:ln w="3175">
              <a:solidFill>
                <a:srgbClr val="808080"/>
              </a:solidFill>
              <a:prstDash val="solid"/>
            </a:ln>
          </c:spPr>
          <c:marker>
            <c:symbol val="none"/>
          </c:marker>
          <c:xVal>
            <c:numLit>
              <c:formatCode>General</c:formatCode>
              <c:ptCount val="2"/>
              <c:pt idx="0">
                <c:v>-4.9758808180128256</c:v>
              </c:pt>
              <c:pt idx="1">
                <c:v>-4.6758808180128257</c:v>
              </c:pt>
            </c:numLit>
          </c:xVal>
          <c:yVal>
            <c:numLit>
              <c:formatCode>General</c:formatCode>
              <c:ptCount val="2"/>
              <c:pt idx="0">
                <c:v>6.941301504595568E-3</c:v>
              </c:pt>
              <c:pt idx="1">
                <c:v>6.8254579210482186E-3</c:v>
              </c:pt>
            </c:numLit>
          </c:yVal>
          <c:smooth val="0"/>
          <c:extLst>
            <c:ext xmlns:c16="http://schemas.microsoft.com/office/drawing/2014/chart" uri="{C3380CC4-5D6E-409C-BE32-E72D297353CC}">
              <c16:uniqueId val="{0000001E-1724-4912-B0E7-8A6416B1F822}"/>
            </c:ext>
          </c:extLst>
        </c:ser>
        <c:ser>
          <c:idx val="26"/>
          <c:order val="26"/>
          <c:tx>
            <c:v>h=14</c:v>
          </c:tx>
          <c:spPr>
            <a:ln w="3175">
              <a:solidFill>
                <a:srgbClr val="808080"/>
              </a:solidFill>
              <a:prstDash val="solid"/>
            </a:ln>
          </c:spPr>
          <c:marker>
            <c:symbol val="none"/>
          </c:marker>
          <c:xVal>
            <c:numLit>
              <c:formatCode>General</c:formatCode>
              <c:ptCount val="2"/>
              <c:pt idx="0">
                <c:v>-4.6674720363114925</c:v>
              </c:pt>
              <c:pt idx="1">
                <c:v>-4.3674720363114918</c:v>
              </c:pt>
            </c:numLit>
          </c:xVal>
          <c:yVal>
            <c:numLit>
              <c:formatCode>General</c:formatCode>
              <c:ptCount val="2"/>
              <c:pt idx="0">
                <c:v>7.207200026418413E-3</c:v>
              </c:pt>
              <c:pt idx="1">
                <c:v>7.0913750232407067E-3</c:v>
              </c:pt>
            </c:numLit>
          </c:yVal>
          <c:smooth val="0"/>
          <c:extLst>
            <c:ext xmlns:c16="http://schemas.microsoft.com/office/drawing/2014/chart" uri="{C3380CC4-5D6E-409C-BE32-E72D297353CC}">
              <c16:uniqueId val="{0000001F-1724-4912-B0E7-8A6416B1F822}"/>
            </c:ext>
          </c:extLst>
        </c:ser>
        <c:ser>
          <c:idx val="27"/>
          <c:order val="27"/>
          <c:tx>
            <c:v>h=15</c:v>
          </c:tx>
          <c:spPr>
            <a:ln w="3175">
              <a:solidFill>
                <a:srgbClr val="808080"/>
              </a:solidFill>
              <a:prstDash val="solid"/>
            </a:ln>
          </c:spPr>
          <c:marker>
            <c:symbol val="none"/>
          </c:marker>
          <c:dLbls>
            <c:dLbl>
              <c:idx val="0"/>
              <c:layout>
                <c:manualLayout>
                  <c:x val="-3.0087489063867032E-2"/>
                  <c:y val="-9.347701729591571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0-1724-4912-B0E7-8A6416B1F8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-4.3590632546101586</c:v>
              </c:pt>
              <c:pt idx="1">
                <c:v>15</c:v>
              </c:pt>
            </c:numLit>
          </c:xVal>
          <c:yVal>
            <c:numLit>
              <c:formatCode>General</c:formatCode>
              <c:ptCount val="2"/>
              <c:pt idx="0">
                <c:v>7.4730985482412571E-3</c:v>
              </c:pt>
              <c:pt idx="1">
                <c:v>0</c:v>
              </c:pt>
            </c:numLit>
          </c:yVal>
          <c:smooth val="0"/>
          <c:extLst>
            <c:ext xmlns:c16="http://schemas.microsoft.com/office/drawing/2014/chart" uri="{C3380CC4-5D6E-409C-BE32-E72D297353CC}">
              <c16:uniqueId val="{00000021-1724-4912-B0E7-8A6416B1F822}"/>
            </c:ext>
          </c:extLst>
        </c:ser>
        <c:ser>
          <c:idx val="28"/>
          <c:order val="28"/>
          <c:tx>
            <c:v>h=16</c:v>
          </c:tx>
          <c:spPr>
            <a:ln w="3175">
              <a:solidFill>
                <a:srgbClr val="808080"/>
              </a:solidFill>
              <a:prstDash val="solid"/>
            </a:ln>
          </c:spPr>
          <c:marker>
            <c:symbol val="none"/>
          </c:marker>
          <c:xVal>
            <c:numLit>
              <c:formatCode>General</c:formatCode>
              <c:ptCount val="2"/>
              <c:pt idx="0">
                <c:v>-4.0506544729088247</c:v>
              </c:pt>
              <c:pt idx="1">
                <c:v>-3.7506544729088249</c:v>
              </c:pt>
            </c:numLit>
          </c:xVal>
          <c:yVal>
            <c:numLit>
              <c:formatCode>General</c:formatCode>
              <c:ptCount val="2"/>
              <c:pt idx="0">
                <c:v>7.7389970700641013E-3</c:v>
              </c:pt>
              <c:pt idx="1">
                <c:v>7.6232053823585373E-3</c:v>
              </c:pt>
            </c:numLit>
          </c:yVal>
          <c:smooth val="0"/>
          <c:extLst>
            <c:ext xmlns:c16="http://schemas.microsoft.com/office/drawing/2014/chart" uri="{C3380CC4-5D6E-409C-BE32-E72D297353CC}">
              <c16:uniqueId val="{00000022-1724-4912-B0E7-8A6416B1F822}"/>
            </c:ext>
          </c:extLst>
        </c:ser>
        <c:ser>
          <c:idx val="29"/>
          <c:order val="29"/>
          <c:tx>
            <c:v>h=17</c:v>
          </c:tx>
          <c:spPr>
            <a:ln w="3175">
              <a:solidFill>
                <a:srgbClr val="808080"/>
              </a:solidFill>
              <a:prstDash val="solid"/>
            </a:ln>
          </c:spPr>
          <c:marker>
            <c:symbol val="none"/>
          </c:marker>
          <c:xVal>
            <c:numLit>
              <c:formatCode>General</c:formatCode>
              <c:ptCount val="2"/>
              <c:pt idx="0">
                <c:v>-3.7422456912074913</c:v>
              </c:pt>
              <c:pt idx="1">
                <c:v>-3.4422456912074915</c:v>
              </c:pt>
            </c:numLit>
          </c:xVal>
          <c:yVal>
            <c:numLit>
              <c:formatCode>General</c:formatCode>
              <c:ptCount val="2"/>
              <c:pt idx="0">
                <c:v>8.0048955918869454E-3</c:v>
              </c:pt>
              <c:pt idx="1">
                <c:v>7.8891188957028839E-3</c:v>
              </c:pt>
            </c:numLit>
          </c:yVal>
          <c:smooth val="0"/>
          <c:extLst>
            <c:ext xmlns:c16="http://schemas.microsoft.com/office/drawing/2014/chart" uri="{C3380CC4-5D6E-409C-BE32-E72D297353CC}">
              <c16:uniqueId val="{00000023-1724-4912-B0E7-8A6416B1F822}"/>
            </c:ext>
          </c:extLst>
        </c:ser>
        <c:ser>
          <c:idx val="30"/>
          <c:order val="30"/>
          <c:tx>
            <c:v>h=18</c:v>
          </c:tx>
          <c:spPr>
            <a:ln w="3175">
              <a:solidFill>
                <a:srgbClr val="808080"/>
              </a:solidFill>
              <a:prstDash val="solid"/>
            </a:ln>
          </c:spPr>
          <c:marker>
            <c:symbol val="none"/>
          </c:marker>
          <c:xVal>
            <c:numLit>
              <c:formatCode>General</c:formatCode>
              <c:ptCount val="2"/>
              <c:pt idx="0">
                <c:v>-3.4338369095061578</c:v>
              </c:pt>
              <c:pt idx="1">
                <c:v>-3.1338369095061576</c:v>
              </c:pt>
            </c:numLit>
          </c:xVal>
          <c:yVal>
            <c:numLit>
              <c:formatCode>General</c:formatCode>
              <c:ptCount val="2"/>
              <c:pt idx="0">
                <c:v>8.2707941137097896E-3</c:v>
              </c:pt>
              <c:pt idx="1">
                <c:v>8.1550314416045221E-3</c:v>
              </c:pt>
            </c:numLit>
          </c:yVal>
          <c:smooth val="0"/>
          <c:extLst>
            <c:ext xmlns:c16="http://schemas.microsoft.com/office/drawing/2014/chart" uri="{C3380CC4-5D6E-409C-BE32-E72D297353CC}">
              <c16:uniqueId val="{00000024-1724-4912-B0E7-8A6416B1F822}"/>
            </c:ext>
          </c:extLst>
        </c:ser>
        <c:ser>
          <c:idx val="31"/>
          <c:order val="31"/>
          <c:tx>
            <c:v>h=19</c:v>
          </c:tx>
          <c:spPr>
            <a:ln w="3175">
              <a:solidFill>
                <a:srgbClr val="808080"/>
              </a:solidFill>
              <a:prstDash val="solid"/>
            </a:ln>
          </c:spPr>
          <c:marker>
            <c:symbol val="none"/>
          </c:marker>
          <c:xVal>
            <c:numLit>
              <c:formatCode>General</c:formatCode>
              <c:ptCount val="2"/>
              <c:pt idx="0">
                <c:v>-3.1254281278048244</c:v>
              </c:pt>
              <c:pt idx="1">
                <c:v>-2.8254281278048241</c:v>
              </c:pt>
            </c:numLit>
          </c:xVal>
          <c:yVal>
            <c:numLit>
              <c:formatCode>General</c:formatCode>
              <c:ptCount val="2"/>
              <c:pt idx="0">
                <c:v>8.5366926355326354E-3</c:v>
              </c:pt>
              <c:pt idx="1">
                <c:v>8.4209431107837157E-3</c:v>
              </c:pt>
            </c:numLit>
          </c:yVal>
          <c:smooth val="0"/>
          <c:extLst>
            <c:ext xmlns:c16="http://schemas.microsoft.com/office/drawing/2014/chart" uri="{C3380CC4-5D6E-409C-BE32-E72D297353CC}">
              <c16:uniqueId val="{00000025-1724-4912-B0E7-8A6416B1F822}"/>
            </c:ext>
          </c:extLst>
        </c:ser>
        <c:ser>
          <c:idx val="32"/>
          <c:order val="32"/>
          <c:tx>
            <c:v>h=20</c:v>
          </c:tx>
          <c:spPr>
            <a:ln w="3175">
              <a:solidFill>
                <a:srgbClr val="808080"/>
              </a:solidFill>
              <a:prstDash val="solid"/>
            </a:ln>
          </c:spPr>
          <c:marker>
            <c:symbol val="none"/>
          </c:marker>
          <c:dLbls>
            <c:dLbl>
              <c:idx val="0"/>
              <c:layout>
                <c:manualLayout>
                  <c:x val="-3.0087489063867018E-2"/>
                  <c:y val="-9.347701729591650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20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1724-4912-B0E7-8A6416B1F8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-2.8170193461034905</c:v>
              </c:pt>
              <c:pt idx="1">
                <c:v>20</c:v>
              </c:pt>
            </c:numLit>
          </c:xVal>
          <c:yVal>
            <c:numLit>
              <c:formatCode>General</c:formatCode>
              <c:ptCount val="2"/>
              <c:pt idx="0">
                <c:v>8.8025911573554796E-3</c:v>
              </c:pt>
              <c:pt idx="1">
                <c:v>0</c:v>
              </c:pt>
            </c:numLit>
          </c:yVal>
          <c:smooth val="0"/>
          <c:extLst>
            <c:ext xmlns:c16="http://schemas.microsoft.com/office/drawing/2014/chart" uri="{C3380CC4-5D6E-409C-BE32-E72D297353CC}">
              <c16:uniqueId val="{00000027-1724-4912-B0E7-8A6416B1F822}"/>
            </c:ext>
          </c:extLst>
        </c:ser>
        <c:ser>
          <c:idx val="33"/>
          <c:order val="33"/>
          <c:tx>
            <c:v>h=21</c:v>
          </c:tx>
          <c:spPr>
            <a:ln w="3175">
              <a:solidFill>
                <a:srgbClr val="808080"/>
              </a:solidFill>
              <a:prstDash val="solid"/>
            </a:ln>
          </c:spPr>
          <c:marker>
            <c:symbol val="none"/>
          </c:marker>
          <c:xVal>
            <c:numLit>
              <c:formatCode>General</c:formatCode>
              <c:ptCount val="2"/>
              <c:pt idx="0">
                <c:v>-2.508610564402157</c:v>
              </c:pt>
              <c:pt idx="1">
                <c:v>-2.2086105644021572</c:v>
              </c:pt>
            </c:numLit>
          </c:xVal>
          <c:yVal>
            <c:numLit>
              <c:formatCode>General</c:formatCode>
              <c:ptCount val="2"/>
              <c:pt idx="0">
                <c:v>9.0684896791783237E-3</c:v>
              </c:pt>
              <c:pt idx="1">
                <c:v>8.952764128478485E-3</c:v>
              </c:pt>
            </c:numLit>
          </c:yVal>
          <c:smooth val="0"/>
          <c:extLst>
            <c:ext xmlns:c16="http://schemas.microsoft.com/office/drawing/2014/chart" uri="{C3380CC4-5D6E-409C-BE32-E72D297353CC}">
              <c16:uniqueId val="{00000028-1724-4912-B0E7-8A6416B1F822}"/>
            </c:ext>
          </c:extLst>
        </c:ser>
        <c:ser>
          <c:idx val="34"/>
          <c:order val="34"/>
          <c:tx>
            <c:v>h=22</c:v>
          </c:tx>
          <c:spPr>
            <a:ln w="3175">
              <a:solidFill>
                <a:srgbClr val="808080"/>
              </a:solidFill>
              <a:prstDash val="solid"/>
            </a:ln>
          </c:spPr>
          <c:marker>
            <c:symbol val="none"/>
          </c:marker>
          <c:xVal>
            <c:numLit>
              <c:formatCode>General</c:formatCode>
              <c:ptCount val="2"/>
              <c:pt idx="0">
                <c:v>-2.2002017827008236</c:v>
              </c:pt>
              <c:pt idx="1">
                <c:v>-1.9002017827008235</c:v>
              </c:pt>
            </c:numLit>
          </c:xVal>
          <c:yVal>
            <c:numLit>
              <c:formatCode>General</c:formatCode>
              <c:ptCount val="2"/>
              <c:pt idx="0">
                <c:v>9.3343882010011679E-3</c:v>
              </c:pt>
              <c:pt idx="1">
                <c:v>9.2186736096335001E-3</c:v>
              </c:pt>
            </c:numLit>
          </c:yVal>
          <c:smooth val="0"/>
          <c:extLst>
            <c:ext xmlns:c16="http://schemas.microsoft.com/office/drawing/2014/chart" uri="{C3380CC4-5D6E-409C-BE32-E72D297353CC}">
              <c16:uniqueId val="{00000029-1724-4912-B0E7-8A6416B1F822}"/>
            </c:ext>
          </c:extLst>
        </c:ser>
        <c:ser>
          <c:idx val="35"/>
          <c:order val="35"/>
          <c:tx>
            <c:v>h=23</c:v>
          </c:tx>
          <c:spPr>
            <a:ln w="3175">
              <a:solidFill>
                <a:srgbClr val="808080"/>
              </a:solidFill>
              <a:prstDash val="solid"/>
            </a:ln>
          </c:spPr>
          <c:marker>
            <c:symbol val="none"/>
          </c:marker>
          <c:xVal>
            <c:numLit>
              <c:formatCode>General</c:formatCode>
              <c:ptCount val="2"/>
              <c:pt idx="0">
                <c:v>-1.8917930009994899</c:v>
              </c:pt>
              <c:pt idx="1">
                <c:v>-1.5917930009994898</c:v>
              </c:pt>
            </c:numLit>
          </c:xVal>
          <c:yVal>
            <c:numLit>
              <c:formatCode>General</c:formatCode>
              <c:ptCount val="2"/>
              <c:pt idx="0">
                <c:v>9.600286722824012E-3</c:v>
              </c:pt>
              <c:pt idx="1">
                <c:v>9.484582481802421E-3</c:v>
              </c:pt>
            </c:numLit>
          </c:yVal>
          <c:smooth val="0"/>
          <c:extLst>
            <c:ext xmlns:c16="http://schemas.microsoft.com/office/drawing/2014/chart" uri="{C3380CC4-5D6E-409C-BE32-E72D297353CC}">
              <c16:uniqueId val="{0000002A-1724-4912-B0E7-8A6416B1F822}"/>
            </c:ext>
          </c:extLst>
        </c:ser>
        <c:ser>
          <c:idx val="36"/>
          <c:order val="36"/>
          <c:tx>
            <c:v>h=24</c:v>
          </c:tx>
          <c:spPr>
            <a:ln w="3175">
              <a:solidFill>
                <a:srgbClr val="808080"/>
              </a:solidFill>
              <a:prstDash val="solid"/>
            </a:ln>
          </c:spPr>
          <c:marker>
            <c:symbol val="none"/>
          </c:marker>
          <c:xVal>
            <c:numLit>
              <c:formatCode>General</c:formatCode>
              <c:ptCount val="2"/>
              <c:pt idx="0">
                <c:v>-1.5833842192981562</c:v>
              </c:pt>
              <c:pt idx="1">
                <c:v>-1.2833842192981562</c:v>
              </c:pt>
            </c:numLit>
          </c:xVal>
          <c:yVal>
            <c:numLit>
              <c:formatCode>General</c:formatCode>
              <c:ptCount val="2"/>
              <c:pt idx="0">
                <c:v>9.8661852446468561E-3</c:v>
              </c:pt>
              <c:pt idx="1">
                <c:v>9.7504907943730974E-3</c:v>
              </c:pt>
            </c:numLit>
          </c:yVal>
          <c:smooth val="0"/>
          <c:extLst>
            <c:ext xmlns:c16="http://schemas.microsoft.com/office/drawing/2014/chart" uri="{C3380CC4-5D6E-409C-BE32-E72D297353CC}">
              <c16:uniqueId val="{0000002B-1724-4912-B0E7-8A6416B1F822}"/>
            </c:ext>
          </c:extLst>
        </c:ser>
        <c:ser>
          <c:idx val="37"/>
          <c:order val="37"/>
          <c:tx>
            <c:v>h=25</c:v>
          </c:tx>
          <c:spPr>
            <a:ln w="3175">
              <a:solidFill>
                <a:srgbClr val="808080"/>
              </a:solidFill>
              <a:prstDash val="solid"/>
            </a:ln>
          </c:spPr>
          <c:marker>
            <c:symbol val="none"/>
          </c:marker>
          <c:dLbls>
            <c:dLbl>
              <c:idx val="0"/>
              <c:layout>
                <c:manualLayout>
                  <c:x val="-3.0087489063867018E-2"/>
                  <c:y val="-9.347701729591571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25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C-1724-4912-B0E7-8A6416B1F8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-1.2749754375968227</c:v>
              </c:pt>
              <c:pt idx="1">
                <c:v>25</c:v>
              </c:pt>
            </c:numLit>
          </c:xVal>
          <c:yVal>
            <c:numLit>
              <c:formatCode>General</c:formatCode>
              <c:ptCount val="2"/>
              <c:pt idx="0">
                <c:v>1.0132083766469702E-2</c:v>
              </c:pt>
              <c:pt idx="1">
                <c:v>0</c:v>
              </c:pt>
            </c:numLit>
          </c:yVal>
          <c:smooth val="0"/>
          <c:extLst>
            <c:ext xmlns:c16="http://schemas.microsoft.com/office/drawing/2014/chart" uri="{C3380CC4-5D6E-409C-BE32-E72D297353CC}">
              <c16:uniqueId val="{0000002D-1724-4912-B0E7-8A6416B1F822}"/>
            </c:ext>
          </c:extLst>
        </c:ser>
        <c:ser>
          <c:idx val="38"/>
          <c:order val="38"/>
          <c:tx>
            <c:v>h=26</c:v>
          </c:tx>
          <c:spPr>
            <a:ln w="3175">
              <a:solidFill>
                <a:srgbClr val="808080"/>
              </a:solidFill>
              <a:prstDash val="solid"/>
            </a:ln>
          </c:spPr>
          <c:marker>
            <c:symbol val="none"/>
          </c:marker>
          <c:xVal>
            <c:numLit>
              <c:formatCode>General</c:formatCode>
              <c:ptCount val="2"/>
              <c:pt idx="0">
                <c:v>-0.96656665589548907</c:v>
              </c:pt>
              <c:pt idx="1">
                <c:v>-0.66656665589548902</c:v>
              </c:pt>
            </c:numLit>
          </c:xVal>
          <c:yVal>
            <c:numLit>
              <c:formatCode>General</c:formatCode>
              <c:ptCount val="2"/>
              <c:pt idx="0">
                <c:v>1.0397982288292546E-2</c:v>
              </c:pt>
              <c:pt idx="1">
                <c:v>1.0282305912938853E-2</c:v>
              </c:pt>
            </c:numLit>
          </c:yVal>
          <c:smooth val="0"/>
          <c:extLst>
            <c:ext xmlns:c16="http://schemas.microsoft.com/office/drawing/2014/chart" uri="{C3380CC4-5D6E-409C-BE32-E72D297353CC}">
              <c16:uniqueId val="{0000002E-1724-4912-B0E7-8A6416B1F822}"/>
            </c:ext>
          </c:extLst>
        </c:ser>
        <c:ser>
          <c:idx val="39"/>
          <c:order val="39"/>
          <c:tx>
            <c:v>h=27</c:v>
          </c:tx>
          <c:spPr>
            <a:ln w="3175">
              <a:solidFill>
                <a:srgbClr val="808080"/>
              </a:solidFill>
              <a:prstDash val="solid"/>
            </a:ln>
          </c:spPr>
          <c:marker>
            <c:symbol val="none"/>
          </c:marker>
          <c:xVal>
            <c:numLit>
              <c:formatCode>General</c:formatCode>
              <c:ptCount val="2"/>
              <c:pt idx="0">
                <c:v>-0.6581578741941555</c:v>
              </c:pt>
              <c:pt idx="1">
                <c:v>-0.35815787419415551</c:v>
              </c:pt>
            </c:numLit>
          </c:xVal>
          <c:yVal>
            <c:numLit>
              <c:formatCode>General</c:formatCode>
              <c:ptCount val="2"/>
              <c:pt idx="0">
                <c:v>1.066388081011539E-2</c:v>
              </c:pt>
              <c:pt idx="1">
                <c:v>1.0548212794277664E-2</c:v>
              </c:pt>
            </c:numLit>
          </c:yVal>
          <c:smooth val="0"/>
          <c:extLst>
            <c:ext xmlns:c16="http://schemas.microsoft.com/office/drawing/2014/chart" uri="{C3380CC4-5D6E-409C-BE32-E72D297353CC}">
              <c16:uniqueId val="{0000002F-1724-4912-B0E7-8A6416B1F822}"/>
            </c:ext>
          </c:extLst>
        </c:ser>
        <c:ser>
          <c:idx val="40"/>
          <c:order val="40"/>
          <c:tx>
            <c:v>h=28</c:v>
          </c:tx>
          <c:spPr>
            <a:ln w="3175">
              <a:solidFill>
                <a:srgbClr val="808080"/>
              </a:solidFill>
              <a:prstDash val="solid"/>
            </a:ln>
          </c:spPr>
          <c:marker>
            <c:symbol val="none"/>
          </c:marker>
          <c:xVal>
            <c:numLit>
              <c:formatCode>General</c:formatCode>
              <c:ptCount val="2"/>
              <c:pt idx="0">
                <c:v>-0.34974909249282188</c:v>
              </c:pt>
              <c:pt idx="1">
                <c:v>-4.9749092492821903E-2</c:v>
              </c:pt>
            </c:numLit>
          </c:xVal>
          <c:yVal>
            <c:numLit>
              <c:formatCode>General</c:formatCode>
              <c:ptCount val="2"/>
              <c:pt idx="0">
                <c:v>1.0929779331938234E-2</c:v>
              </c:pt>
              <c:pt idx="1">
                <c:v>1.0814119267756229E-2</c:v>
              </c:pt>
            </c:numLit>
          </c:yVal>
          <c:smooth val="0"/>
          <c:extLst>
            <c:ext xmlns:c16="http://schemas.microsoft.com/office/drawing/2014/chart" uri="{C3380CC4-5D6E-409C-BE32-E72D297353CC}">
              <c16:uniqueId val="{00000030-1724-4912-B0E7-8A6416B1F822}"/>
            </c:ext>
          </c:extLst>
        </c:ser>
        <c:ser>
          <c:idx val="41"/>
          <c:order val="41"/>
          <c:tx>
            <c:v>h=29</c:v>
          </c:tx>
          <c:spPr>
            <a:ln w="3175">
              <a:solidFill>
                <a:srgbClr val="808080"/>
              </a:solidFill>
              <a:prstDash val="solid"/>
            </a:ln>
          </c:spPr>
          <c:marker>
            <c:symbol val="none"/>
          </c:marker>
          <c:xVal>
            <c:numLit>
              <c:formatCode>General</c:formatCode>
              <c:ptCount val="2"/>
              <c:pt idx="0">
                <c:v>-4.1340310791488304E-2</c:v>
              </c:pt>
              <c:pt idx="1">
                <c:v>0.25865968920851168</c:v>
              </c:pt>
            </c:numLit>
          </c:xVal>
          <c:yVal>
            <c:numLit>
              <c:formatCode>General</c:formatCode>
              <c:ptCount val="2"/>
              <c:pt idx="0">
                <c:v>1.1195677853761079E-2</c:v>
              </c:pt>
              <c:pt idx="1">
                <c:v>1.108002536251293E-2</c:v>
              </c:pt>
            </c:numLit>
          </c:yVal>
          <c:smooth val="0"/>
          <c:extLst>
            <c:ext xmlns:c16="http://schemas.microsoft.com/office/drawing/2014/chart" uri="{C3380CC4-5D6E-409C-BE32-E72D297353CC}">
              <c16:uniqueId val="{00000031-1724-4912-B0E7-8A6416B1F822}"/>
            </c:ext>
          </c:extLst>
        </c:ser>
        <c:ser>
          <c:idx val="42"/>
          <c:order val="42"/>
          <c:tx>
            <c:v>h=30</c:v>
          </c:tx>
          <c:spPr>
            <a:ln w="3175">
              <a:solidFill>
                <a:srgbClr val="808080"/>
              </a:solidFill>
              <a:prstDash val="solid"/>
            </a:ln>
          </c:spPr>
          <c:marker>
            <c:symbol val="none"/>
          </c:marker>
          <c:dLbls>
            <c:dLbl>
              <c:idx val="0"/>
              <c:layout>
                <c:manualLayout>
                  <c:x val="-3.0087489063867018E-2"/>
                  <c:y val="-9.347701729591571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30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2-1724-4912-B0E7-8A6416B1F8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0.26706847090984531</c:v>
              </c:pt>
              <c:pt idx="1">
                <c:v>30</c:v>
              </c:pt>
            </c:numLit>
          </c:xVal>
          <c:yVal>
            <c:numLit>
              <c:formatCode>General</c:formatCode>
              <c:ptCount val="2"/>
              <c:pt idx="0">
                <c:v>1.1461576375583923E-2</c:v>
              </c:pt>
              <c:pt idx="1">
                <c:v>0</c:v>
              </c:pt>
            </c:numLit>
          </c:yVal>
          <c:smooth val="0"/>
          <c:extLst>
            <c:ext xmlns:c16="http://schemas.microsoft.com/office/drawing/2014/chart" uri="{C3380CC4-5D6E-409C-BE32-E72D297353CC}">
              <c16:uniqueId val="{00000033-1724-4912-B0E7-8A6416B1F822}"/>
            </c:ext>
          </c:extLst>
        </c:ser>
        <c:ser>
          <c:idx val="43"/>
          <c:order val="43"/>
          <c:tx>
            <c:v>h=31</c:v>
          </c:tx>
          <c:spPr>
            <a:ln w="3175">
              <a:solidFill>
                <a:srgbClr val="808080"/>
              </a:solidFill>
              <a:prstDash val="solid"/>
            </a:ln>
          </c:spPr>
          <c:marker>
            <c:symbol val="none"/>
          </c:marker>
          <c:xVal>
            <c:numLit>
              <c:formatCode>General</c:formatCode>
              <c:ptCount val="2"/>
              <c:pt idx="0">
                <c:v>0.57547725261117888</c:v>
              </c:pt>
              <c:pt idx="1">
                <c:v>0.87547725261117881</c:v>
              </c:pt>
            </c:numLit>
          </c:xVal>
          <c:yVal>
            <c:numLit>
              <c:formatCode>General</c:formatCode>
              <c:ptCount val="2"/>
              <c:pt idx="0">
                <c:v>1.1727474897406769E-2</c:v>
              </c:pt>
              <c:pt idx="1">
                <c:v>1.1611836519167163E-2</c:v>
              </c:pt>
            </c:numLit>
          </c:yVal>
          <c:smooth val="0"/>
          <c:extLst>
            <c:ext xmlns:c16="http://schemas.microsoft.com/office/drawing/2014/chart" uri="{C3380CC4-5D6E-409C-BE32-E72D297353CC}">
              <c16:uniqueId val="{00000034-1724-4912-B0E7-8A6416B1F822}"/>
            </c:ext>
          </c:extLst>
        </c:ser>
        <c:ser>
          <c:idx val="44"/>
          <c:order val="44"/>
          <c:tx>
            <c:v>h=32</c:v>
          </c:tx>
          <c:spPr>
            <a:ln w="3175">
              <a:solidFill>
                <a:srgbClr val="808080"/>
              </a:solidFill>
              <a:prstDash val="solid"/>
            </a:ln>
          </c:spPr>
          <c:marker>
            <c:symbol val="none"/>
          </c:marker>
          <c:xVal>
            <c:numLit>
              <c:formatCode>General</c:formatCode>
              <c:ptCount val="2"/>
              <c:pt idx="0">
                <c:v>0.88388603431251245</c:v>
              </c:pt>
              <c:pt idx="1">
                <c:v>1.1838860343125124</c:v>
              </c:pt>
            </c:numLit>
          </c:xVal>
          <c:yVal>
            <c:numLit>
              <c:formatCode>General</c:formatCode>
              <c:ptCount val="2"/>
              <c:pt idx="0">
                <c:v>1.1993373419229613E-2</c:v>
              </c:pt>
              <c:pt idx="1">
                <c:v>1.1877741626977646E-2</c:v>
              </c:pt>
            </c:numLit>
          </c:yVal>
          <c:smooth val="0"/>
          <c:extLst>
            <c:ext xmlns:c16="http://schemas.microsoft.com/office/drawing/2014/chart" uri="{C3380CC4-5D6E-409C-BE32-E72D297353CC}">
              <c16:uniqueId val="{00000035-1724-4912-B0E7-8A6416B1F822}"/>
            </c:ext>
          </c:extLst>
        </c:ser>
        <c:ser>
          <c:idx val="45"/>
          <c:order val="45"/>
          <c:tx>
            <c:v>h=33</c:v>
          </c:tx>
          <c:spPr>
            <a:ln w="3175">
              <a:solidFill>
                <a:srgbClr val="808080"/>
              </a:solidFill>
              <a:prstDash val="solid"/>
            </a:ln>
          </c:spPr>
          <c:marker>
            <c:symbol val="none"/>
          </c:marker>
          <c:xVal>
            <c:numLit>
              <c:formatCode>General</c:formatCode>
              <c:ptCount val="2"/>
              <c:pt idx="0">
                <c:v>1.192294816013846</c:v>
              </c:pt>
              <c:pt idx="1">
                <c:v>1.4922948160138461</c:v>
              </c:pt>
            </c:numLit>
          </c:xVal>
          <c:yVal>
            <c:numLit>
              <c:formatCode>General</c:formatCode>
              <c:ptCount val="2"/>
              <c:pt idx="0">
                <c:v>1.2259271941052457E-2</c:v>
              </c:pt>
              <c:pt idx="1">
                <c:v>1.214364644839141E-2</c:v>
              </c:pt>
            </c:numLit>
          </c:yVal>
          <c:smooth val="0"/>
          <c:extLst>
            <c:ext xmlns:c16="http://schemas.microsoft.com/office/drawing/2014/chart" uri="{C3380CC4-5D6E-409C-BE32-E72D297353CC}">
              <c16:uniqueId val="{00000036-1724-4912-B0E7-8A6416B1F822}"/>
            </c:ext>
          </c:extLst>
        </c:ser>
        <c:ser>
          <c:idx val="46"/>
          <c:order val="46"/>
          <c:tx>
            <c:v>h=34</c:v>
          </c:tx>
          <c:spPr>
            <a:ln w="3175">
              <a:solidFill>
                <a:srgbClr val="808080"/>
              </a:solidFill>
              <a:prstDash val="solid"/>
            </a:ln>
          </c:spPr>
          <c:marker>
            <c:symbol val="none"/>
          </c:marker>
          <c:xVal>
            <c:numLit>
              <c:formatCode>General</c:formatCode>
              <c:ptCount val="2"/>
              <c:pt idx="0">
                <c:v>1.5007035977151797</c:v>
              </c:pt>
              <c:pt idx="1">
                <c:v>1.8007035977151795</c:v>
              </c:pt>
            </c:numLit>
          </c:xVal>
          <c:yVal>
            <c:numLit>
              <c:formatCode>General</c:formatCode>
              <c:ptCount val="2"/>
              <c:pt idx="0">
                <c:v>1.2525170462875301E-2</c:v>
              </c:pt>
              <c:pt idx="1">
                <c:v>1.2409551001692184E-2</c:v>
              </c:pt>
            </c:numLit>
          </c:yVal>
          <c:smooth val="0"/>
          <c:extLst>
            <c:ext xmlns:c16="http://schemas.microsoft.com/office/drawing/2014/chart" uri="{C3380CC4-5D6E-409C-BE32-E72D297353CC}">
              <c16:uniqueId val="{00000037-1724-4912-B0E7-8A6416B1F822}"/>
            </c:ext>
          </c:extLst>
        </c:ser>
        <c:ser>
          <c:idx val="47"/>
          <c:order val="47"/>
          <c:tx>
            <c:v>h=35</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35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8-1724-4912-B0E7-8A6416B1F8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1.8091123794165131</c:v>
              </c:pt>
              <c:pt idx="1">
                <c:v>35</c:v>
              </c:pt>
            </c:numLit>
          </c:xVal>
          <c:yVal>
            <c:numLit>
              <c:formatCode>General</c:formatCode>
              <c:ptCount val="2"/>
              <c:pt idx="0">
                <c:v>1.2791068984698145E-2</c:v>
              </c:pt>
              <c:pt idx="1">
                <c:v>0</c:v>
              </c:pt>
            </c:numLit>
          </c:yVal>
          <c:smooth val="0"/>
          <c:extLst>
            <c:ext xmlns:c16="http://schemas.microsoft.com/office/drawing/2014/chart" uri="{C3380CC4-5D6E-409C-BE32-E72D297353CC}">
              <c16:uniqueId val="{00000039-1724-4912-B0E7-8A6416B1F822}"/>
            </c:ext>
          </c:extLst>
        </c:ser>
        <c:ser>
          <c:idx val="48"/>
          <c:order val="48"/>
          <c:tx>
            <c:v>h=36</c:v>
          </c:tx>
          <c:spPr>
            <a:ln w="3175">
              <a:solidFill>
                <a:srgbClr val="808080"/>
              </a:solidFill>
              <a:prstDash val="solid"/>
            </a:ln>
          </c:spPr>
          <c:marker>
            <c:symbol val="none"/>
          </c:marker>
          <c:xVal>
            <c:numLit>
              <c:formatCode>General</c:formatCode>
              <c:ptCount val="2"/>
              <c:pt idx="0">
                <c:v>2.1175211611178466</c:v>
              </c:pt>
              <c:pt idx="1">
                <c:v>2.4175211611178469</c:v>
              </c:pt>
            </c:numLit>
          </c:xVal>
          <c:yVal>
            <c:numLit>
              <c:formatCode>General</c:formatCode>
              <c:ptCount val="2"/>
              <c:pt idx="0">
                <c:v>1.3056967506520989E-2</c:v>
              </c:pt>
              <c:pt idx="1">
                <c:v>1.2941359369625727E-2</c:v>
              </c:pt>
            </c:numLit>
          </c:yVal>
          <c:smooth val="0"/>
          <c:extLst>
            <c:ext xmlns:c16="http://schemas.microsoft.com/office/drawing/2014/chart" uri="{C3380CC4-5D6E-409C-BE32-E72D297353CC}">
              <c16:uniqueId val="{0000003A-1724-4912-B0E7-8A6416B1F822}"/>
            </c:ext>
          </c:extLst>
        </c:ser>
        <c:ser>
          <c:idx val="49"/>
          <c:order val="49"/>
          <c:tx>
            <c:v>h=37</c:v>
          </c:tx>
          <c:spPr>
            <a:ln w="3175">
              <a:solidFill>
                <a:srgbClr val="808080"/>
              </a:solidFill>
              <a:prstDash val="solid"/>
            </a:ln>
          </c:spPr>
          <c:marker>
            <c:symbol val="none"/>
          </c:marker>
          <c:xVal>
            <c:numLit>
              <c:formatCode>General</c:formatCode>
              <c:ptCount val="2"/>
              <c:pt idx="0">
                <c:v>2.4259299428191805</c:v>
              </c:pt>
              <c:pt idx="1">
                <c:v>2.7259299428191803</c:v>
              </c:pt>
            </c:numLit>
          </c:xVal>
          <c:yVal>
            <c:numLit>
              <c:formatCode>General</c:formatCode>
              <c:ptCount val="2"/>
              <c:pt idx="0">
                <c:v>1.3322866028343833E-2</c:v>
              </c:pt>
              <c:pt idx="1">
                <c:v>1.3207263213809909E-2</c:v>
              </c:pt>
            </c:numLit>
          </c:yVal>
          <c:smooth val="0"/>
          <c:extLst>
            <c:ext xmlns:c16="http://schemas.microsoft.com/office/drawing/2014/chart" uri="{C3380CC4-5D6E-409C-BE32-E72D297353CC}">
              <c16:uniqueId val="{0000003B-1724-4912-B0E7-8A6416B1F822}"/>
            </c:ext>
          </c:extLst>
        </c:ser>
        <c:ser>
          <c:idx val="50"/>
          <c:order val="50"/>
          <c:tx>
            <c:v>h=38</c:v>
          </c:tx>
          <c:spPr>
            <a:ln w="3175">
              <a:solidFill>
                <a:srgbClr val="808080"/>
              </a:solidFill>
              <a:prstDash val="solid"/>
            </a:ln>
          </c:spPr>
          <c:marker>
            <c:symbol val="none"/>
          </c:marker>
          <c:xVal>
            <c:numLit>
              <c:formatCode>General</c:formatCode>
              <c:ptCount val="2"/>
              <c:pt idx="0">
                <c:v>2.734338724520514</c:v>
              </c:pt>
              <c:pt idx="1">
                <c:v>3.0343387245205138</c:v>
              </c:pt>
            </c:numLit>
          </c:xVal>
          <c:yVal>
            <c:numLit>
              <c:formatCode>General</c:formatCode>
              <c:ptCount val="2"/>
              <c:pt idx="0">
                <c:v>1.3588764550166679E-2</c:v>
              </c:pt>
              <c:pt idx="1">
                <c:v>1.3473166849241543E-2</c:v>
              </c:pt>
            </c:numLit>
          </c:yVal>
          <c:smooth val="0"/>
          <c:extLst>
            <c:ext xmlns:c16="http://schemas.microsoft.com/office/drawing/2014/chart" uri="{C3380CC4-5D6E-409C-BE32-E72D297353CC}">
              <c16:uniqueId val="{0000003C-1724-4912-B0E7-8A6416B1F822}"/>
            </c:ext>
          </c:extLst>
        </c:ser>
        <c:ser>
          <c:idx val="51"/>
          <c:order val="51"/>
          <c:tx>
            <c:v>h=39</c:v>
          </c:tx>
          <c:spPr>
            <a:ln w="3175">
              <a:solidFill>
                <a:srgbClr val="808080"/>
              </a:solidFill>
              <a:prstDash val="solid"/>
            </a:ln>
          </c:spPr>
          <c:marker>
            <c:symbol val="none"/>
          </c:marker>
          <c:xVal>
            <c:numLit>
              <c:formatCode>General</c:formatCode>
              <c:ptCount val="2"/>
              <c:pt idx="0">
                <c:v>3.0427475062218474</c:v>
              </c:pt>
              <c:pt idx="1">
                <c:v>3.3427475062218477</c:v>
              </c:pt>
            </c:numLit>
          </c:xVal>
          <c:yVal>
            <c:numLit>
              <c:formatCode>General</c:formatCode>
              <c:ptCount val="2"/>
              <c:pt idx="0">
                <c:v>1.3854663071989523E-2</c:v>
              </c:pt>
              <c:pt idx="1">
                <c:v>1.3739070287965881E-2</c:v>
              </c:pt>
            </c:numLit>
          </c:yVal>
          <c:smooth val="0"/>
          <c:extLst>
            <c:ext xmlns:c16="http://schemas.microsoft.com/office/drawing/2014/chart" uri="{C3380CC4-5D6E-409C-BE32-E72D297353CC}">
              <c16:uniqueId val="{0000003D-1724-4912-B0E7-8A6416B1F822}"/>
            </c:ext>
          </c:extLst>
        </c:ser>
        <c:ser>
          <c:idx val="52"/>
          <c:order val="52"/>
          <c:tx>
            <c:v>h=40</c:v>
          </c:tx>
          <c:spPr>
            <a:ln w="3175">
              <a:solidFill>
                <a:srgbClr val="808080"/>
              </a:solidFill>
              <a:prstDash val="solid"/>
            </a:ln>
          </c:spPr>
          <c:marker>
            <c:symbol val="none"/>
          </c:marker>
          <c:dLbls>
            <c:dLbl>
              <c:idx val="0"/>
              <c:layout>
                <c:manualLayout>
                  <c:x val="-3.0087489063867049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40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1724-4912-B0E7-8A6416B1F8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3.3511562879231813</c:v>
              </c:pt>
              <c:pt idx="1">
                <c:v>40</c:v>
              </c:pt>
            </c:numLit>
          </c:xVal>
          <c:yVal>
            <c:numLit>
              <c:formatCode>General</c:formatCode>
              <c:ptCount val="2"/>
              <c:pt idx="0">
                <c:v>1.4120561593812368E-2</c:v>
              </c:pt>
              <c:pt idx="1">
                <c:v>0</c:v>
              </c:pt>
            </c:numLit>
          </c:yVal>
          <c:smooth val="0"/>
          <c:extLst>
            <c:ext xmlns:c16="http://schemas.microsoft.com/office/drawing/2014/chart" uri="{C3380CC4-5D6E-409C-BE32-E72D297353CC}">
              <c16:uniqueId val="{0000003F-1724-4912-B0E7-8A6416B1F822}"/>
            </c:ext>
          </c:extLst>
        </c:ser>
        <c:ser>
          <c:idx val="53"/>
          <c:order val="53"/>
          <c:tx>
            <c:v>h=41</c:v>
          </c:tx>
          <c:spPr>
            <a:ln w="3175">
              <a:solidFill>
                <a:srgbClr val="808080"/>
              </a:solidFill>
              <a:prstDash val="solid"/>
            </a:ln>
          </c:spPr>
          <c:marker>
            <c:symbol val="none"/>
          </c:marker>
          <c:xVal>
            <c:numLit>
              <c:formatCode>General</c:formatCode>
              <c:ptCount val="2"/>
              <c:pt idx="0">
                <c:v>3.6595650696245148</c:v>
              </c:pt>
              <c:pt idx="1">
                <c:v>3.9595650696245146</c:v>
              </c:pt>
            </c:numLit>
          </c:xVal>
          <c:yVal>
            <c:numLit>
              <c:formatCode>General</c:formatCode>
              <c:ptCount val="2"/>
              <c:pt idx="0">
                <c:v>1.4386460115635212E-2</c:v>
              </c:pt>
              <c:pt idx="1">
                <c:v>1.4270876619011833E-2</c:v>
              </c:pt>
            </c:numLit>
          </c:yVal>
          <c:smooth val="0"/>
          <c:extLst>
            <c:ext xmlns:c16="http://schemas.microsoft.com/office/drawing/2014/chart" uri="{C3380CC4-5D6E-409C-BE32-E72D297353CC}">
              <c16:uniqueId val="{00000040-1724-4912-B0E7-8A6416B1F822}"/>
            </c:ext>
          </c:extLst>
        </c:ser>
        <c:ser>
          <c:idx val="54"/>
          <c:order val="54"/>
          <c:tx>
            <c:v>h=42</c:v>
          </c:tx>
          <c:spPr>
            <a:ln w="3175">
              <a:solidFill>
                <a:srgbClr val="808080"/>
              </a:solidFill>
              <a:prstDash val="solid"/>
            </a:ln>
          </c:spPr>
          <c:marker>
            <c:symbol val="none"/>
          </c:marker>
          <c:xVal>
            <c:numLit>
              <c:formatCode>General</c:formatCode>
              <c:ptCount val="2"/>
              <c:pt idx="0">
                <c:v>3.9679738513258482</c:v>
              </c:pt>
              <c:pt idx="1">
                <c:v>4.2679738513258485</c:v>
              </c:pt>
            </c:numLit>
          </c:xVal>
          <c:yVal>
            <c:numLit>
              <c:formatCode>General</c:formatCode>
              <c:ptCount val="2"/>
              <c:pt idx="0">
                <c:v>1.4652358637458056E-2</c:v>
              </c:pt>
              <c:pt idx="1">
                <c:v>1.4536779531205505E-2</c:v>
              </c:pt>
            </c:numLit>
          </c:yVal>
          <c:smooth val="0"/>
          <c:extLst>
            <c:ext xmlns:c16="http://schemas.microsoft.com/office/drawing/2014/chart" uri="{C3380CC4-5D6E-409C-BE32-E72D297353CC}">
              <c16:uniqueId val="{00000041-1724-4912-B0E7-8A6416B1F822}"/>
            </c:ext>
          </c:extLst>
        </c:ser>
        <c:ser>
          <c:idx val="55"/>
          <c:order val="55"/>
          <c:tx>
            <c:v>h=43</c:v>
          </c:tx>
          <c:spPr>
            <a:ln w="3175">
              <a:solidFill>
                <a:srgbClr val="808080"/>
              </a:solidFill>
              <a:prstDash val="solid"/>
            </a:ln>
          </c:spPr>
          <c:marker>
            <c:symbol val="none"/>
          </c:marker>
          <c:xVal>
            <c:numLit>
              <c:formatCode>General</c:formatCode>
              <c:ptCount val="2"/>
              <c:pt idx="0">
                <c:v>4.2763826330271817</c:v>
              </c:pt>
              <c:pt idx="1">
                <c:v>4.5763826330271815</c:v>
              </c:pt>
            </c:numLit>
          </c:xVal>
          <c:yVal>
            <c:numLit>
              <c:formatCode>General</c:formatCode>
              <c:ptCount val="2"/>
              <c:pt idx="0">
                <c:v>1.49182571592809E-2</c:v>
              </c:pt>
              <c:pt idx="1">
                <c:v>1.4802682286577985E-2</c:v>
              </c:pt>
            </c:numLit>
          </c:yVal>
          <c:smooth val="0"/>
          <c:extLst>
            <c:ext xmlns:c16="http://schemas.microsoft.com/office/drawing/2014/chart" uri="{C3380CC4-5D6E-409C-BE32-E72D297353CC}">
              <c16:uniqueId val="{00000042-1724-4912-B0E7-8A6416B1F822}"/>
            </c:ext>
          </c:extLst>
        </c:ser>
        <c:ser>
          <c:idx val="56"/>
          <c:order val="56"/>
          <c:tx>
            <c:v>h=44</c:v>
          </c:tx>
          <c:spPr>
            <a:ln w="3175">
              <a:solidFill>
                <a:srgbClr val="808080"/>
              </a:solidFill>
              <a:prstDash val="solid"/>
            </a:ln>
          </c:spPr>
          <c:marker>
            <c:symbol val="none"/>
          </c:marker>
          <c:xVal>
            <c:numLit>
              <c:formatCode>General</c:formatCode>
              <c:ptCount val="2"/>
              <c:pt idx="0">
                <c:v>4.5847914147285156</c:v>
              </c:pt>
              <c:pt idx="1">
                <c:v>4.8847914147285154</c:v>
              </c:pt>
            </c:numLit>
          </c:xVal>
          <c:yVal>
            <c:numLit>
              <c:formatCode>General</c:formatCode>
              <c:ptCount val="2"/>
              <c:pt idx="0">
                <c:v>1.5184155681103746E-2</c:v>
              </c:pt>
              <c:pt idx="1">
                <c:v>1.5068584893384172E-2</c:v>
              </c:pt>
            </c:numLit>
          </c:yVal>
          <c:smooth val="0"/>
          <c:extLst>
            <c:ext xmlns:c16="http://schemas.microsoft.com/office/drawing/2014/chart" uri="{C3380CC4-5D6E-409C-BE32-E72D297353CC}">
              <c16:uniqueId val="{00000043-1724-4912-B0E7-8A6416B1F822}"/>
            </c:ext>
          </c:extLst>
        </c:ser>
        <c:ser>
          <c:idx val="57"/>
          <c:order val="57"/>
          <c:tx>
            <c:v>h=45</c:v>
          </c:tx>
          <c:spPr>
            <a:ln w="3175">
              <a:solidFill>
                <a:srgbClr val="808080"/>
              </a:solidFill>
              <a:prstDash val="solid"/>
            </a:ln>
          </c:spPr>
          <c:marker>
            <c:symbol val="none"/>
          </c:marker>
          <c:dLbls>
            <c:dLbl>
              <c:idx val="0"/>
              <c:layout>
                <c:manualLayout>
                  <c:x val="-3.0087489063867049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45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4-1724-4912-B0E7-8A6416B1F8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4.8932001964298495</c:v>
              </c:pt>
              <c:pt idx="1">
                <c:v>45</c:v>
              </c:pt>
            </c:numLit>
          </c:xVal>
          <c:yVal>
            <c:numLit>
              <c:formatCode>General</c:formatCode>
              <c:ptCount val="2"/>
              <c:pt idx="0">
                <c:v>1.545005420292659E-2</c:v>
              </c:pt>
              <c:pt idx="1">
                <c:v>0</c:v>
              </c:pt>
            </c:numLit>
          </c:yVal>
          <c:smooth val="0"/>
          <c:extLst>
            <c:ext xmlns:c16="http://schemas.microsoft.com/office/drawing/2014/chart" uri="{C3380CC4-5D6E-409C-BE32-E72D297353CC}">
              <c16:uniqueId val="{00000045-1724-4912-B0E7-8A6416B1F822}"/>
            </c:ext>
          </c:extLst>
        </c:ser>
        <c:ser>
          <c:idx val="58"/>
          <c:order val="58"/>
          <c:tx>
            <c:v>h=46</c:v>
          </c:tx>
          <c:spPr>
            <a:ln w="3175">
              <a:solidFill>
                <a:srgbClr val="808080"/>
              </a:solidFill>
              <a:prstDash val="solid"/>
            </a:ln>
          </c:spPr>
          <c:marker>
            <c:symbol val="none"/>
          </c:marker>
          <c:xVal>
            <c:numLit>
              <c:formatCode>General</c:formatCode>
              <c:ptCount val="2"/>
              <c:pt idx="0">
                <c:v>5.2016089781311825</c:v>
              </c:pt>
              <c:pt idx="1">
                <c:v>5.5016089781311823</c:v>
              </c:pt>
            </c:numLit>
          </c:xVal>
          <c:yVal>
            <c:numLit>
              <c:formatCode>General</c:formatCode>
              <c:ptCount val="2"/>
              <c:pt idx="0">
                <c:v>1.5715952724749432E-2</c:v>
              </c:pt>
              <c:pt idx="1">
                <c:v>1.5600389691518597E-2</c:v>
              </c:pt>
            </c:numLit>
          </c:yVal>
          <c:smooth val="0"/>
          <c:extLst>
            <c:ext xmlns:c16="http://schemas.microsoft.com/office/drawing/2014/chart" uri="{C3380CC4-5D6E-409C-BE32-E72D297353CC}">
              <c16:uniqueId val="{00000046-1724-4912-B0E7-8A6416B1F822}"/>
            </c:ext>
          </c:extLst>
        </c:ser>
        <c:ser>
          <c:idx val="59"/>
          <c:order val="59"/>
          <c:tx>
            <c:v>h=47</c:v>
          </c:tx>
          <c:spPr>
            <a:ln w="3175">
              <a:solidFill>
                <a:srgbClr val="808080"/>
              </a:solidFill>
              <a:prstDash val="solid"/>
            </a:ln>
          </c:spPr>
          <c:marker>
            <c:symbol val="none"/>
          </c:marker>
          <c:xVal>
            <c:numLit>
              <c:formatCode>General</c:formatCode>
              <c:ptCount val="2"/>
              <c:pt idx="0">
                <c:v>5.5100177598325164</c:v>
              </c:pt>
              <c:pt idx="1">
                <c:v>5.8100177598325162</c:v>
              </c:pt>
            </c:numLit>
          </c:xVal>
          <c:yVal>
            <c:numLit>
              <c:formatCode>General</c:formatCode>
              <c:ptCount val="2"/>
              <c:pt idx="0">
                <c:v>1.5981851246572278E-2</c:v>
              </c:pt>
              <c:pt idx="1">
                <c:v>1.5866291896697939E-2</c:v>
              </c:pt>
            </c:numLit>
          </c:yVal>
          <c:smooth val="0"/>
          <c:extLst>
            <c:ext xmlns:c16="http://schemas.microsoft.com/office/drawing/2014/chart" uri="{C3380CC4-5D6E-409C-BE32-E72D297353CC}">
              <c16:uniqueId val="{00000047-1724-4912-B0E7-8A6416B1F822}"/>
            </c:ext>
          </c:extLst>
        </c:ser>
        <c:ser>
          <c:idx val="60"/>
          <c:order val="60"/>
          <c:tx>
            <c:v>h=48</c:v>
          </c:tx>
          <c:spPr>
            <a:ln w="3175">
              <a:solidFill>
                <a:srgbClr val="808080"/>
              </a:solidFill>
              <a:prstDash val="solid"/>
            </a:ln>
          </c:spPr>
          <c:marker>
            <c:symbol val="none"/>
          </c:marker>
          <c:xVal>
            <c:numLit>
              <c:formatCode>General</c:formatCode>
              <c:ptCount val="2"/>
              <c:pt idx="0">
                <c:v>5.8184265415338503</c:v>
              </c:pt>
              <c:pt idx="1">
                <c:v>6.1184265415338501</c:v>
              </c:pt>
            </c:numLit>
          </c:xVal>
          <c:yVal>
            <c:numLit>
              <c:formatCode>General</c:formatCode>
              <c:ptCount val="2"/>
              <c:pt idx="0">
                <c:v>1.6247749768395124E-2</c:v>
              </c:pt>
              <c:pt idx="1">
                <c:v>1.613219398109577E-2</c:v>
              </c:pt>
            </c:numLit>
          </c:yVal>
          <c:smooth val="0"/>
          <c:extLst>
            <c:ext xmlns:c16="http://schemas.microsoft.com/office/drawing/2014/chart" uri="{C3380CC4-5D6E-409C-BE32-E72D297353CC}">
              <c16:uniqueId val="{00000048-1724-4912-B0E7-8A6416B1F822}"/>
            </c:ext>
          </c:extLst>
        </c:ser>
        <c:ser>
          <c:idx val="61"/>
          <c:order val="61"/>
          <c:tx>
            <c:v>h=49</c:v>
          </c:tx>
          <c:spPr>
            <a:ln w="3175">
              <a:solidFill>
                <a:srgbClr val="808080"/>
              </a:solidFill>
              <a:prstDash val="solid"/>
            </a:ln>
          </c:spPr>
          <c:marker>
            <c:symbol val="none"/>
          </c:marker>
          <c:xVal>
            <c:numLit>
              <c:formatCode>General</c:formatCode>
              <c:ptCount val="2"/>
              <c:pt idx="0">
                <c:v>6.1268353232351833</c:v>
              </c:pt>
              <c:pt idx="1">
                <c:v>6.4268353232351831</c:v>
              </c:pt>
            </c:numLit>
          </c:xVal>
          <c:yVal>
            <c:numLit>
              <c:formatCode>General</c:formatCode>
              <c:ptCount val="2"/>
              <c:pt idx="0">
                <c:v>1.6513648290217967E-2</c:v>
              </c:pt>
              <c:pt idx="1">
                <c:v>1.639809595055711E-2</c:v>
              </c:pt>
            </c:numLit>
          </c:yVal>
          <c:smooth val="0"/>
          <c:extLst>
            <c:ext xmlns:c16="http://schemas.microsoft.com/office/drawing/2014/chart" uri="{C3380CC4-5D6E-409C-BE32-E72D297353CC}">
              <c16:uniqueId val="{00000049-1724-4912-B0E7-8A6416B1F822}"/>
            </c:ext>
          </c:extLst>
        </c:ser>
        <c:ser>
          <c:idx val="62"/>
          <c:order val="62"/>
          <c:tx>
            <c:v>h=50</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A-1724-4912-B0E7-8A6416B1F8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6.4352441049365172</c:v>
              </c:pt>
              <c:pt idx="1">
                <c:v>50</c:v>
              </c:pt>
            </c:numLit>
          </c:xVal>
          <c:yVal>
            <c:numLit>
              <c:formatCode>General</c:formatCode>
              <c:ptCount val="2"/>
              <c:pt idx="0">
                <c:v>1.6779546812040812E-2</c:v>
              </c:pt>
              <c:pt idx="1">
                <c:v>0</c:v>
              </c:pt>
            </c:numLit>
          </c:yVal>
          <c:smooth val="0"/>
          <c:extLst>
            <c:ext xmlns:c16="http://schemas.microsoft.com/office/drawing/2014/chart" uri="{C3380CC4-5D6E-409C-BE32-E72D297353CC}">
              <c16:uniqueId val="{0000004B-1724-4912-B0E7-8A6416B1F822}"/>
            </c:ext>
          </c:extLst>
        </c:ser>
        <c:ser>
          <c:idx val="63"/>
          <c:order val="63"/>
          <c:tx>
            <c:v>h=51</c:v>
          </c:tx>
          <c:spPr>
            <a:ln w="3175">
              <a:solidFill>
                <a:srgbClr val="808080"/>
              </a:solidFill>
              <a:prstDash val="solid"/>
            </a:ln>
          </c:spPr>
          <c:marker>
            <c:symbol val="none"/>
          </c:marker>
          <c:xVal>
            <c:numLit>
              <c:formatCode>General</c:formatCode>
              <c:ptCount val="2"/>
              <c:pt idx="0">
                <c:v>6.7436528866378502</c:v>
              </c:pt>
              <c:pt idx="1">
                <c:v>7.0436528866378509</c:v>
              </c:pt>
            </c:numLit>
          </c:xVal>
          <c:yVal>
            <c:numLit>
              <c:formatCode>General</c:formatCode>
              <c:ptCount val="2"/>
              <c:pt idx="0">
                <c:v>1.7045445333863655E-2</c:v>
              </c:pt>
              <c:pt idx="1">
                <c:v>1.692989956622358E-2</c:v>
              </c:pt>
            </c:numLit>
          </c:yVal>
          <c:smooth val="0"/>
          <c:extLst>
            <c:ext xmlns:c16="http://schemas.microsoft.com/office/drawing/2014/chart" uri="{C3380CC4-5D6E-409C-BE32-E72D297353CC}">
              <c16:uniqueId val="{0000004C-1724-4912-B0E7-8A6416B1F822}"/>
            </c:ext>
          </c:extLst>
        </c:ser>
        <c:ser>
          <c:idx val="64"/>
          <c:order val="64"/>
          <c:tx>
            <c:v>h=52</c:v>
          </c:tx>
          <c:spPr>
            <a:ln w="3175">
              <a:solidFill>
                <a:srgbClr val="808080"/>
              </a:solidFill>
              <a:prstDash val="solid"/>
            </a:ln>
          </c:spPr>
          <c:marker>
            <c:symbol val="none"/>
          </c:marker>
          <c:xVal>
            <c:numLit>
              <c:formatCode>General</c:formatCode>
              <c:ptCount val="2"/>
              <c:pt idx="0">
                <c:v>7.0520616683391841</c:v>
              </c:pt>
              <c:pt idx="1">
                <c:v>7.352061668339184</c:v>
              </c:pt>
            </c:numLit>
          </c:xVal>
          <c:yVal>
            <c:numLit>
              <c:formatCode>General</c:formatCode>
              <c:ptCount val="2"/>
              <c:pt idx="0">
                <c:v>1.7311343855686501E-2</c:v>
              </c:pt>
              <c:pt idx="1">
                <c:v>1.719580122237627E-2</c:v>
              </c:pt>
            </c:numLit>
          </c:yVal>
          <c:smooth val="0"/>
          <c:extLst>
            <c:ext xmlns:c16="http://schemas.microsoft.com/office/drawing/2014/chart" uri="{C3380CC4-5D6E-409C-BE32-E72D297353CC}">
              <c16:uniqueId val="{0000004D-1724-4912-B0E7-8A6416B1F822}"/>
            </c:ext>
          </c:extLst>
        </c:ser>
        <c:ser>
          <c:idx val="65"/>
          <c:order val="65"/>
          <c:tx>
            <c:v>h=53</c:v>
          </c:tx>
          <c:spPr>
            <a:ln w="3175">
              <a:solidFill>
                <a:srgbClr val="808080"/>
              </a:solidFill>
              <a:prstDash val="solid"/>
            </a:ln>
          </c:spPr>
          <c:marker>
            <c:symbol val="none"/>
          </c:marker>
          <c:xVal>
            <c:numLit>
              <c:formatCode>General</c:formatCode>
              <c:ptCount val="2"/>
              <c:pt idx="0">
                <c:v>7.360470450040518</c:v>
              </c:pt>
              <c:pt idx="1">
                <c:v>7.6604704500405179</c:v>
              </c:pt>
            </c:numLit>
          </c:xVal>
          <c:yVal>
            <c:numLit>
              <c:formatCode>General</c:formatCode>
              <c:ptCount val="2"/>
              <c:pt idx="0">
                <c:v>1.7577242377509347E-2</c:v>
              </c:pt>
              <c:pt idx="1">
                <c:v>1.7461702783537841E-2</c:v>
              </c:pt>
            </c:numLit>
          </c:yVal>
          <c:smooth val="0"/>
          <c:extLst>
            <c:ext xmlns:c16="http://schemas.microsoft.com/office/drawing/2014/chart" uri="{C3380CC4-5D6E-409C-BE32-E72D297353CC}">
              <c16:uniqueId val="{0000004E-1724-4912-B0E7-8A6416B1F822}"/>
            </c:ext>
          </c:extLst>
        </c:ser>
        <c:ser>
          <c:idx val="66"/>
          <c:order val="66"/>
          <c:tx>
            <c:v>h=54</c:v>
          </c:tx>
          <c:spPr>
            <a:ln w="3175">
              <a:solidFill>
                <a:srgbClr val="808080"/>
              </a:solidFill>
              <a:prstDash val="solid"/>
            </a:ln>
          </c:spPr>
          <c:marker>
            <c:symbol val="none"/>
          </c:marker>
          <c:xVal>
            <c:numLit>
              <c:formatCode>General</c:formatCode>
              <c:ptCount val="2"/>
              <c:pt idx="0">
                <c:v>7.668879231741851</c:v>
              </c:pt>
              <c:pt idx="1">
                <c:v>7.9688792317418518</c:v>
              </c:pt>
            </c:numLit>
          </c:xVal>
          <c:yVal>
            <c:numLit>
              <c:formatCode>General</c:formatCode>
              <c:ptCount val="2"/>
              <c:pt idx="0">
                <c:v>1.7843140899332189E-2</c:v>
              </c:pt>
              <c:pt idx="1">
                <c:v>1.772760425396213E-2</c:v>
              </c:pt>
            </c:numLit>
          </c:yVal>
          <c:smooth val="0"/>
          <c:extLst>
            <c:ext xmlns:c16="http://schemas.microsoft.com/office/drawing/2014/chart" uri="{C3380CC4-5D6E-409C-BE32-E72D297353CC}">
              <c16:uniqueId val="{0000004F-1724-4912-B0E7-8A6416B1F822}"/>
            </c:ext>
          </c:extLst>
        </c:ser>
        <c:ser>
          <c:idx val="67"/>
          <c:order val="67"/>
          <c:tx>
            <c:v>h=55</c:v>
          </c:tx>
          <c:spPr>
            <a:ln w="3175">
              <a:solidFill>
                <a:srgbClr val="808080"/>
              </a:solidFill>
              <a:prstDash val="solid"/>
            </a:ln>
          </c:spPr>
          <c:marker>
            <c:symbol val="none"/>
          </c:marker>
          <c:dLbls>
            <c:dLbl>
              <c:idx val="0"/>
              <c:layout>
                <c:manualLayout>
                  <c:x val="-3.0087489063867049E-2"/>
                  <c:y val="-9.347701729591571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0-1724-4912-B0E7-8A6416B1F8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7.9772880134431849</c:v>
              </c:pt>
              <c:pt idx="1">
                <c:v>50</c:v>
              </c:pt>
            </c:numLit>
          </c:xVal>
          <c:yVal>
            <c:numLit>
              <c:formatCode>General</c:formatCode>
              <c:ptCount val="2"/>
              <c:pt idx="0">
                <c:v>1.8109039421155035E-2</c:v>
              </c:pt>
              <c:pt idx="1">
                <c:v>1.8118735543562064E-3</c:v>
              </c:pt>
            </c:numLit>
          </c:yVal>
          <c:smooth val="0"/>
          <c:extLst>
            <c:ext xmlns:c16="http://schemas.microsoft.com/office/drawing/2014/chart" uri="{C3380CC4-5D6E-409C-BE32-E72D297353CC}">
              <c16:uniqueId val="{00000051-1724-4912-B0E7-8A6416B1F822}"/>
            </c:ext>
          </c:extLst>
        </c:ser>
        <c:ser>
          <c:idx val="68"/>
          <c:order val="68"/>
          <c:tx>
            <c:v>h=56</c:v>
          </c:tx>
          <c:spPr>
            <a:ln w="3175">
              <a:solidFill>
                <a:srgbClr val="808080"/>
              </a:solidFill>
              <a:prstDash val="solid"/>
            </a:ln>
          </c:spPr>
          <c:marker>
            <c:symbol val="none"/>
          </c:marker>
          <c:xVal>
            <c:numLit>
              <c:formatCode>General</c:formatCode>
              <c:ptCount val="2"/>
              <c:pt idx="0">
                <c:v>8.2856967951445188</c:v>
              </c:pt>
              <c:pt idx="1">
                <c:v>8.5856967951445178</c:v>
              </c:pt>
            </c:numLit>
          </c:xVal>
          <c:yVal>
            <c:numLit>
              <c:formatCode>General</c:formatCode>
              <c:ptCount val="2"/>
              <c:pt idx="0">
                <c:v>1.8374937942977877E-2</c:v>
              </c:pt>
              <c:pt idx="1">
                <c:v>1.8259406938381077E-2</c:v>
              </c:pt>
            </c:numLit>
          </c:yVal>
          <c:smooth val="0"/>
          <c:extLst>
            <c:ext xmlns:c16="http://schemas.microsoft.com/office/drawing/2014/chart" uri="{C3380CC4-5D6E-409C-BE32-E72D297353CC}">
              <c16:uniqueId val="{00000052-1724-4912-B0E7-8A6416B1F822}"/>
            </c:ext>
          </c:extLst>
        </c:ser>
        <c:ser>
          <c:idx val="69"/>
          <c:order val="69"/>
          <c:tx>
            <c:v>h=57</c:v>
          </c:tx>
          <c:spPr>
            <a:ln w="3175">
              <a:solidFill>
                <a:srgbClr val="808080"/>
              </a:solidFill>
              <a:prstDash val="solid"/>
            </a:ln>
          </c:spPr>
          <c:marker>
            <c:symbol val="none"/>
          </c:marker>
          <c:xVal>
            <c:numLit>
              <c:formatCode>General</c:formatCode>
              <c:ptCount val="2"/>
              <c:pt idx="0">
                <c:v>8.5941055768458519</c:v>
              </c:pt>
              <c:pt idx="1">
                <c:v>8.8941055768458526</c:v>
              </c:pt>
            </c:numLit>
          </c:xVal>
          <c:yVal>
            <c:numLit>
              <c:formatCode>General</c:formatCode>
              <c:ptCount val="2"/>
              <c:pt idx="0">
                <c:v>1.8640836464800723E-2</c:v>
              </c:pt>
              <c:pt idx="1">
                <c:v>1.8525308159703126E-2</c:v>
              </c:pt>
            </c:numLit>
          </c:yVal>
          <c:smooth val="0"/>
          <c:extLst>
            <c:ext xmlns:c16="http://schemas.microsoft.com/office/drawing/2014/chart" uri="{C3380CC4-5D6E-409C-BE32-E72D297353CC}">
              <c16:uniqueId val="{00000053-1724-4912-B0E7-8A6416B1F822}"/>
            </c:ext>
          </c:extLst>
        </c:ser>
        <c:ser>
          <c:idx val="70"/>
          <c:order val="70"/>
          <c:tx>
            <c:v>h=58</c:v>
          </c:tx>
          <c:spPr>
            <a:ln w="3175">
              <a:solidFill>
                <a:srgbClr val="808080"/>
              </a:solidFill>
              <a:prstDash val="solid"/>
            </a:ln>
          </c:spPr>
          <c:marker>
            <c:symbol val="none"/>
          </c:marker>
          <c:xVal>
            <c:numLit>
              <c:formatCode>General</c:formatCode>
              <c:ptCount val="2"/>
              <c:pt idx="0">
                <c:v>8.9025143585471849</c:v>
              </c:pt>
              <c:pt idx="1">
                <c:v>9.2025143585471856</c:v>
              </c:pt>
            </c:numLit>
          </c:xVal>
          <c:yVal>
            <c:numLit>
              <c:formatCode>General</c:formatCode>
              <c:ptCount val="2"/>
              <c:pt idx="0">
                <c:v>1.8906734986623566E-2</c:v>
              </c:pt>
              <c:pt idx="1">
                <c:v>1.8791209304974438E-2</c:v>
              </c:pt>
            </c:numLit>
          </c:yVal>
          <c:smooth val="0"/>
          <c:extLst>
            <c:ext xmlns:c16="http://schemas.microsoft.com/office/drawing/2014/chart" uri="{C3380CC4-5D6E-409C-BE32-E72D297353CC}">
              <c16:uniqueId val="{00000054-1724-4912-B0E7-8A6416B1F822}"/>
            </c:ext>
          </c:extLst>
        </c:ser>
        <c:ser>
          <c:idx val="71"/>
          <c:order val="71"/>
          <c:tx>
            <c:v>h=59</c:v>
          </c:tx>
          <c:spPr>
            <a:ln w="3175">
              <a:solidFill>
                <a:srgbClr val="808080"/>
              </a:solidFill>
              <a:prstDash val="solid"/>
            </a:ln>
          </c:spPr>
          <c:marker>
            <c:symbol val="none"/>
          </c:marker>
          <c:xVal>
            <c:numLit>
              <c:formatCode>General</c:formatCode>
              <c:ptCount val="2"/>
              <c:pt idx="0">
                <c:v>9.2109231402485197</c:v>
              </c:pt>
              <c:pt idx="1">
                <c:v>9.5109231402485186</c:v>
              </c:pt>
            </c:numLit>
          </c:xVal>
          <c:yVal>
            <c:numLit>
              <c:formatCode>General</c:formatCode>
              <c:ptCount val="2"/>
              <c:pt idx="0">
                <c:v>1.9172633508446411E-2</c:v>
              </c:pt>
              <c:pt idx="1">
                <c:v>1.9057110377364149E-2</c:v>
              </c:pt>
            </c:numLit>
          </c:yVal>
          <c:smooth val="0"/>
          <c:extLst>
            <c:ext xmlns:c16="http://schemas.microsoft.com/office/drawing/2014/chart" uri="{C3380CC4-5D6E-409C-BE32-E72D297353CC}">
              <c16:uniqueId val="{00000055-1724-4912-B0E7-8A6416B1F822}"/>
            </c:ext>
          </c:extLst>
        </c:ser>
        <c:ser>
          <c:idx val="72"/>
          <c:order val="72"/>
          <c:tx>
            <c:v>h=60</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60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6-1724-4912-B0E7-8A6416B1F8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9.5193319219498527</c:v>
              </c:pt>
              <c:pt idx="1">
                <c:v>50</c:v>
              </c:pt>
            </c:numLit>
          </c:xVal>
          <c:yVal>
            <c:numLit>
              <c:formatCode>General</c:formatCode>
              <c:ptCount val="2"/>
              <c:pt idx="0">
                <c:v>1.9438532030269257E-2</c:v>
              </c:pt>
              <c:pt idx="1">
                <c:v>3.7393986121819585E-3</c:v>
              </c:pt>
            </c:numLit>
          </c:yVal>
          <c:smooth val="0"/>
          <c:extLst>
            <c:ext xmlns:c16="http://schemas.microsoft.com/office/drawing/2014/chart" uri="{C3380CC4-5D6E-409C-BE32-E72D297353CC}">
              <c16:uniqueId val="{00000057-1724-4912-B0E7-8A6416B1F822}"/>
            </c:ext>
          </c:extLst>
        </c:ser>
        <c:ser>
          <c:idx val="73"/>
          <c:order val="73"/>
          <c:tx>
            <c:v>h=61</c:v>
          </c:tx>
          <c:spPr>
            <a:ln w="3175">
              <a:solidFill>
                <a:srgbClr val="808080"/>
              </a:solidFill>
              <a:prstDash val="solid"/>
            </a:ln>
          </c:spPr>
          <c:marker>
            <c:symbol val="none"/>
          </c:marker>
          <c:xVal>
            <c:numLit>
              <c:formatCode>General</c:formatCode>
              <c:ptCount val="2"/>
              <c:pt idx="0">
                <c:v>9.8277407036511857</c:v>
              </c:pt>
              <c:pt idx="1">
                <c:v>10.127740703651186</c:v>
              </c:pt>
            </c:numLit>
          </c:xVal>
          <c:yVal>
            <c:numLit>
              <c:formatCode>General</c:formatCode>
              <c:ptCount val="2"/>
              <c:pt idx="0">
                <c:v>1.97044305520921E-2</c:v>
              </c:pt>
              <c:pt idx="1">
                <c:v>1.9588912315318657E-2</c:v>
              </c:pt>
            </c:numLit>
          </c:yVal>
          <c:smooth val="0"/>
          <c:extLst>
            <c:ext xmlns:c16="http://schemas.microsoft.com/office/drawing/2014/chart" uri="{C3380CC4-5D6E-409C-BE32-E72D297353CC}">
              <c16:uniqueId val="{00000058-1724-4912-B0E7-8A6416B1F822}"/>
            </c:ext>
          </c:extLst>
        </c:ser>
        <c:ser>
          <c:idx val="74"/>
          <c:order val="74"/>
          <c:tx>
            <c:v>h=62</c:v>
          </c:tx>
          <c:spPr>
            <a:ln w="3175">
              <a:solidFill>
                <a:srgbClr val="808080"/>
              </a:solidFill>
              <a:prstDash val="solid"/>
            </a:ln>
          </c:spPr>
          <c:marker>
            <c:symbol val="none"/>
          </c:marker>
          <c:xVal>
            <c:numLit>
              <c:formatCode>General</c:formatCode>
              <c:ptCount val="2"/>
              <c:pt idx="0">
                <c:v>10.13614948535252</c:v>
              </c:pt>
              <c:pt idx="1">
                <c:v>10.436149485352519</c:v>
              </c:pt>
            </c:numLit>
          </c:xVal>
          <c:yVal>
            <c:numLit>
              <c:formatCode>General</c:formatCode>
              <c:ptCount val="2"/>
              <c:pt idx="0">
                <c:v>1.9970329073914946E-2</c:v>
              </c:pt>
              <c:pt idx="1">
                <c:v>1.9854813186399374E-2</c:v>
              </c:pt>
            </c:numLit>
          </c:yVal>
          <c:smooth val="0"/>
          <c:extLst>
            <c:ext xmlns:c16="http://schemas.microsoft.com/office/drawing/2014/chart" uri="{C3380CC4-5D6E-409C-BE32-E72D297353CC}">
              <c16:uniqueId val="{00000059-1724-4912-B0E7-8A6416B1F822}"/>
            </c:ext>
          </c:extLst>
        </c:ser>
        <c:ser>
          <c:idx val="75"/>
          <c:order val="75"/>
          <c:tx>
            <c:v>h=63</c:v>
          </c:tx>
          <c:spPr>
            <a:ln w="3175">
              <a:solidFill>
                <a:srgbClr val="808080"/>
              </a:solidFill>
              <a:prstDash val="solid"/>
            </a:ln>
          </c:spPr>
          <c:marker>
            <c:symbol val="none"/>
          </c:marker>
          <c:xVal>
            <c:numLit>
              <c:formatCode>General</c:formatCode>
              <c:ptCount val="2"/>
              <c:pt idx="0">
                <c:v>10.444558267053853</c:v>
              </c:pt>
              <c:pt idx="1">
                <c:v>10.744558267053854</c:v>
              </c:pt>
            </c:numLit>
          </c:xVal>
          <c:yVal>
            <c:numLit>
              <c:formatCode>General</c:formatCode>
              <c:ptCount val="2"/>
              <c:pt idx="0">
                <c:v>2.0236227595737788E-2</c:v>
              </c:pt>
              <c:pt idx="1">
                <c:v>2.012071399565105E-2</c:v>
              </c:pt>
            </c:numLit>
          </c:yVal>
          <c:smooth val="0"/>
          <c:extLst>
            <c:ext xmlns:c16="http://schemas.microsoft.com/office/drawing/2014/chart" uri="{C3380CC4-5D6E-409C-BE32-E72D297353CC}">
              <c16:uniqueId val="{0000005A-1724-4912-B0E7-8A6416B1F822}"/>
            </c:ext>
          </c:extLst>
        </c:ser>
        <c:ser>
          <c:idx val="76"/>
          <c:order val="76"/>
          <c:tx>
            <c:v>h=64</c:v>
          </c:tx>
          <c:spPr>
            <a:ln w="3175">
              <a:solidFill>
                <a:srgbClr val="808080"/>
              </a:solidFill>
              <a:prstDash val="solid"/>
            </a:ln>
          </c:spPr>
          <c:marker>
            <c:symbol val="none"/>
          </c:marker>
          <c:xVal>
            <c:numLit>
              <c:formatCode>General</c:formatCode>
              <c:ptCount val="2"/>
              <c:pt idx="0">
                <c:v>10.752967048755186</c:v>
              </c:pt>
              <c:pt idx="1">
                <c:v>11.052967048755187</c:v>
              </c:pt>
            </c:numLit>
          </c:xVal>
          <c:yVal>
            <c:numLit>
              <c:formatCode>General</c:formatCode>
              <c:ptCount val="2"/>
              <c:pt idx="0">
                <c:v>2.0502126117560634E-2</c:v>
              </c:pt>
              <c:pt idx="1">
                <c:v>2.0386614745482871E-2</c:v>
              </c:pt>
            </c:numLit>
          </c:yVal>
          <c:smooth val="0"/>
          <c:extLst>
            <c:ext xmlns:c16="http://schemas.microsoft.com/office/drawing/2014/chart" uri="{C3380CC4-5D6E-409C-BE32-E72D297353CC}">
              <c16:uniqueId val="{0000005B-1724-4912-B0E7-8A6416B1F822}"/>
            </c:ext>
          </c:extLst>
        </c:ser>
        <c:ser>
          <c:idx val="77"/>
          <c:order val="77"/>
          <c:tx>
            <c:v>h=65</c:v>
          </c:tx>
          <c:spPr>
            <a:ln w="3175">
              <a:solidFill>
                <a:srgbClr val="808080"/>
              </a:solidFill>
              <a:prstDash val="solid"/>
            </a:ln>
          </c:spPr>
          <c:marker>
            <c:symbol val="none"/>
          </c:marker>
          <c:dLbls>
            <c:dLbl>
              <c:idx val="0"/>
              <c:layout>
                <c:manualLayout>
                  <c:x val="-3.008748906386708E-2"/>
                  <c:y val="-9.347701729591532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65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C-1724-4912-B0E7-8A6416B1F8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11.061375830456521</c:v>
              </c:pt>
              <c:pt idx="1">
                <c:v>50</c:v>
              </c:pt>
            </c:numLit>
          </c:xVal>
          <c:yVal>
            <c:numLit>
              <c:formatCode>General</c:formatCode>
              <c:ptCount val="2"/>
              <c:pt idx="0">
                <c:v>2.0768024639383476E-2</c:v>
              </c:pt>
              <c:pt idx="1">
                <c:v>5.6669236700077098E-3</c:v>
              </c:pt>
            </c:numLit>
          </c:yVal>
          <c:smooth val="0"/>
          <c:extLst>
            <c:ext xmlns:c16="http://schemas.microsoft.com/office/drawing/2014/chart" uri="{C3380CC4-5D6E-409C-BE32-E72D297353CC}">
              <c16:uniqueId val="{0000005D-1724-4912-B0E7-8A6416B1F822}"/>
            </c:ext>
          </c:extLst>
        </c:ser>
        <c:ser>
          <c:idx val="78"/>
          <c:order val="78"/>
          <c:tx>
            <c:v>h=66</c:v>
          </c:tx>
          <c:spPr>
            <a:ln w="3175">
              <a:solidFill>
                <a:srgbClr val="808080"/>
              </a:solidFill>
              <a:prstDash val="solid"/>
            </a:ln>
          </c:spPr>
          <c:marker>
            <c:symbol val="none"/>
          </c:marker>
          <c:xVal>
            <c:numLit>
              <c:formatCode>General</c:formatCode>
              <c:ptCount val="2"/>
              <c:pt idx="0">
                <c:v>11.369784612157854</c:v>
              </c:pt>
              <c:pt idx="1">
                <c:v>11.669784612157855</c:v>
              </c:pt>
            </c:numLit>
          </c:xVal>
          <c:yVal>
            <c:numLit>
              <c:formatCode>General</c:formatCode>
              <c:ptCount val="2"/>
              <c:pt idx="0">
                <c:v>2.1033923161206322E-2</c:v>
              </c:pt>
              <c:pt idx="1">
                <c:v>2.0918416075913625E-2</c:v>
              </c:pt>
            </c:numLit>
          </c:yVal>
          <c:smooth val="0"/>
          <c:extLst>
            <c:ext xmlns:c16="http://schemas.microsoft.com/office/drawing/2014/chart" uri="{C3380CC4-5D6E-409C-BE32-E72D297353CC}">
              <c16:uniqueId val="{0000005E-1724-4912-B0E7-8A6416B1F822}"/>
            </c:ext>
          </c:extLst>
        </c:ser>
        <c:ser>
          <c:idx val="79"/>
          <c:order val="79"/>
          <c:tx>
            <c:v>h=67</c:v>
          </c:tx>
          <c:spPr>
            <a:ln w="3175">
              <a:solidFill>
                <a:srgbClr val="808080"/>
              </a:solidFill>
              <a:prstDash val="solid"/>
            </a:ln>
          </c:spPr>
          <c:marker>
            <c:symbol val="none"/>
          </c:marker>
          <c:xVal>
            <c:numLit>
              <c:formatCode>General</c:formatCode>
              <c:ptCount val="2"/>
              <c:pt idx="0">
                <c:v>11.678193393859187</c:v>
              </c:pt>
              <c:pt idx="1">
                <c:v>11.978193393859188</c:v>
              </c:pt>
            </c:numLit>
          </c:xVal>
          <c:yVal>
            <c:numLit>
              <c:formatCode>General</c:formatCode>
              <c:ptCount val="2"/>
              <c:pt idx="0">
                <c:v>2.1299821683029168E-2</c:v>
              </c:pt>
              <c:pt idx="1">
                <c:v>2.1184316660743805E-2</c:v>
              </c:pt>
            </c:numLit>
          </c:yVal>
          <c:smooth val="0"/>
          <c:extLst>
            <c:ext xmlns:c16="http://schemas.microsoft.com/office/drawing/2014/chart" uri="{C3380CC4-5D6E-409C-BE32-E72D297353CC}">
              <c16:uniqueId val="{0000005F-1724-4912-B0E7-8A6416B1F822}"/>
            </c:ext>
          </c:extLst>
        </c:ser>
        <c:ser>
          <c:idx val="80"/>
          <c:order val="80"/>
          <c:tx>
            <c:v>h=68</c:v>
          </c:tx>
          <c:spPr>
            <a:ln w="3175">
              <a:solidFill>
                <a:srgbClr val="808080"/>
              </a:solidFill>
              <a:prstDash val="solid"/>
            </a:ln>
          </c:spPr>
          <c:marker>
            <c:symbol val="none"/>
          </c:marker>
          <c:xVal>
            <c:numLit>
              <c:formatCode>General</c:formatCode>
              <c:ptCount val="2"/>
              <c:pt idx="0">
                <c:v>11.986602175560522</c:v>
              </c:pt>
              <c:pt idx="1">
                <c:v>12.286602175560521</c:v>
              </c:pt>
            </c:numLit>
          </c:xVal>
          <c:yVal>
            <c:numLit>
              <c:formatCode>General</c:formatCode>
              <c:ptCount val="2"/>
              <c:pt idx="0">
                <c:v>2.156572020485201E-2</c:v>
              </c:pt>
              <c:pt idx="1">
                <c:v>2.1450217194630538E-2</c:v>
              </c:pt>
            </c:numLit>
          </c:yVal>
          <c:smooth val="0"/>
          <c:extLst>
            <c:ext xmlns:c16="http://schemas.microsoft.com/office/drawing/2014/chart" uri="{C3380CC4-5D6E-409C-BE32-E72D297353CC}">
              <c16:uniqueId val="{00000060-1724-4912-B0E7-8A6416B1F822}"/>
            </c:ext>
          </c:extLst>
        </c:ser>
        <c:ser>
          <c:idx val="81"/>
          <c:order val="81"/>
          <c:tx>
            <c:v>h=69</c:v>
          </c:tx>
          <c:spPr>
            <a:ln w="3175">
              <a:solidFill>
                <a:srgbClr val="808080"/>
              </a:solidFill>
              <a:prstDash val="solid"/>
            </a:ln>
          </c:spPr>
          <c:marker>
            <c:symbol val="none"/>
          </c:marker>
          <c:xVal>
            <c:numLit>
              <c:formatCode>General</c:formatCode>
              <c:ptCount val="2"/>
              <c:pt idx="0">
                <c:v>12.295010957261855</c:v>
              </c:pt>
              <c:pt idx="1">
                <c:v>12.595010957261856</c:v>
              </c:pt>
            </c:numLit>
          </c:xVal>
          <c:yVal>
            <c:numLit>
              <c:formatCode>General</c:formatCode>
              <c:ptCount val="2"/>
              <c:pt idx="0">
                <c:v>2.1831618726674856E-2</c:v>
              </c:pt>
              <c:pt idx="1">
                <c:v>2.1716117679437794E-2</c:v>
              </c:pt>
            </c:numLit>
          </c:yVal>
          <c:smooth val="0"/>
          <c:extLst>
            <c:ext xmlns:c16="http://schemas.microsoft.com/office/drawing/2014/chart" uri="{C3380CC4-5D6E-409C-BE32-E72D297353CC}">
              <c16:uniqueId val="{00000061-1724-4912-B0E7-8A6416B1F822}"/>
            </c:ext>
          </c:extLst>
        </c:ser>
        <c:ser>
          <c:idx val="82"/>
          <c:order val="82"/>
          <c:tx>
            <c:v>h=70</c:v>
          </c:tx>
          <c:spPr>
            <a:ln w="3175">
              <a:solidFill>
                <a:srgbClr val="808080"/>
              </a:solidFill>
              <a:prstDash val="solid"/>
            </a:ln>
          </c:spPr>
          <c:marker>
            <c:symbol val="none"/>
          </c:marker>
          <c:dLbls>
            <c:dLbl>
              <c:idx val="0"/>
              <c:layout>
                <c:manualLayout>
                  <c:x val="-3.00874890638670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70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2-1724-4912-B0E7-8A6416B1F8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12.603419738963188</c:v>
              </c:pt>
              <c:pt idx="1">
                <c:v>50</c:v>
              </c:pt>
            </c:numLit>
          </c:xVal>
          <c:yVal>
            <c:numLit>
              <c:formatCode>General</c:formatCode>
              <c:ptCount val="2"/>
              <c:pt idx="0">
                <c:v>2.2097517248497699E-2</c:v>
              </c:pt>
              <c:pt idx="1">
                <c:v>7.5944487278334621E-3</c:v>
              </c:pt>
            </c:numLit>
          </c:yVal>
          <c:smooth val="0"/>
          <c:extLst>
            <c:ext xmlns:c16="http://schemas.microsoft.com/office/drawing/2014/chart" uri="{C3380CC4-5D6E-409C-BE32-E72D297353CC}">
              <c16:uniqueId val="{00000063-1724-4912-B0E7-8A6416B1F822}"/>
            </c:ext>
          </c:extLst>
        </c:ser>
        <c:ser>
          <c:idx val="83"/>
          <c:order val="83"/>
          <c:tx>
            <c:v>h=71</c:v>
          </c:tx>
          <c:spPr>
            <a:ln w="3175">
              <a:solidFill>
                <a:srgbClr val="808080"/>
              </a:solidFill>
              <a:prstDash val="solid"/>
            </a:ln>
          </c:spPr>
          <c:marker>
            <c:symbol val="none"/>
          </c:marker>
          <c:xVal>
            <c:numLit>
              <c:formatCode>General</c:formatCode>
              <c:ptCount val="2"/>
              <c:pt idx="0">
                <c:v>12.911828520664523</c:v>
              </c:pt>
              <c:pt idx="1">
                <c:v>13.211828520664522</c:v>
              </c:pt>
            </c:numLit>
          </c:xVal>
          <c:yVal>
            <c:numLit>
              <c:formatCode>General</c:formatCode>
              <c:ptCount val="2"/>
              <c:pt idx="0">
                <c:v>2.2363415770320545E-2</c:v>
              </c:pt>
              <c:pt idx="1">
                <c:v>2.2247918508825872E-2</c:v>
              </c:pt>
            </c:numLit>
          </c:yVal>
          <c:smooth val="0"/>
          <c:extLst>
            <c:ext xmlns:c16="http://schemas.microsoft.com/office/drawing/2014/chart" uri="{C3380CC4-5D6E-409C-BE32-E72D297353CC}">
              <c16:uniqueId val="{00000064-1724-4912-B0E7-8A6416B1F822}"/>
            </c:ext>
          </c:extLst>
        </c:ser>
        <c:ser>
          <c:idx val="84"/>
          <c:order val="84"/>
          <c:tx>
            <c:v>h=72</c:v>
          </c:tx>
          <c:spPr>
            <a:ln w="3175">
              <a:solidFill>
                <a:srgbClr val="808080"/>
              </a:solidFill>
              <a:prstDash val="solid"/>
            </a:ln>
          </c:spPr>
          <c:marker>
            <c:symbol val="none"/>
          </c:marker>
          <c:xVal>
            <c:numLit>
              <c:formatCode>General</c:formatCode>
              <c:ptCount val="2"/>
              <c:pt idx="0">
                <c:v>13.220237302365856</c:v>
              </c:pt>
              <c:pt idx="1">
                <c:v>13.520237302365857</c:v>
              </c:pt>
            </c:numLit>
          </c:xVal>
          <c:yVal>
            <c:numLit>
              <c:formatCode>General</c:formatCode>
              <c:ptCount val="2"/>
              <c:pt idx="0">
                <c:v>2.262931429214339E-2</c:v>
              </c:pt>
              <c:pt idx="1">
                <c:v>2.2513818856706454E-2</c:v>
              </c:pt>
            </c:numLit>
          </c:yVal>
          <c:smooth val="0"/>
          <c:extLst>
            <c:ext xmlns:c16="http://schemas.microsoft.com/office/drawing/2014/chart" uri="{C3380CC4-5D6E-409C-BE32-E72D297353CC}">
              <c16:uniqueId val="{00000065-1724-4912-B0E7-8A6416B1F822}"/>
            </c:ext>
          </c:extLst>
        </c:ser>
        <c:ser>
          <c:idx val="85"/>
          <c:order val="85"/>
          <c:tx>
            <c:v>h=73</c:v>
          </c:tx>
          <c:spPr>
            <a:ln w="3175">
              <a:solidFill>
                <a:srgbClr val="808080"/>
              </a:solidFill>
              <a:prstDash val="solid"/>
            </a:ln>
          </c:spPr>
          <c:marker>
            <c:symbol val="none"/>
          </c:marker>
          <c:xVal>
            <c:numLit>
              <c:formatCode>General</c:formatCode>
              <c:ptCount val="2"/>
              <c:pt idx="0">
                <c:v>13.528646084067189</c:v>
              </c:pt>
              <c:pt idx="1">
                <c:v>13.82864608406719</c:v>
              </c:pt>
            </c:numLit>
          </c:xVal>
          <c:yVal>
            <c:numLit>
              <c:formatCode>General</c:formatCode>
              <c:ptCount val="2"/>
              <c:pt idx="0">
                <c:v>2.2895212813966233E-2</c:v>
              </c:pt>
              <c:pt idx="1">
                <c:v>2.2779719162116654E-2</c:v>
              </c:pt>
            </c:numLit>
          </c:yVal>
          <c:smooth val="0"/>
          <c:extLst>
            <c:ext xmlns:c16="http://schemas.microsoft.com/office/drawing/2014/chart" uri="{C3380CC4-5D6E-409C-BE32-E72D297353CC}">
              <c16:uniqueId val="{00000066-1724-4912-B0E7-8A6416B1F822}"/>
            </c:ext>
          </c:extLst>
        </c:ser>
        <c:ser>
          <c:idx val="86"/>
          <c:order val="86"/>
          <c:tx>
            <c:v>h=74</c:v>
          </c:tx>
          <c:spPr>
            <a:ln w="3175">
              <a:solidFill>
                <a:srgbClr val="808080"/>
              </a:solidFill>
              <a:prstDash val="solid"/>
            </a:ln>
          </c:spPr>
          <c:marker>
            <c:symbol val="none"/>
          </c:marker>
          <c:xVal>
            <c:numLit>
              <c:formatCode>General</c:formatCode>
              <c:ptCount val="2"/>
              <c:pt idx="0">
                <c:v>13.837054865768524</c:v>
              </c:pt>
              <c:pt idx="1">
                <c:v>14.137054865768523</c:v>
              </c:pt>
            </c:numLit>
          </c:xVal>
          <c:yVal>
            <c:numLit>
              <c:formatCode>General</c:formatCode>
              <c:ptCount val="2"/>
              <c:pt idx="0">
                <c:v>2.3161111335789079E-2</c:v>
              </c:pt>
              <c:pt idx="1">
                <c:v>2.3045619426521106E-2</c:v>
              </c:pt>
            </c:numLit>
          </c:yVal>
          <c:smooth val="0"/>
          <c:extLst>
            <c:ext xmlns:c16="http://schemas.microsoft.com/office/drawing/2014/chart" uri="{C3380CC4-5D6E-409C-BE32-E72D297353CC}">
              <c16:uniqueId val="{00000067-1724-4912-B0E7-8A6416B1F822}"/>
            </c:ext>
          </c:extLst>
        </c:ser>
        <c:ser>
          <c:idx val="87"/>
          <c:order val="87"/>
          <c:tx>
            <c:v>h=75</c:v>
          </c:tx>
          <c:spPr>
            <a:ln w="3175">
              <a:solidFill>
                <a:srgbClr val="808080"/>
              </a:solidFill>
              <a:prstDash val="solid"/>
            </a:ln>
          </c:spPr>
          <c:marker>
            <c:symbol val="none"/>
          </c:marker>
          <c:dLbls>
            <c:dLbl>
              <c:idx val="0"/>
              <c:layout>
                <c:manualLayout>
                  <c:x val="-3.0087489063867018E-2"/>
                  <c:y val="-9.347701729591532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75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8-1724-4912-B0E7-8A6416B1F8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14.145463647469857</c:v>
              </c:pt>
              <c:pt idx="1">
                <c:v>50</c:v>
              </c:pt>
            </c:numLit>
          </c:xVal>
          <c:yVal>
            <c:numLit>
              <c:formatCode>General</c:formatCode>
              <c:ptCount val="2"/>
              <c:pt idx="0">
                <c:v>2.3427009857611921E-2</c:v>
              </c:pt>
              <c:pt idx="1">
                <c:v>9.5219737856592126E-3</c:v>
              </c:pt>
            </c:numLit>
          </c:yVal>
          <c:smooth val="0"/>
          <c:extLst>
            <c:ext xmlns:c16="http://schemas.microsoft.com/office/drawing/2014/chart" uri="{C3380CC4-5D6E-409C-BE32-E72D297353CC}">
              <c16:uniqueId val="{00000069-1724-4912-B0E7-8A6416B1F822}"/>
            </c:ext>
          </c:extLst>
        </c:ser>
        <c:ser>
          <c:idx val="88"/>
          <c:order val="88"/>
          <c:tx>
            <c:v>h=76</c:v>
          </c:tx>
          <c:spPr>
            <a:ln w="3175">
              <a:solidFill>
                <a:srgbClr val="808080"/>
              </a:solidFill>
              <a:prstDash val="solid"/>
            </a:ln>
          </c:spPr>
          <c:marker>
            <c:symbol val="none"/>
          </c:marker>
          <c:xVal>
            <c:numLit>
              <c:formatCode>General</c:formatCode>
              <c:ptCount val="2"/>
              <c:pt idx="0">
                <c:v>14.45387242917119</c:v>
              </c:pt>
              <c:pt idx="1">
                <c:v>14.75387242917119</c:v>
              </c:pt>
            </c:numLit>
          </c:xVal>
          <c:yVal>
            <c:numLit>
              <c:formatCode>General</c:formatCode>
              <c:ptCount val="2"/>
              <c:pt idx="0">
                <c:v>2.3692908379434767E-2</c:v>
              </c:pt>
              <c:pt idx="1">
                <c:v>2.3577419837842114E-2</c:v>
              </c:pt>
            </c:numLit>
          </c:yVal>
          <c:smooth val="0"/>
          <c:extLst>
            <c:ext xmlns:c16="http://schemas.microsoft.com/office/drawing/2014/chart" uri="{C3380CC4-5D6E-409C-BE32-E72D297353CC}">
              <c16:uniqueId val="{0000006A-1724-4912-B0E7-8A6416B1F822}"/>
            </c:ext>
          </c:extLst>
        </c:ser>
        <c:ser>
          <c:idx val="89"/>
          <c:order val="89"/>
          <c:tx>
            <c:v>h=77</c:v>
          </c:tx>
          <c:spPr>
            <a:ln w="3175">
              <a:solidFill>
                <a:srgbClr val="808080"/>
              </a:solidFill>
              <a:prstDash val="solid"/>
            </a:ln>
          </c:spPr>
          <c:marker>
            <c:symbol val="none"/>
          </c:marker>
          <c:xVal>
            <c:numLit>
              <c:formatCode>General</c:formatCode>
              <c:ptCount val="2"/>
              <c:pt idx="0">
                <c:v>14.762281210872525</c:v>
              </c:pt>
              <c:pt idx="1">
                <c:v>15.062281210872523</c:v>
              </c:pt>
            </c:numLit>
          </c:xVal>
          <c:yVal>
            <c:numLit>
              <c:formatCode>General</c:formatCode>
              <c:ptCount val="2"/>
              <c:pt idx="0">
                <c:v>2.3958806901257609E-2</c:v>
              </c:pt>
              <c:pt idx="1">
                <c:v>2.3843319987369743E-2</c:v>
              </c:pt>
            </c:numLit>
          </c:yVal>
          <c:smooth val="0"/>
          <c:extLst>
            <c:ext xmlns:c16="http://schemas.microsoft.com/office/drawing/2014/chart" uri="{C3380CC4-5D6E-409C-BE32-E72D297353CC}">
              <c16:uniqueId val="{0000006B-1724-4912-B0E7-8A6416B1F822}"/>
            </c:ext>
          </c:extLst>
        </c:ser>
        <c:ser>
          <c:idx val="90"/>
          <c:order val="90"/>
          <c:tx>
            <c:v>h=78</c:v>
          </c:tx>
          <c:spPr>
            <a:ln w="3175">
              <a:solidFill>
                <a:srgbClr val="808080"/>
              </a:solidFill>
              <a:prstDash val="solid"/>
            </a:ln>
          </c:spPr>
          <c:marker>
            <c:symbol val="none"/>
          </c:marker>
          <c:xVal>
            <c:numLit>
              <c:formatCode>General</c:formatCode>
              <c:ptCount val="2"/>
              <c:pt idx="0">
                <c:v>15.070689992573858</c:v>
              </c:pt>
              <c:pt idx="1">
                <c:v>15.370689992573858</c:v>
              </c:pt>
            </c:numLit>
          </c:xVal>
          <c:yVal>
            <c:numLit>
              <c:formatCode>General</c:formatCode>
              <c:ptCount val="2"/>
              <c:pt idx="0">
                <c:v>2.4224705423080455E-2</c:v>
              </c:pt>
              <c:pt idx="1">
                <c:v>2.4109220101120522E-2</c:v>
              </c:pt>
            </c:numLit>
          </c:yVal>
          <c:smooth val="0"/>
          <c:extLst>
            <c:ext xmlns:c16="http://schemas.microsoft.com/office/drawing/2014/chart" uri="{C3380CC4-5D6E-409C-BE32-E72D297353CC}">
              <c16:uniqueId val="{0000006C-1724-4912-B0E7-8A6416B1F822}"/>
            </c:ext>
          </c:extLst>
        </c:ser>
        <c:ser>
          <c:idx val="91"/>
          <c:order val="91"/>
          <c:tx>
            <c:v>h=79</c:v>
          </c:tx>
          <c:spPr>
            <a:ln w="3175">
              <a:solidFill>
                <a:srgbClr val="808080"/>
              </a:solidFill>
              <a:prstDash val="solid"/>
            </a:ln>
          </c:spPr>
          <c:marker>
            <c:symbol val="none"/>
          </c:marker>
          <c:xVal>
            <c:numLit>
              <c:formatCode>General</c:formatCode>
              <c:ptCount val="2"/>
              <c:pt idx="0">
                <c:v>15.379098774275191</c:v>
              </c:pt>
              <c:pt idx="1">
                <c:v>15.679098774275191</c:v>
              </c:pt>
            </c:numLit>
          </c:xVal>
          <c:yVal>
            <c:numLit>
              <c:formatCode>General</c:formatCode>
              <c:ptCount val="2"/>
              <c:pt idx="0">
                <c:v>2.4490603944903301E-2</c:v>
              </c:pt>
              <c:pt idx="1">
                <c:v>2.4375120180261185E-2</c:v>
              </c:pt>
            </c:numLit>
          </c:yVal>
          <c:smooth val="0"/>
          <c:extLst>
            <c:ext xmlns:c16="http://schemas.microsoft.com/office/drawing/2014/chart" uri="{C3380CC4-5D6E-409C-BE32-E72D297353CC}">
              <c16:uniqueId val="{0000006D-1724-4912-B0E7-8A6416B1F822}"/>
            </c:ext>
          </c:extLst>
        </c:ser>
        <c:ser>
          <c:idx val="92"/>
          <c:order val="92"/>
          <c:tx>
            <c:v>h=80</c:v>
          </c:tx>
          <c:spPr>
            <a:ln w="3175">
              <a:solidFill>
                <a:srgbClr val="808080"/>
              </a:solidFill>
              <a:prstDash val="solid"/>
            </a:ln>
          </c:spPr>
          <c:marker>
            <c:symbol val="none"/>
          </c:marker>
          <c:dLbls>
            <c:dLbl>
              <c:idx val="0"/>
              <c:layout>
                <c:manualLayout>
                  <c:x val="-3.00874890638670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80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E-1724-4912-B0E7-8A6416B1F8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15.687507555976525</c:v>
              </c:pt>
              <c:pt idx="1">
                <c:v>50</c:v>
              </c:pt>
            </c:numLit>
          </c:xVal>
          <c:yVal>
            <c:numLit>
              <c:formatCode>General</c:formatCode>
              <c:ptCount val="2"/>
              <c:pt idx="0">
                <c:v>2.4756502466726144E-2</c:v>
              </c:pt>
              <c:pt idx="1">
                <c:v>1.1449498843484965E-2</c:v>
              </c:pt>
            </c:numLit>
          </c:yVal>
          <c:smooth val="0"/>
          <c:extLst>
            <c:ext xmlns:c16="http://schemas.microsoft.com/office/drawing/2014/chart" uri="{C3380CC4-5D6E-409C-BE32-E72D297353CC}">
              <c16:uniqueId val="{0000006F-1724-4912-B0E7-8A6416B1F822}"/>
            </c:ext>
          </c:extLst>
        </c:ser>
        <c:ser>
          <c:idx val="93"/>
          <c:order val="93"/>
          <c:tx>
            <c:v>h=81</c:v>
          </c:tx>
          <c:spPr>
            <a:ln w="3175">
              <a:solidFill>
                <a:srgbClr val="808080"/>
              </a:solidFill>
              <a:prstDash val="solid"/>
            </a:ln>
          </c:spPr>
          <c:marker>
            <c:symbol val="none"/>
          </c:marker>
          <c:xVal>
            <c:numLit>
              <c:formatCode>General</c:formatCode>
              <c:ptCount val="2"/>
              <c:pt idx="0">
                <c:v>15.995916337677858</c:v>
              </c:pt>
              <c:pt idx="1">
                <c:v>16.295916337677859</c:v>
              </c:pt>
            </c:numLit>
          </c:xVal>
          <c:yVal>
            <c:numLit>
              <c:formatCode>General</c:formatCode>
              <c:ptCount val="2"/>
              <c:pt idx="0">
                <c:v>2.5022400988548989E-2</c:v>
              </c:pt>
              <c:pt idx="1">
                <c:v>2.4906920239130846E-2</c:v>
              </c:pt>
            </c:numLit>
          </c:yVal>
          <c:smooth val="0"/>
          <c:extLst>
            <c:ext xmlns:c16="http://schemas.microsoft.com/office/drawing/2014/chart" uri="{C3380CC4-5D6E-409C-BE32-E72D297353CC}">
              <c16:uniqueId val="{00000070-1724-4912-B0E7-8A6416B1F822}"/>
            </c:ext>
          </c:extLst>
        </c:ser>
        <c:ser>
          <c:idx val="94"/>
          <c:order val="94"/>
          <c:tx>
            <c:v>h=82</c:v>
          </c:tx>
          <c:spPr>
            <a:ln w="3175">
              <a:solidFill>
                <a:srgbClr val="808080"/>
              </a:solidFill>
              <a:prstDash val="solid"/>
            </a:ln>
          </c:spPr>
          <c:marker>
            <c:symbol val="none"/>
          </c:marker>
          <c:xVal>
            <c:numLit>
              <c:formatCode>General</c:formatCode>
              <c:ptCount val="2"/>
              <c:pt idx="0">
                <c:v>16.304325119379193</c:v>
              </c:pt>
              <c:pt idx="1">
                <c:v>16.60432511937919</c:v>
              </c:pt>
            </c:numLit>
          </c:xVal>
          <c:yVal>
            <c:numLit>
              <c:formatCode>General</c:formatCode>
              <c:ptCount val="2"/>
              <c:pt idx="0">
                <c:v>2.5288299510371832E-2</c:v>
              </c:pt>
              <c:pt idx="1">
                <c:v>2.5172820220952897E-2</c:v>
              </c:pt>
            </c:numLit>
          </c:yVal>
          <c:smooth val="0"/>
          <c:extLst>
            <c:ext xmlns:c16="http://schemas.microsoft.com/office/drawing/2014/chart" uri="{C3380CC4-5D6E-409C-BE32-E72D297353CC}">
              <c16:uniqueId val="{00000071-1724-4912-B0E7-8A6416B1F822}"/>
            </c:ext>
          </c:extLst>
        </c:ser>
        <c:ser>
          <c:idx val="95"/>
          <c:order val="95"/>
          <c:tx>
            <c:v>h=83</c:v>
          </c:tx>
          <c:spPr>
            <a:ln w="3175">
              <a:solidFill>
                <a:srgbClr val="808080"/>
              </a:solidFill>
              <a:prstDash val="solid"/>
            </a:ln>
          </c:spPr>
          <c:marker>
            <c:symbol val="none"/>
          </c:marker>
          <c:xVal>
            <c:numLit>
              <c:formatCode>General</c:formatCode>
              <c:ptCount val="2"/>
              <c:pt idx="0">
                <c:v>16.612733901080524</c:v>
              </c:pt>
              <c:pt idx="1">
                <c:v>16.912733901080525</c:v>
              </c:pt>
            </c:numLit>
          </c:xVal>
          <c:yVal>
            <c:numLit>
              <c:formatCode>General</c:formatCode>
              <c:ptCount val="2"/>
              <c:pt idx="0">
                <c:v>2.5554198032194678E-2</c:v>
              </c:pt>
              <c:pt idx="1">
                <c:v>2.5438720172355784E-2</c:v>
              </c:pt>
            </c:numLit>
          </c:yVal>
          <c:smooth val="0"/>
          <c:extLst>
            <c:ext xmlns:c16="http://schemas.microsoft.com/office/drawing/2014/chart" uri="{C3380CC4-5D6E-409C-BE32-E72D297353CC}">
              <c16:uniqueId val="{00000072-1724-4912-B0E7-8A6416B1F822}"/>
            </c:ext>
          </c:extLst>
        </c:ser>
        <c:ser>
          <c:idx val="96"/>
          <c:order val="96"/>
          <c:tx>
            <c:v>h=84</c:v>
          </c:tx>
          <c:spPr>
            <a:ln w="3175">
              <a:solidFill>
                <a:srgbClr val="808080"/>
              </a:solidFill>
              <a:prstDash val="solid"/>
            </a:ln>
          </c:spPr>
          <c:marker>
            <c:symbol val="none"/>
          </c:marker>
          <c:xVal>
            <c:numLit>
              <c:formatCode>General</c:formatCode>
              <c:ptCount val="2"/>
              <c:pt idx="0">
                <c:v>16.921142682781859</c:v>
              </c:pt>
              <c:pt idx="1">
                <c:v>17.22114268278186</c:v>
              </c:pt>
            </c:numLit>
          </c:xVal>
          <c:yVal>
            <c:numLit>
              <c:formatCode>General</c:formatCode>
              <c:ptCount val="2"/>
              <c:pt idx="0">
                <c:v>2.5820096554017524E-2</c:v>
              </c:pt>
              <c:pt idx="1">
                <c:v>2.570462009428038E-2</c:v>
              </c:pt>
            </c:numLit>
          </c:yVal>
          <c:smooth val="0"/>
          <c:extLst>
            <c:ext xmlns:c16="http://schemas.microsoft.com/office/drawing/2014/chart" uri="{C3380CC4-5D6E-409C-BE32-E72D297353CC}">
              <c16:uniqueId val="{00000073-1724-4912-B0E7-8A6416B1F822}"/>
            </c:ext>
          </c:extLst>
        </c:ser>
        <c:ser>
          <c:idx val="97"/>
          <c:order val="97"/>
          <c:tx>
            <c:v>h=85</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85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4-1724-4912-B0E7-8A6416B1F8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17.229551464483194</c:v>
              </c:pt>
              <c:pt idx="1">
                <c:v>50</c:v>
              </c:pt>
            </c:numLit>
          </c:xVal>
          <c:yVal>
            <c:numLit>
              <c:formatCode>General</c:formatCode>
              <c:ptCount val="2"/>
              <c:pt idx="0">
                <c:v>2.6085995075840366E-2</c:v>
              </c:pt>
              <c:pt idx="1">
                <c:v>1.3377023901310717E-2</c:v>
              </c:pt>
            </c:numLit>
          </c:yVal>
          <c:smooth val="0"/>
          <c:extLst>
            <c:ext xmlns:c16="http://schemas.microsoft.com/office/drawing/2014/chart" uri="{C3380CC4-5D6E-409C-BE32-E72D297353CC}">
              <c16:uniqueId val="{00000075-1724-4912-B0E7-8A6416B1F822}"/>
            </c:ext>
          </c:extLst>
        </c:ser>
        <c:ser>
          <c:idx val="98"/>
          <c:order val="98"/>
          <c:tx>
            <c:v>h=86</c:v>
          </c:tx>
          <c:spPr>
            <a:ln w="3175">
              <a:solidFill>
                <a:srgbClr val="808080"/>
              </a:solidFill>
              <a:prstDash val="solid"/>
            </a:ln>
          </c:spPr>
          <c:marker>
            <c:symbol val="none"/>
          </c:marker>
          <c:xVal>
            <c:numLit>
              <c:formatCode>General</c:formatCode>
              <c:ptCount val="2"/>
              <c:pt idx="0">
                <c:v>17.537960246184525</c:v>
              </c:pt>
              <c:pt idx="1">
                <c:v>17.837960246184526</c:v>
              </c:pt>
            </c:numLit>
          </c:xVal>
          <c:yVal>
            <c:numLit>
              <c:formatCode>General</c:formatCode>
              <c:ptCount val="2"/>
              <c:pt idx="0">
                <c:v>2.6351893597663212E-2</c:v>
              </c:pt>
              <c:pt idx="1">
                <c:v>2.6236419853268116E-2</c:v>
              </c:pt>
            </c:numLit>
          </c:yVal>
          <c:smooth val="0"/>
          <c:extLst>
            <c:ext xmlns:c16="http://schemas.microsoft.com/office/drawing/2014/chart" uri="{C3380CC4-5D6E-409C-BE32-E72D297353CC}">
              <c16:uniqueId val="{00000076-1724-4912-B0E7-8A6416B1F822}"/>
            </c:ext>
          </c:extLst>
        </c:ser>
        <c:ser>
          <c:idx val="99"/>
          <c:order val="99"/>
          <c:tx>
            <c:v>h=87</c:v>
          </c:tx>
          <c:spPr>
            <a:ln w="3175">
              <a:solidFill>
                <a:srgbClr val="808080"/>
              </a:solidFill>
              <a:prstDash val="solid"/>
            </a:ln>
          </c:spPr>
          <c:marker>
            <c:symbol val="none"/>
          </c:marker>
          <c:xVal>
            <c:numLit>
              <c:formatCode>General</c:formatCode>
              <c:ptCount val="2"/>
              <c:pt idx="0">
                <c:v>17.84636902788586</c:v>
              </c:pt>
              <c:pt idx="1">
                <c:v>18.146369027885861</c:v>
              </c:pt>
            </c:numLit>
          </c:xVal>
          <c:yVal>
            <c:numLit>
              <c:formatCode>General</c:formatCode>
              <c:ptCount val="2"/>
              <c:pt idx="0">
                <c:v>2.6617792119486054E-2</c:v>
              </c:pt>
              <c:pt idx="1">
                <c:v>2.6502319692028618E-2</c:v>
              </c:pt>
            </c:numLit>
          </c:yVal>
          <c:smooth val="0"/>
          <c:extLst>
            <c:ext xmlns:c16="http://schemas.microsoft.com/office/drawing/2014/chart" uri="{C3380CC4-5D6E-409C-BE32-E72D297353CC}">
              <c16:uniqueId val="{00000077-1724-4912-B0E7-8A6416B1F822}"/>
            </c:ext>
          </c:extLst>
        </c:ser>
        <c:ser>
          <c:idx val="100"/>
          <c:order val="100"/>
          <c:tx>
            <c:v>h=88</c:v>
          </c:tx>
          <c:spPr>
            <a:ln w="3175">
              <a:solidFill>
                <a:srgbClr val="808080"/>
              </a:solidFill>
              <a:prstDash val="solid"/>
            </a:ln>
          </c:spPr>
          <c:marker>
            <c:symbol val="none"/>
          </c:marker>
          <c:xVal>
            <c:numLit>
              <c:formatCode>General</c:formatCode>
              <c:ptCount val="2"/>
              <c:pt idx="0">
                <c:v>18.154777809587195</c:v>
              </c:pt>
              <c:pt idx="1">
                <c:v>18.454777809587192</c:v>
              </c:pt>
            </c:numLit>
          </c:xVal>
          <c:yVal>
            <c:numLit>
              <c:formatCode>General</c:formatCode>
              <c:ptCount val="2"/>
              <c:pt idx="0">
                <c:v>2.68836906413089E-2</c:v>
              </c:pt>
              <c:pt idx="1">
                <c:v>2.6768219504709097E-2</c:v>
              </c:pt>
            </c:numLit>
          </c:yVal>
          <c:smooth val="0"/>
          <c:extLst>
            <c:ext xmlns:c16="http://schemas.microsoft.com/office/drawing/2014/chart" uri="{C3380CC4-5D6E-409C-BE32-E72D297353CC}">
              <c16:uniqueId val="{00000078-1724-4912-B0E7-8A6416B1F822}"/>
            </c:ext>
          </c:extLst>
        </c:ser>
        <c:ser>
          <c:idx val="101"/>
          <c:order val="101"/>
          <c:tx>
            <c:v>h=89</c:v>
          </c:tx>
          <c:spPr>
            <a:ln w="3175">
              <a:solidFill>
                <a:srgbClr val="808080"/>
              </a:solidFill>
              <a:prstDash val="solid"/>
            </a:ln>
          </c:spPr>
          <c:marker>
            <c:symbol val="none"/>
          </c:marker>
          <c:xVal>
            <c:numLit>
              <c:formatCode>General</c:formatCode>
              <c:ptCount val="2"/>
              <c:pt idx="0">
                <c:v>18.463186591288526</c:v>
              </c:pt>
              <c:pt idx="1">
                <c:v>18.763186591288527</c:v>
              </c:pt>
            </c:numLit>
          </c:xVal>
          <c:yVal>
            <c:numLit>
              <c:formatCode>General</c:formatCode>
              <c:ptCount val="2"/>
              <c:pt idx="0">
                <c:v>2.7149589163131743E-2</c:v>
              </c:pt>
              <c:pt idx="1">
                <c:v>2.7034119292076671E-2</c:v>
              </c:pt>
            </c:numLit>
          </c:yVal>
          <c:smooth val="0"/>
          <c:extLst>
            <c:ext xmlns:c16="http://schemas.microsoft.com/office/drawing/2014/chart" uri="{C3380CC4-5D6E-409C-BE32-E72D297353CC}">
              <c16:uniqueId val="{00000079-1724-4912-B0E7-8A6416B1F822}"/>
            </c:ext>
          </c:extLst>
        </c:ser>
        <c:ser>
          <c:idx val="102"/>
          <c:order val="102"/>
          <c:tx>
            <c:v>h=90</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90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A-1724-4912-B0E7-8A6416B1F8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18.771595372989861</c:v>
              </c:pt>
              <c:pt idx="1">
                <c:v>50</c:v>
              </c:pt>
            </c:numLit>
          </c:xVal>
          <c:yVal>
            <c:numLit>
              <c:formatCode>General</c:formatCode>
              <c:ptCount val="2"/>
              <c:pt idx="0">
                <c:v>2.7415487684954588E-2</c:v>
              </c:pt>
              <c:pt idx="1">
                <c:v>1.5304548959136469E-2</c:v>
              </c:pt>
            </c:numLit>
          </c:yVal>
          <c:smooth val="0"/>
          <c:extLst>
            <c:ext xmlns:c16="http://schemas.microsoft.com/office/drawing/2014/chart" uri="{C3380CC4-5D6E-409C-BE32-E72D297353CC}">
              <c16:uniqueId val="{0000007B-1724-4912-B0E7-8A6416B1F822}"/>
            </c:ext>
          </c:extLst>
        </c:ser>
        <c:ser>
          <c:idx val="103"/>
          <c:order val="103"/>
          <c:tx>
            <c:v>h=91</c:v>
          </c:tx>
          <c:spPr>
            <a:ln w="3175">
              <a:solidFill>
                <a:srgbClr val="808080"/>
              </a:solidFill>
              <a:prstDash val="solid"/>
            </a:ln>
          </c:spPr>
          <c:marker>
            <c:symbol val="none"/>
          </c:marker>
          <c:xVal>
            <c:numLit>
              <c:formatCode>General</c:formatCode>
              <c:ptCount val="2"/>
              <c:pt idx="0">
                <c:v>19.080004154691196</c:v>
              </c:pt>
              <c:pt idx="1">
                <c:v>19.380004154691193</c:v>
              </c:pt>
            </c:numLit>
          </c:xVal>
          <c:yVal>
            <c:numLit>
              <c:formatCode>General</c:formatCode>
              <c:ptCount val="2"/>
              <c:pt idx="0">
                <c:v>2.7681386206777434E-2</c:v>
              </c:pt>
              <c:pt idx="1">
                <c:v>2.7565918793794053E-2</c:v>
              </c:pt>
            </c:numLit>
          </c:yVal>
          <c:smooth val="0"/>
          <c:extLst>
            <c:ext xmlns:c16="http://schemas.microsoft.com/office/drawing/2014/chart" uri="{C3380CC4-5D6E-409C-BE32-E72D297353CC}">
              <c16:uniqueId val="{0000007C-1724-4912-B0E7-8A6416B1F822}"/>
            </c:ext>
          </c:extLst>
        </c:ser>
        <c:ser>
          <c:idx val="104"/>
          <c:order val="104"/>
          <c:tx>
            <c:v>h=92</c:v>
          </c:tx>
          <c:spPr>
            <a:ln w="3175">
              <a:solidFill>
                <a:srgbClr val="808080"/>
              </a:solidFill>
              <a:prstDash val="solid"/>
            </a:ln>
          </c:spPr>
          <c:marker>
            <c:symbol val="none"/>
          </c:marker>
          <c:xVal>
            <c:numLit>
              <c:formatCode>General</c:formatCode>
              <c:ptCount val="2"/>
              <c:pt idx="0">
                <c:v>19.388412936392527</c:v>
              </c:pt>
              <c:pt idx="1">
                <c:v>19.688412936392528</c:v>
              </c:pt>
            </c:numLit>
          </c:xVal>
          <c:yVal>
            <c:numLit>
              <c:formatCode>General</c:formatCode>
              <c:ptCount val="2"/>
              <c:pt idx="0">
                <c:v>2.7947284728600277E-2</c:v>
              </c:pt>
              <c:pt idx="1">
                <c:v>2.7831818509534777E-2</c:v>
              </c:pt>
            </c:numLit>
          </c:yVal>
          <c:smooth val="0"/>
          <c:extLst>
            <c:ext xmlns:c16="http://schemas.microsoft.com/office/drawing/2014/chart" uri="{C3380CC4-5D6E-409C-BE32-E72D297353CC}">
              <c16:uniqueId val="{0000007D-1724-4912-B0E7-8A6416B1F822}"/>
            </c:ext>
          </c:extLst>
        </c:ser>
        <c:ser>
          <c:idx val="105"/>
          <c:order val="105"/>
          <c:tx>
            <c:v>h=93</c:v>
          </c:tx>
          <c:spPr>
            <a:ln w="3175">
              <a:solidFill>
                <a:srgbClr val="808080"/>
              </a:solidFill>
              <a:prstDash val="solid"/>
            </a:ln>
          </c:spPr>
          <c:marker>
            <c:symbol val="none"/>
          </c:marker>
          <c:xVal>
            <c:numLit>
              <c:formatCode>General</c:formatCode>
              <c:ptCount val="2"/>
              <c:pt idx="0">
                <c:v>19.696821718093862</c:v>
              </c:pt>
              <c:pt idx="1">
                <c:v>19.996821718093862</c:v>
              </c:pt>
            </c:numLit>
          </c:xVal>
          <c:yVal>
            <c:numLit>
              <c:formatCode>General</c:formatCode>
              <c:ptCount val="2"/>
              <c:pt idx="0">
                <c:v>2.8213183250423123E-2</c:v>
              </c:pt>
              <c:pt idx="1">
                <c:v>2.8097718202747063E-2</c:v>
              </c:pt>
            </c:numLit>
          </c:yVal>
          <c:smooth val="0"/>
          <c:extLst>
            <c:ext xmlns:c16="http://schemas.microsoft.com/office/drawing/2014/chart" uri="{C3380CC4-5D6E-409C-BE32-E72D297353CC}">
              <c16:uniqueId val="{0000007E-1724-4912-B0E7-8A6416B1F822}"/>
            </c:ext>
          </c:extLst>
        </c:ser>
        <c:ser>
          <c:idx val="106"/>
          <c:order val="106"/>
          <c:tx>
            <c:v>h=94</c:v>
          </c:tx>
          <c:spPr>
            <a:ln w="3175">
              <a:solidFill>
                <a:srgbClr val="808080"/>
              </a:solidFill>
              <a:prstDash val="solid"/>
            </a:ln>
          </c:spPr>
          <c:marker>
            <c:symbol val="none"/>
          </c:marker>
          <c:xVal>
            <c:numLit>
              <c:formatCode>General</c:formatCode>
              <c:ptCount val="2"/>
              <c:pt idx="0">
                <c:v>20.005230499795196</c:v>
              </c:pt>
              <c:pt idx="1">
                <c:v>20.305230499795194</c:v>
              </c:pt>
            </c:numLit>
          </c:xVal>
          <c:yVal>
            <c:numLit>
              <c:formatCode>General</c:formatCode>
              <c:ptCount val="2"/>
              <c:pt idx="0">
                <c:v>2.8479081772245965E-2</c:v>
              </c:pt>
              <c:pt idx="1">
                <c:v>2.8363617874062594E-2</c:v>
              </c:pt>
            </c:numLit>
          </c:yVal>
          <c:smooth val="0"/>
          <c:extLst>
            <c:ext xmlns:c16="http://schemas.microsoft.com/office/drawing/2014/chart" uri="{C3380CC4-5D6E-409C-BE32-E72D297353CC}">
              <c16:uniqueId val="{0000007F-1724-4912-B0E7-8A6416B1F822}"/>
            </c:ext>
          </c:extLst>
        </c:ser>
        <c:ser>
          <c:idx val="107"/>
          <c:order val="107"/>
          <c:tx>
            <c:v>h=95</c:v>
          </c:tx>
          <c:spPr>
            <a:ln w="3175">
              <a:solidFill>
                <a:srgbClr val="808080"/>
              </a:solidFill>
              <a:prstDash val="solid"/>
            </a:ln>
          </c:spPr>
          <c:marker>
            <c:symbol val="none"/>
          </c:marker>
          <c:dLbls>
            <c:dLbl>
              <c:idx val="0"/>
              <c:layout>
                <c:manualLayout>
                  <c:x val="-3.0087489063867018E-2"/>
                  <c:y val="-9.347701729591512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95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0-1724-4912-B0E7-8A6416B1F8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20.313639281496528</c:v>
              </c:pt>
              <c:pt idx="1">
                <c:v>50</c:v>
              </c:pt>
            </c:numLit>
          </c:xVal>
          <c:yVal>
            <c:numLit>
              <c:formatCode>General</c:formatCode>
              <c:ptCount val="2"/>
              <c:pt idx="0">
                <c:v>2.8744980294068811E-2</c:v>
              </c:pt>
              <c:pt idx="1">
                <c:v>1.723207401696222E-2</c:v>
              </c:pt>
            </c:numLit>
          </c:yVal>
          <c:smooth val="0"/>
          <c:extLst>
            <c:ext xmlns:c16="http://schemas.microsoft.com/office/drawing/2014/chart" uri="{C3380CC4-5D6E-409C-BE32-E72D297353CC}">
              <c16:uniqueId val="{00000081-1724-4912-B0E7-8A6416B1F822}"/>
            </c:ext>
          </c:extLst>
        </c:ser>
        <c:ser>
          <c:idx val="108"/>
          <c:order val="108"/>
          <c:tx>
            <c:v>h=96</c:v>
          </c:tx>
          <c:spPr>
            <a:ln w="3175">
              <a:solidFill>
                <a:srgbClr val="808080"/>
              </a:solidFill>
              <a:prstDash val="solid"/>
            </a:ln>
          </c:spPr>
          <c:marker>
            <c:symbol val="none"/>
          </c:marker>
          <c:xVal>
            <c:numLit>
              <c:formatCode>General</c:formatCode>
              <c:ptCount val="2"/>
              <c:pt idx="0">
                <c:v>20.622048063197862</c:v>
              </c:pt>
              <c:pt idx="1">
                <c:v>20.922048063197863</c:v>
              </c:pt>
            </c:numLit>
          </c:xVal>
          <c:yVal>
            <c:numLit>
              <c:formatCode>General</c:formatCode>
              <c:ptCount val="2"/>
              <c:pt idx="0">
                <c:v>2.9010878815891653E-2</c:v>
              </c:pt>
              <c:pt idx="1">
                <c:v>2.8895417153414215E-2</c:v>
              </c:pt>
            </c:numLit>
          </c:yVal>
          <c:smooth val="0"/>
          <c:extLst>
            <c:ext xmlns:c16="http://schemas.microsoft.com/office/drawing/2014/chart" uri="{C3380CC4-5D6E-409C-BE32-E72D297353CC}">
              <c16:uniqueId val="{00000082-1724-4912-B0E7-8A6416B1F822}"/>
            </c:ext>
          </c:extLst>
        </c:ser>
        <c:ser>
          <c:idx val="109"/>
          <c:order val="109"/>
          <c:tx>
            <c:v>h=97</c:v>
          </c:tx>
          <c:spPr>
            <a:ln w="3175">
              <a:solidFill>
                <a:srgbClr val="808080"/>
              </a:solidFill>
              <a:prstDash val="solid"/>
            </a:ln>
          </c:spPr>
          <c:marker>
            <c:symbol val="none"/>
          </c:marker>
          <c:xVal>
            <c:numLit>
              <c:formatCode>General</c:formatCode>
              <c:ptCount val="2"/>
              <c:pt idx="0">
                <c:v>20.930456844899197</c:v>
              </c:pt>
              <c:pt idx="1">
                <c:v>21.230456844899194</c:v>
              </c:pt>
            </c:numLit>
          </c:xVal>
          <c:yVal>
            <c:numLit>
              <c:formatCode>General</c:formatCode>
              <c:ptCount val="2"/>
              <c:pt idx="0">
                <c:v>2.9276777337714499E-2</c:v>
              </c:pt>
              <c:pt idx="1">
                <c:v>2.916131676260093E-2</c:v>
              </c:pt>
            </c:numLit>
          </c:yVal>
          <c:smooth val="0"/>
          <c:extLst>
            <c:ext xmlns:c16="http://schemas.microsoft.com/office/drawing/2014/chart" uri="{C3380CC4-5D6E-409C-BE32-E72D297353CC}">
              <c16:uniqueId val="{00000083-1724-4912-B0E7-8A6416B1F822}"/>
            </c:ext>
          </c:extLst>
        </c:ser>
        <c:ser>
          <c:idx val="110"/>
          <c:order val="110"/>
          <c:tx>
            <c:v>h=98</c:v>
          </c:tx>
          <c:spPr>
            <a:ln w="3175">
              <a:solidFill>
                <a:srgbClr val="808080"/>
              </a:solidFill>
              <a:prstDash val="solid"/>
            </a:ln>
          </c:spPr>
          <c:marker>
            <c:symbol val="none"/>
          </c:marker>
          <c:xVal>
            <c:numLit>
              <c:formatCode>General</c:formatCode>
              <c:ptCount val="2"/>
              <c:pt idx="0">
                <c:v>21.238865626600528</c:v>
              </c:pt>
              <c:pt idx="1">
                <c:v>21.538865626600529</c:v>
              </c:pt>
            </c:numLit>
          </c:xVal>
          <c:yVal>
            <c:numLit>
              <c:formatCode>General</c:formatCode>
              <c:ptCount val="2"/>
              <c:pt idx="0">
                <c:v>2.9542675859537345E-2</c:v>
              </c:pt>
              <c:pt idx="1">
                <c:v>2.9427216352194103E-2</c:v>
              </c:pt>
            </c:numLit>
          </c:yVal>
          <c:smooth val="0"/>
          <c:extLst>
            <c:ext xmlns:c16="http://schemas.microsoft.com/office/drawing/2014/chart" uri="{C3380CC4-5D6E-409C-BE32-E72D297353CC}">
              <c16:uniqueId val="{00000084-1724-4912-B0E7-8A6416B1F822}"/>
            </c:ext>
          </c:extLst>
        </c:ser>
        <c:ser>
          <c:idx val="111"/>
          <c:order val="111"/>
          <c:tx>
            <c:v>h=99</c:v>
          </c:tx>
          <c:spPr>
            <a:ln w="3175">
              <a:solidFill>
                <a:srgbClr val="808080"/>
              </a:solidFill>
              <a:prstDash val="solid"/>
            </a:ln>
          </c:spPr>
          <c:marker>
            <c:symbol val="none"/>
          </c:marker>
          <c:xVal>
            <c:numLit>
              <c:formatCode>General</c:formatCode>
              <c:ptCount val="2"/>
              <c:pt idx="0">
                <c:v>21.547274408301863</c:v>
              </c:pt>
              <c:pt idx="1">
                <c:v>21.847274408301864</c:v>
              </c:pt>
            </c:numLit>
          </c:xVal>
          <c:yVal>
            <c:numLit>
              <c:formatCode>General</c:formatCode>
              <c:ptCount val="2"/>
              <c:pt idx="0">
                <c:v>2.9808574381360187E-2</c:v>
              </c:pt>
              <c:pt idx="1">
                <c:v>2.9693115922718592E-2</c:v>
              </c:pt>
            </c:numLit>
          </c:yVal>
          <c:smooth val="0"/>
          <c:extLst>
            <c:ext xmlns:c16="http://schemas.microsoft.com/office/drawing/2014/chart" uri="{C3380CC4-5D6E-409C-BE32-E72D297353CC}">
              <c16:uniqueId val="{00000085-1724-4912-B0E7-8A6416B1F822}"/>
            </c:ext>
          </c:extLst>
        </c:ser>
        <c:ser>
          <c:idx val="112"/>
          <c:order val="112"/>
          <c:tx>
            <c:v>h=100</c:v>
          </c:tx>
          <c:spPr>
            <a:ln w="3175">
              <a:solidFill>
                <a:srgbClr val="808080"/>
              </a:solidFill>
              <a:prstDash val="solid"/>
            </a:ln>
          </c:spPr>
          <c:marker>
            <c:symbol val="none"/>
          </c:marker>
          <c:dLbls>
            <c:dLbl>
              <c:idx val="0"/>
              <c:layout>
                <c:manualLayout>
                  <c:x val="-3.2080736001749779E-2"/>
                  <c:y val="-1.2169728783902031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100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6-1724-4912-B0E7-8A6416B1F8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21.855683190003198</c:v>
              </c:pt>
              <c:pt idx="1">
                <c:v>49.999999999999993</c:v>
              </c:pt>
            </c:numLit>
          </c:xVal>
          <c:yVal>
            <c:numLit>
              <c:formatCode>General</c:formatCode>
              <c:ptCount val="2"/>
              <c:pt idx="0">
                <c:v>3.0074472903183033E-2</c:v>
              </c:pt>
              <c:pt idx="1">
                <c:v>1.9159599074787974E-2</c:v>
              </c:pt>
            </c:numLit>
          </c:yVal>
          <c:smooth val="0"/>
          <c:extLst>
            <c:ext xmlns:c16="http://schemas.microsoft.com/office/drawing/2014/chart" uri="{C3380CC4-5D6E-409C-BE32-E72D297353CC}">
              <c16:uniqueId val="{00000087-1724-4912-B0E7-8A6416B1F822}"/>
            </c:ext>
          </c:extLst>
        </c:ser>
        <c:ser>
          <c:idx val="113"/>
          <c:order val="113"/>
          <c:tx>
            <c:v>h=101</c:v>
          </c:tx>
          <c:spPr>
            <a:ln w="3175">
              <a:solidFill>
                <a:srgbClr val="808080"/>
              </a:solidFill>
              <a:prstDash val="solid"/>
            </a:ln>
          </c:spPr>
          <c:marker>
            <c:symbol val="none"/>
          </c:marker>
          <c:xVal>
            <c:numLit>
              <c:formatCode>General</c:formatCode>
              <c:ptCount val="2"/>
              <c:pt idx="0">
                <c:v>22.164091971704529</c:v>
              </c:pt>
              <c:pt idx="1">
                <c:v>22.46409197170453</c:v>
              </c:pt>
            </c:numLit>
          </c:xVal>
          <c:yVal>
            <c:numLit>
              <c:formatCode>General</c:formatCode>
              <c:ptCount val="2"/>
              <c:pt idx="0">
                <c:v>3.0340371425005876E-2</c:v>
              </c:pt>
              <c:pt idx="1">
                <c:v>3.0224915008568904E-2</c:v>
              </c:pt>
            </c:numLit>
          </c:yVal>
          <c:smooth val="0"/>
          <c:extLst>
            <c:ext xmlns:c16="http://schemas.microsoft.com/office/drawing/2014/chart" uri="{C3380CC4-5D6E-409C-BE32-E72D297353CC}">
              <c16:uniqueId val="{00000088-1724-4912-B0E7-8A6416B1F822}"/>
            </c:ext>
          </c:extLst>
        </c:ser>
        <c:ser>
          <c:idx val="114"/>
          <c:order val="114"/>
          <c:tx>
            <c:v>h=102</c:v>
          </c:tx>
          <c:spPr>
            <a:ln w="3175">
              <a:solidFill>
                <a:srgbClr val="808080"/>
              </a:solidFill>
              <a:prstDash val="solid"/>
            </a:ln>
          </c:spPr>
          <c:marker>
            <c:symbol val="none"/>
          </c:marker>
          <c:xVal>
            <c:numLit>
              <c:formatCode>General</c:formatCode>
              <c:ptCount val="2"/>
              <c:pt idx="0">
                <c:v>22.472500753405864</c:v>
              </c:pt>
              <c:pt idx="1">
                <c:v>22.772500753405865</c:v>
              </c:pt>
            </c:numLit>
          </c:xVal>
          <c:yVal>
            <c:numLit>
              <c:formatCode>General</c:formatCode>
              <c:ptCount val="2"/>
              <c:pt idx="0">
                <c:v>3.0606269946828722E-2</c:v>
              </c:pt>
              <c:pt idx="1">
                <c:v>3.0490814524854769E-2</c:v>
              </c:pt>
            </c:numLit>
          </c:yVal>
          <c:smooth val="0"/>
          <c:extLst>
            <c:ext xmlns:c16="http://schemas.microsoft.com/office/drawing/2014/chart" uri="{C3380CC4-5D6E-409C-BE32-E72D297353CC}">
              <c16:uniqueId val="{00000089-1724-4912-B0E7-8A6416B1F822}"/>
            </c:ext>
          </c:extLst>
        </c:ser>
        <c:ser>
          <c:idx val="115"/>
          <c:order val="115"/>
          <c:tx>
            <c:v>h=103</c:v>
          </c:tx>
          <c:spPr>
            <a:ln w="3175">
              <a:solidFill>
                <a:srgbClr val="808080"/>
              </a:solidFill>
              <a:prstDash val="solid"/>
            </a:ln>
          </c:spPr>
          <c:marker>
            <c:symbol val="none"/>
          </c:marker>
          <c:xVal>
            <c:numLit>
              <c:formatCode>General</c:formatCode>
              <c:ptCount val="2"/>
              <c:pt idx="0">
                <c:v>22.780909535107199</c:v>
              </c:pt>
              <c:pt idx="1">
                <c:v>23.080909535107196</c:v>
              </c:pt>
            </c:numLit>
          </c:xVal>
          <c:yVal>
            <c:numLit>
              <c:formatCode>General</c:formatCode>
              <c:ptCount val="2"/>
              <c:pt idx="0">
                <c:v>3.0872168468651567E-2</c:v>
              </c:pt>
              <c:pt idx="1">
                <c:v>3.0756714023993551E-2</c:v>
              </c:pt>
            </c:numLit>
          </c:yVal>
          <c:smooth val="0"/>
          <c:extLst>
            <c:ext xmlns:c16="http://schemas.microsoft.com/office/drawing/2014/chart" uri="{C3380CC4-5D6E-409C-BE32-E72D297353CC}">
              <c16:uniqueId val="{0000008A-1724-4912-B0E7-8A6416B1F822}"/>
            </c:ext>
          </c:extLst>
        </c:ser>
        <c:ser>
          <c:idx val="116"/>
          <c:order val="116"/>
          <c:tx>
            <c:v>h=104</c:v>
          </c:tx>
          <c:spPr>
            <a:ln w="3175">
              <a:solidFill>
                <a:srgbClr val="808080"/>
              </a:solidFill>
              <a:prstDash val="solid"/>
            </a:ln>
          </c:spPr>
          <c:marker>
            <c:symbol val="none"/>
          </c:marker>
          <c:xVal>
            <c:numLit>
              <c:formatCode>General</c:formatCode>
              <c:ptCount val="2"/>
              <c:pt idx="0">
                <c:v>23.08931831680853</c:v>
              </c:pt>
              <c:pt idx="1">
                <c:v>23.389318316808531</c:v>
              </c:pt>
            </c:numLit>
          </c:xVal>
          <c:yVal>
            <c:numLit>
              <c:formatCode>General</c:formatCode>
              <c:ptCount val="2"/>
              <c:pt idx="0">
                <c:v>3.113806699047441E-2</c:v>
              </c:pt>
              <c:pt idx="1">
                <c:v>3.1022613506424938E-2</c:v>
              </c:pt>
            </c:numLit>
          </c:yVal>
          <c:smooth val="0"/>
          <c:extLst>
            <c:ext xmlns:c16="http://schemas.microsoft.com/office/drawing/2014/chart" uri="{C3380CC4-5D6E-409C-BE32-E72D297353CC}">
              <c16:uniqueId val="{0000008B-1724-4912-B0E7-8A6416B1F822}"/>
            </c:ext>
          </c:extLst>
        </c:ser>
        <c:ser>
          <c:idx val="117"/>
          <c:order val="117"/>
          <c:tx>
            <c:v>h=105</c:v>
          </c:tx>
          <c:spPr>
            <a:ln w="3175">
              <a:solidFill>
                <a:srgbClr val="808080"/>
              </a:solidFill>
              <a:prstDash val="solid"/>
            </a:ln>
          </c:spPr>
          <c:marker>
            <c:symbol val="none"/>
          </c:marker>
          <c:dLbls>
            <c:dLbl>
              <c:idx val="0"/>
              <c:layout>
                <c:manualLayout>
                  <c:x val="-3.2080736001749842E-2"/>
                  <c:y val="-1.2169728783902012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105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C-1724-4912-B0E7-8A6416B1F8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23.397727098509865</c:v>
              </c:pt>
              <c:pt idx="1">
                <c:v>50</c:v>
              </c:pt>
            </c:numLit>
          </c:xVal>
          <c:yVal>
            <c:numLit>
              <c:formatCode>General</c:formatCode>
              <c:ptCount val="2"/>
              <c:pt idx="0">
                <c:v>3.1403965512297252E-2</c:v>
              </c:pt>
              <c:pt idx="1">
                <c:v>2.1087124132613724E-2</c:v>
              </c:pt>
            </c:numLit>
          </c:yVal>
          <c:smooth val="0"/>
          <c:extLst>
            <c:ext xmlns:c16="http://schemas.microsoft.com/office/drawing/2014/chart" uri="{C3380CC4-5D6E-409C-BE32-E72D297353CC}">
              <c16:uniqueId val="{0000008D-1724-4912-B0E7-8A6416B1F822}"/>
            </c:ext>
          </c:extLst>
        </c:ser>
        <c:ser>
          <c:idx val="118"/>
          <c:order val="118"/>
          <c:tx>
            <c:v>h=106</c:v>
          </c:tx>
          <c:spPr>
            <a:ln w="3175">
              <a:solidFill>
                <a:srgbClr val="808080"/>
              </a:solidFill>
              <a:prstDash val="solid"/>
            </a:ln>
          </c:spPr>
          <c:marker>
            <c:symbol val="none"/>
          </c:marker>
          <c:xVal>
            <c:numLit>
              <c:formatCode>General</c:formatCode>
              <c:ptCount val="2"/>
              <c:pt idx="0">
                <c:v>23.7061358802112</c:v>
              </c:pt>
              <c:pt idx="1">
                <c:v>24.006135880211197</c:v>
              </c:pt>
            </c:numLit>
          </c:xVal>
          <c:yVal>
            <c:numLit>
              <c:formatCode>General</c:formatCode>
              <c:ptCount val="2"/>
              <c:pt idx="0">
                <c:v>3.1669864034120102E-2</c:v>
              </c:pt>
              <c:pt idx="1">
                <c:v>3.1554412422850439E-2</c:v>
              </c:pt>
            </c:numLit>
          </c:yVal>
          <c:smooth val="0"/>
          <c:extLst>
            <c:ext xmlns:c16="http://schemas.microsoft.com/office/drawing/2014/chart" uri="{C3380CC4-5D6E-409C-BE32-E72D297353CC}">
              <c16:uniqueId val="{0000008E-1724-4912-B0E7-8A6416B1F822}"/>
            </c:ext>
          </c:extLst>
        </c:ser>
        <c:ser>
          <c:idx val="119"/>
          <c:order val="119"/>
          <c:tx>
            <c:v>h=107</c:v>
          </c:tx>
          <c:spPr>
            <a:ln w="3175">
              <a:solidFill>
                <a:srgbClr val="808080"/>
              </a:solidFill>
              <a:prstDash val="solid"/>
            </a:ln>
          </c:spPr>
          <c:marker>
            <c:symbol val="none"/>
          </c:marker>
          <c:xVal>
            <c:numLit>
              <c:formatCode>General</c:formatCode>
              <c:ptCount val="2"/>
              <c:pt idx="0">
                <c:v>24.014544661912531</c:v>
              </c:pt>
              <c:pt idx="1">
                <c:v>24.314544661912532</c:v>
              </c:pt>
            </c:numLit>
          </c:xVal>
          <c:yVal>
            <c:numLit>
              <c:formatCode>General</c:formatCode>
              <c:ptCount val="2"/>
              <c:pt idx="0">
                <c:v>3.1935762555942944E-2</c:v>
              </c:pt>
              <c:pt idx="1">
                <c:v>3.1820311857651898E-2</c:v>
              </c:pt>
            </c:numLit>
          </c:yVal>
          <c:smooth val="0"/>
          <c:extLst>
            <c:ext xmlns:c16="http://schemas.microsoft.com/office/drawing/2014/chart" uri="{C3380CC4-5D6E-409C-BE32-E72D297353CC}">
              <c16:uniqueId val="{0000008F-1724-4912-B0E7-8A6416B1F822}"/>
            </c:ext>
          </c:extLst>
        </c:ser>
        <c:ser>
          <c:idx val="120"/>
          <c:order val="120"/>
          <c:tx>
            <c:v>h=108</c:v>
          </c:tx>
          <c:spPr>
            <a:ln w="3175">
              <a:solidFill>
                <a:srgbClr val="808080"/>
              </a:solidFill>
              <a:prstDash val="solid"/>
            </a:ln>
          </c:spPr>
          <c:marker>
            <c:symbol val="none"/>
          </c:marker>
          <c:xVal>
            <c:numLit>
              <c:formatCode>General</c:formatCode>
              <c:ptCount val="2"/>
              <c:pt idx="0">
                <c:v>24.322953443613866</c:v>
              </c:pt>
              <c:pt idx="1">
                <c:v>24.622953443613866</c:v>
              </c:pt>
            </c:numLit>
          </c:xVal>
          <c:yVal>
            <c:numLit>
              <c:formatCode>General</c:formatCode>
              <c:ptCount val="2"/>
              <c:pt idx="0">
                <c:v>3.2201661077765786E-2</c:v>
              </c:pt>
              <c:pt idx="1">
                <c:v>3.2086211277361804E-2</c:v>
              </c:pt>
            </c:numLit>
          </c:yVal>
          <c:smooth val="0"/>
          <c:extLst>
            <c:ext xmlns:c16="http://schemas.microsoft.com/office/drawing/2014/chart" uri="{C3380CC4-5D6E-409C-BE32-E72D297353CC}">
              <c16:uniqueId val="{00000090-1724-4912-B0E7-8A6416B1F822}"/>
            </c:ext>
          </c:extLst>
        </c:ser>
        <c:ser>
          <c:idx val="121"/>
          <c:order val="121"/>
          <c:tx>
            <c:v>h=109</c:v>
          </c:tx>
          <c:spPr>
            <a:ln w="3175">
              <a:solidFill>
                <a:srgbClr val="808080"/>
              </a:solidFill>
              <a:prstDash val="solid"/>
            </a:ln>
          </c:spPr>
          <c:marker>
            <c:symbol val="none"/>
          </c:marker>
          <c:xVal>
            <c:numLit>
              <c:formatCode>General</c:formatCode>
              <c:ptCount val="2"/>
              <c:pt idx="0">
                <c:v>24.6313622253152</c:v>
              </c:pt>
              <c:pt idx="1">
                <c:v>24.931362225315198</c:v>
              </c:pt>
            </c:numLit>
          </c:xVal>
          <c:yVal>
            <c:numLit>
              <c:formatCode>General</c:formatCode>
              <c:ptCount val="2"/>
              <c:pt idx="0">
                <c:v>3.2467559599588636E-2</c:v>
              </c:pt>
              <c:pt idx="1">
                <c:v>3.2352110682351297E-2</c:v>
              </c:pt>
            </c:numLit>
          </c:yVal>
          <c:smooth val="0"/>
          <c:extLst>
            <c:ext xmlns:c16="http://schemas.microsoft.com/office/drawing/2014/chart" uri="{C3380CC4-5D6E-409C-BE32-E72D297353CC}">
              <c16:uniqueId val="{00000091-1724-4912-B0E7-8A6416B1F822}"/>
            </c:ext>
          </c:extLst>
        </c:ser>
        <c:ser>
          <c:idx val="122"/>
          <c:order val="122"/>
          <c:tx>
            <c:v>h=110</c:v>
          </c:tx>
          <c:spPr>
            <a:ln w="3175">
              <a:solidFill>
                <a:srgbClr val="808080"/>
              </a:solidFill>
              <a:prstDash val="solid"/>
            </a:ln>
          </c:spPr>
          <c:marker>
            <c:symbol val="none"/>
          </c:marker>
          <c:dLbls>
            <c:dLbl>
              <c:idx val="0"/>
              <c:layout>
                <c:manualLayout>
                  <c:x val="-3.2080736001749842E-2"/>
                  <c:y val="-1.2169728783902012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110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2-1724-4912-B0E7-8A6416B1F8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24.939771007016532</c:v>
              </c:pt>
              <c:pt idx="1">
                <c:v>50</c:v>
              </c:pt>
            </c:numLit>
          </c:xVal>
          <c:yVal>
            <c:numLit>
              <c:formatCode>General</c:formatCode>
              <c:ptCount val="2"/>
              <c:pt idx="0">
                <c:v>3.2733458121411478E-2</c:v>
              </c:pt>
              <c:pt idx="1">
                <c:v>2.3014649190439475E-2</c:v>
              </c:pt>
            </c:numLit>
          </c:yVal>
          <c:smooth val="0"/>
          <c:extLst>
            <c:ext xmlns:c16="http://schemas.microsoft.com/office/drawing/2014/chart" uri="{C3380CC4-5D6E-409C-BE32-E72D297353CC}">
              <c16:uniqueId val="{00000093-1724-4912-B0E7-8A6416B1F822}"/>
            </c:ext>
          </c:extLst>
        </c:ser>
        <c:ser>
          <c:idx val="123"/>
          <c:order val="123"/>
          <c:tx>
            <c:v>h=111</c:v>
          </c:tx>
          <c:spPr>
            <a:ln w="3175">
              <a:solidFill>
                <a:srgbClr val="808080"/>
              </a:solidFill>
              <a:prstDash val="solid"/>
            </a:ln>
          </c:spPr>
          <c:marker>
            <c:symbol val="none"/>
          </c:marker>
          <c:xVal>
            <c:numLit>
              <c:formatCode>General</c:formatCode>
              <c:ptCount val="2"/>
              <c:pt idx="0">
                <c:v>25.248179788717867</c:v>
              </c:pt>
              <c:pt idx="1">
                <c:v>25.548179788717867</c:v>
              </c:pt>
            </c:numLit>
          </c:xVal>
          <c:yVal>
            <c:numLit>
              <c:formatCode>General</c:formatCode>
              <c:ptCount val="2"/>
              <c:pt idx="0">
                <c:v>3.299935664323432E-2</c:v>
              </c:pt>
              <c:pt idx="1">
                <c:v>3.2883909449593671E-2</c:v>
              </c:pt>
            </c:numLit>
          </c:yVal>
          <c:smooth val="0"/>
          <c:extLst>
            <c:ext xmlns:c16="http://schemas.microsoft.com/office/drawing/2014/chart" uri="{C3380CC4-5D6E-409C-BE32-E72D297353CC}">
              <c16:uniqueId val="{00000094-1724-4912-B0E7-8A6416B1F822}"/>
            </c:ext>
          </c:extLst>
        </c:ser>
        <c:ser>
          <c:idx val="124"/>
          <c:order val="124"/>
          <c:tx>
            <c:v>h=112</c:v>
          </c:tx>
          <c:spPr>
            <a:ln w="3175">
              <a:solidFill>
                <a:srgbClr val="808080"/>
              </a:solidFill>
              <a:prstDash val="solid"/>
            </a:ln>
          </c:spPr>
          <c:marker>
            <c:symbol val="none"/>
          </c:marker>
          <c:xVal>
            <c:numLit>
              <c:formatCode>General</c:formatCode>
              <c:ptCount val="2"/>
              <c:pt idx="0">
                <c:v>25.556588570419198</c:v>
              </c:pt>
              <c:pt idx="1">
                <c:v>25.856588570419198</c:v>
              </c:pt>
            </c:numLit>
          </c:xVal>
          <c:yVal>
            <c:numLit>
              <c:formatCode>General</c:formatCode>
              <c:ptCount val="2"/>
              <c:pt idx="0">
                <c:v>3.3265255165057163E-2</c:v>
              </c:pt>
              <c:pt idx="1">
                <c:v>3.3149808812530379E-2</c:v>
              </c:pt>
            </c:numLit>
          </c:yVal>
          <c:smooth val="0"/>
          <c:extLst>
            <c:ext xmlns:c16="http://schemas.microsoft.com/office/drawing/2014/chart" uri="{C3380CC4-5D6E-409C-BE32-E72D297353CC}">
              <c16:uniqueId val="{00000095-1724-4912-B0E7-8A6416B1F822}"/>
            </c:ext>
          </c:extLst>
        </c:ser>
        <c:ser>
          <c:idx val="125"/>
          <c:order val="125"/>
          <c:tx>
            <c:v>h=113</c:v>
          </c:tx>
          <c:spPr>
            <a:ln w="3175">
              <a:solidFill>
                <a:srgbClr val="808080"/>
              </a:solidFill>
              <a:prstDash val="solid"/>
            </a:ln>
          </c:spPr>
          <c:marker>
            <c:symbol val="none"/>
          </c:marker>
          <c:xVal>
            <c:numLit>
              <c:formatCode>General</c:formatCode>
              <c:ptCount val="2"/>
              <c:pt idx="0">
                <c:v>25.864997352120533</c:v>
              </c:pt>
              <c:pt idx="1">
                <c:v>26.164997352120533</c:v>
              </c:pt>
            </c:numLit>
          </c:xVal>
          <c:yVal>
            <c:numLit>
              <c:formatCode>General</c:formatCode>
              <c:ptCount val="2"/>
              <c:pt idx="0">
                <c:v>3.3531153686880012E-2</c:v>
              </c:pt>
              <c:pt idx="1">
                <c:v>3.341570816211524E-2</c:v>
              </c:pt>
            </c:numLit>
          </c:yVal>
          <c:smooth val="0"/>
          <c:extLst>
            <c:ext xmlns:c16="http://schemas.microsoft.com/office/drawing/2014/chart" uri="{C3380CC4-5D6E-409C-BE32-E72D297353CC}">
              <c16:uniqueId val="{00000096-1724-4912-B0E7-8A6416B1F822}"/>
            </c:ext>
          </c:extLst>
        </c:ser>
        <c:ser>
          <c:idx val="126"/>
          <c:order val="126"/>
          <c:tx>
            <c:v>h=114</c:v>
          </c:tx>
          <c:spPr>
            <a:ln w="3175">
              <a:solidFill>
                <a:srgbClr val="808080"/>
              </a:solidFill>
              <a:prstDash val="solid"/>
            </a:ln>
          </c:spPr>
          <c:marker>
            <c:symbol val="none"/>
          </c:marker>
          <c:xVal>
            <c:numLit>
              <c:formatCode>General</c:formatCode>
              <c:ptCount val="2"/>
              <c:pt idx="0">
                <c:v>26.173406133821867</c:v>
              </c:pt>
              <c:pt idx="1">
                <c:v>26.473406133821868</c:v>
              </c:pt>
            </c:numLit>
          </c:xVal>
          <c:yVal>
            <c:numLit>
              <c:formatCode>General</c:formatCode>
              <c:ptCount val="2"/>
              <c:pt idx="0">
                <c:v>3.3797052208702855E-2</c:v>
              </c:pt>
              <c:pt idx="1">
                <c:v>3.3681607498663661E-2</c:v>
              </c:pt>
            </c:numLit>
          </c:yVal>
          <c:smooth val="0"/>
          <c:extLst>
            <c:ext xmlns:c16="http://schemas.microsoft.com/office/drawing/2014/chart" uri="{C3380CC4-5D6E-409C-BE32-E72D297353CC}">
              <c16:uniqueId val="{00000097-1724-4912-B0E7-8A6416B1F822}"/>
            </c:ext>
          </c:extLst>
        </c:ser>
        <c:ser>
          <c:idx val="127"/>
          <c:order val="127"/>
          <c:tx>
            <c:v>h=115</c:v>
          </c:tx>
          <c:spPr>
            <a:ln w="3175">
              <a:solidFill>
                <a:srgbClr val="808080"/>
              </a:solidFill>
              <a:prstDash val="solid"/>
            </a:ln>
          </c:spPr>
          <c:marker>
            <c:symbol val="none"/>
          </c:marker>
          <c:dLbls>
            <c:dLbl>
              <c:idx val="0"/>
              <c:layout>
                <c:manualLayout>
                  <c:x val="-5.208333333333333E-3"/>
                  <c:y val="4.429975099266438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115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8-1724-4912-B0E7-8A6416B1F8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26.481814915523199</c:v>
              </c:pt>
              <c:pt idx="1">
                <c:v>49.999999999999993</c:v>
              </c:pt>
            </c:numLit>
          </c:xVal>
          <c:yVal>
            <c:numLit>
              <c:formatCode>General</c:formatCode>
              <c:ptCount val="2"/>
              <c:pt idx="0">
                <c:v>3.4062950730525697E-2</c:v>
              </c:pt>
              <c:pt idx="1">
                <c:v>2.4942174248265229E-2</c:v>
              </c:pt>
            </c:numLit>
          </c:yVal>
          <c:smooth val="0"/>
          <c:extLst>
            <c:ext xmlns:c16="http://schemas.microsoft.com/office/drawing/2014/chart" uri="{C3380CC4-5D6E-409C-BE32-E72D297353CC}">
              <c16:uniqueId val="{00000099-1724-4912-B0E7-8A6416B1F822}"/>
            </c:ext>
          </c:extLst>
        </c:ser>
        <c:ser>
          <c:idx val="128"/>
          <c:order val="128"/>
          <c:tx>
            <c:v>h=116</c:v>
          </c:tx>
          <c:spPr>
            <a:ln w="3175">
              <a:solidFill>
                <a:srgbClr val="808080"/>
              </a:solidFill>
              <a:prstDash val="solid"/>
            </a:ln>
          </c:spPr>
          <c:marker>
            <c:symbol val="none"/>
          </c:marker>
          <c:xVal>
            <c:numLit>
              <c:formatCode>General</c:formatCode>
              <c:ptCount val="2"/>
              <c:pt idx="0">
                <c:v>26.790223697224533</c:v>
              </c:pt>
              <c:pt idx="1">
                <c:v>27.090223697224534</c:v>
              </c:pt>
            </c:numLit>
          </c:xVal>
          <c:yVal>
            <c:numLit>
              <c:formatCode>General</c:formatCode>
              <c:ptCount val="2"/>
              <c:pt idx="0">
                <c:v>3.4328849252348546E-2</c:v>
              </c:pt>
              <c:pt idx="1">
                <c:v>3.4213406133863963E-2</c:v>
              </c:pt>
            </c:numLit>
          </c:yVal>
          <c:smooth val="0"/>
          <c:extLst>
            <c:ext xmlns:c16="http://schemas.microsoft.com/office/drawing/2014/chart" uri="{C3380CC4-5D6E-409C-BE32-E72D297353CC}">
              <c16:uniqueId val="{0000009A-1724-4912-B0E7-8A6416B1F822}"/>
            </c:ext>
          </c:extLst>
        </c:ser>
        <c:ser>
          <c:idx val="129"/>
          <c:order val="129"/>
          <c:tx>
            <c:v>h=117</c:v>
          </c:tx>
          <c:spPr>
            <a:ln w="3175">
              <a:solidFill>
                <a:srgbClr val="808080"/>
              </a:solidFill>
              <a:prstDash val="solid"/>
            </a:ln>
          </c:spPr>
          <c:marker>
            <c:symbol val="none"/>
          </c:marker>
          <c:xVal>
            <c:numLit>
              <c:formatCode>General</c:formatCode>
              <c:ptCount val="2"/>
              <c:pt idx="0">
                <c:v>27.098632478925868</c:v>
              </c:pt>
              <c:pt idx="1">
                <c:v>27.398632478925869</c:v>
              </c:pt>
            </c:numLit>
          </c:xVal>
          <c:yVal>
            <c:numLit>
              <c:formatCode>General</c:formatCode>
              <c:ptCount val="2"/>
              <c:pt idx="0">
                <c:v>3.4594747774171389E-2</c:v>
              </c:pt>
              <c:pt idx="1">
                <c:v>3.4479305433098899E-2</c:v>
              </c:pt>
            </c:numLit>
          </c:yVal>
          <c:smooth val="0"/>
          <c:extLst>
            <c:ext xmlns:c16="http://schemas.microsoft.com/office/drawing/2014/chart" uri="{C3380CC4-5D6E-409C-BE32-E72D297353CC}">
              <c16:uniqueId val="{0000009B-1724-4912-B0E7-8A6416B1F822}"/>
            </c:ext>
          </c:extLst>
        </c:ser>
        <c:ser>
          <c:idx val="130"/>
          <c:order val="130"/>
          <c:tx>
            <c:v>h=118</c:v>
          </c:tx>
          <c:spPr>
            <a:ln w="3175">
              <a:solidFill>
                <a:srgbClr val="808080"/>
              </a:solidFill>
              <a:prstDash val="solid"/>
            </a:ln>
          </c:spPr>
          <c:marker>
            <c:symbol val="none"/>
          </c:marker>
          <c:xVal>
            <c:numLit>
              <c:formatCode>General</c:formatCode>
              <c:ptCount val="2"/>
              <c:pt idx="0">
                <c:v>27.407041260627199</c:v>
              </c:pt>
              <c:pt idx="1">
                <c:v>27.7070412606272</c:v>
              </c:pt>
            </c:numLit>
          </c:xVal>
          <c:yVal>
            <c:numLit>
              <c:formatCode>General</c:formatCode>
              <c:ptCount val="2"/>
              <c:pt idx="0">
                <c:v>3.4860646295994231E-2</c:v>
              </c:pt>
              <c:pt idx="1">
                <c:v>3.4745204720464225E-2</c:v>
              </c:pt>
            </c:numLit>
          </c:yVal>
          <c:smooth val="0"/>
          <c:extLst>
            <c:ext xmlns:c16="http://schemas.microsoft.com/office/drawing/2014/chart" uri="{C3380CC4-5D6E-409C-BE32-E72D297353CC}">
              <c16:uniqueId val="{0000009C-1724-4912-B0E7-8A6416B1F822}"/>
            </c:ext>
          </c:extLst>
        </c:ser>
        <c:ser>
          <c:idx val="131"/>
          <c:order val="131"/>
          <c:tx>
            <c:v>h=119</c:v>
          </c:tx>
          <c:spPr>
            <a:ln w="3175">
              <a:solidFill>
                <a:srgbClr val="808080"/>
              </a:solidFill>
              <a:prstDash val="solid"/>
            </a:ln>
          </c:spPr>
          <c:marker>
            <c:symbol val="none"/>
          </c:marker>
          <c:xVal>
            <c:numLit>
              <c:formatCode>General</c:formatCode>
              <c:ptCount val="2"/>
              <c:pt idx="0">
                <c:v>27.715450042328534</c:v>
              </c:pt>
              <c:pt idx="1">
                <c:v>28.015450042328535</c:v>
              </c:pt>
            </c:numLit>
          </c:xVal>
          <c:yVal>
            <c:numLit>
              <c:formatCode>General</c:formatCode>
              <c:ptCount val="2"/>
              <c:pt idx="0">
                <c:v>3.5126544817817074E-2</c:v>
              </c:pt>
              <c:pt idx="1">
                <c:v>3.5011103996229725E-2</c:v>
              </c:pt>
            </c:numLit>
          </c:yVal>
          <c:smooth val="0"/>
          <c:extLst>
            <c:ext xmlns:c16="http://schemas.microsoft.com/office/drawing/2014/chart" uri="{C3380CC4-5D6E-409C-BE32-E72D297353CC}">
              <c16:uniqueId val="{0000009D-1724-4912-B0E7-8A6416B1F822}"/>
            </c:ext>
          </c:extLst>
        </c:ser>
        <c:ser>
          <c:idx val="132"/>
          <c:order val="132"/>
          <c:tx>
            <c:v>h=120</c:v>
          </c:tx>
          <c:spPr>
            <a:ln w="3175">
              <a:solidFill>
                <a:srgbClr val="808080"/>
              </a:solidFill>
              <a:prstDash val="solid"/>
            </a:ln>
          </c:spPr>
          <c:marker>
            <c:symbol val="none"/>
          </c:marker>
          <c:dLbls>
            <c:dLbl>
              <c:idx val="0"/>
              <c:layout>
                <c:manualLayout>
                  <c:x val="-5.208333333333333E-3"/>
                  <c:y val="2.1367521367521368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120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E-1724-4912-B0E7-8A6416B1F8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28.023858824029869</c:v>
              </c:pt>
              <c:pt idx="1">
                <c:v>50</c:v>
              </c:pt>
            </c:numLit>
          </c:xVal>
          <c:yVal>
            <c:numLit>
              <c:formatCode>General</c:formatCode>
              <c:ptCount val="2"/>
              <c:pt idx="0">
                <c:v>3.5392443339639923E-2</c:v>
              </c:pt>
              <c:pt idx="1">
                <c:v>2.6869699306090979E-2</c:v>
              </c:pt>
            </c:numLit>
          </c:yVal>
          <c:smooth val="0"/>
          <c:extLst>
            <c:ext xmlns:c16="http://schemas.microsoft.com/office/drawing/2014/chart" uri="{C3380CC4-5D6E-409C-BE32-E72D297353CC}">
              <c16:uniqueId val="{0000009F-1724-4912-B0E7-8A6416B1F822}"/>
            </c:ext>
          </c:extLst>
        </c:ser>
        <c:ser>
          <c:idx val="133"/>
          <c:order val="133"/>
          <c:tx>
            <c:v>h=121</c:v>
          </c:tx>
          <c:spPr>
            <a:ln w="3175">
              <a:solidFill>
                <a:srgbClr val="808080"/>
              </a:solidFill>
              <a:prstDash val="solid"/>
            </a:ln>
          </c:spPr>
          <c:marker>
            <c:symbol val="none"/>
          </c:marker>
          <c:xVal>
            <c:numLit>
              <c:formatCode>General</c:formatCode>
              <c:ptCount val="2"/>
              <c:pt idx="0">
                <c:v>28.3322676057312</c:v>
              </c:pt>
              <c:pt idx="1">
                <c:v>28.632267605731201</c:v>
              </c:pt>
            </c:numLit>
          </c:xVal>
          <c:yVal>
            <c:numLit>
              <c:formatCode>General</c:formatCode>
              <c:ptCount val="2"/>
              <c:pt idx="0">
                <c:v>3.5658341861462765E-2</c:v>
              </c:pt>
              <c:pt idx="1">
                <c:v>3.5542902514000108E-2</c:v>
              </c:pt>
            </c:numLit>
          </c:yVal>
          <c:smooth val="0"/>
          <c:extLst>
            <c:ext xmlns:c16="http://schemas.microsoft.com/office/drawing/2014/chart" uri="{C3380CC4-5D6E-409C-BE32-E72D297353CC}">
              <c16:uniqueId val="{000000A0-1724-4912-B0E7-8A6416B1F822}"/>
            </c:ext>
          </c:extLst>
        </c:ser>
        <c:ser>
          <c:idx val="134"/>
          <c:order val="134"/>
          <c:tx>
            <c:v>h=122</c:v>
          </c:tx>
          <c:spPr>
            <a:ln w="3175">
              <a:solidFill>
                <a:srgbClr val="808080"/>
              </a:solidFill>
              <a:prstDash val="solid"/>
            </a:ln>
          </c:spPr>
          <c:marker>
            <c:symbol val="none"/>
          </c:marker>
          <c:xVal>
            <c:numLit>
              <c:formatCode>General</c:formatCode>
              <c:ptCount val="2"/>
              <c:pt idx="0">
                <c:v>28.640676387432535</c:v>
              </c:pt>
              <c:pt idx="1">
                <c:v>28.940676387432536</c:v>
              </c:pt>
            </c:numLit>
          </c:xVal>
          <c:yVal>
            <c:numLit>
              <c:formatCode>General</c:formatCode>
              <c:ptCount val="2"/>
              <c:pt idx="0">
                <c:v>3.5924240383285608E-2</c:v>
              </c:pt>
              <c:pt idx="1">
                <c:v>3.5808801756505165E-2</c:v>
              </c:pt>
            </c:numLit>
          </c:yVal>
          <c:smooth val="0"/>
          <c:extLst>
            <c:ext xmlns:c16="http://schemas.microsoft.com/office/drawing/2014/chart" uri="{C3380CC4-5D6E-409C-BE32-E72D297353CC}">
              <c16:uniqueId val="{000000A1-1724-4912-B0E7-8A6416B1F822}"/>
            </c:ext>
          </c:extLst>
        </c:ser>
        <c:ser>
          <c:idx val="135"/>
          <c:order val="135"/>
          <c:tx>
            <c:v>h=123</c:v>
          </c:tx>
          <c:spPr>
            <a:ln w="3175">
              <a:solidFill>
                <a:srgbClr val="808080"/>
              </a:solidFill>
              <a:prstDash val="solid"/>
            </a:ln>
          </c:spPr>
          <c:marker>
            <c:symbol val="none"/>
          </c:marker>
          <c:xVal>
            <c:numLit>
              <c:formatCode>General</c:formatCode>
              <c:ptCount val="2"/>
              <c:pt idx="0">
                <c:v>28.94908516913387</c:v>
              </c:pt>
              <c:pt idx="1">
                <c:v>29.24908516913387</c:v>
              </c:pt>
            </c:numLit>
          </c:xVal>
          <c:yVal>
            <c:numLit>
              <c:formatCode>General</c:formatCode>
              <c:ptCount val="2"/>
              <c:pt idx="0">
                <c:v>3.6190138905108457E-2</c:v>
              </c:pt>
              <c:pt idx="1">
                <c:v>3.6074700988411347E-2</c:v>
              </c:pt>
            </c:numLit>
          </c:yVal>
          <c:smooth val="0"/>
          <c:extLst>
            <c:ext xmlns:c16="http://schemas.microsoft.com/office/drawing/2014/chart" uri="{C3380CC4-5D6E-409C-BE32-E72D297353CC}">
              <c16:uniqueId val="{000000A2-1724-4912-B0E7-8A6416B1F822}"/>
            </c:ext>
          </c:extLst>
        </c:ser>
        <c:ser>
          <c:idx val="136"/>
          <c:order val="136"/>
          <c:tx>
            <c:v>h=124</c:v>
          </c:tx>
          <c:spPr>
            <a:ln w="3175">
              <a:solidFill>
                <a:srgbClr val="808080"/>
              </a:solidFill>
              <a:prstDash val="solid"/>
            </a:ln>
          </c:spPr>
          <c:marker>
            <c:symbol val="none"/>
          </c:marker>
          <c:xVal>
            <c:numLit>
              <c:formatCode>General</c:formatCode>
              <c:ptCount val="2"/>
              <c:pt idx="0">
                <c:v>29.257493950835201</c:v>
              </c:pt>
              <c:pt idx="1">
                <c:v>29.557493950835202</c:v>
              </c:pt>
            </c:numLit>
          </c:xVal>
          <c:yVal>
            <c:numLit>
              <c:formatCode>General</c:formatCode>
              <c:ptCount val="2"/>
              <c:pt idx="0">
                <c:v>3.64560374269313E-2</c:v>
              </c:pt>
              <c:pt idx="1">
                <c:v>3.6340600209950738E-2</c:v>
              </c:pt>
            </c:numLit>
          </c:yVal>
          <c:smooth val="0"/>
          <c:extLst>
            <c:ext xmlns:c16="http://schemas.microsoft.com/office/drawing/2014/chart" uri="{C3380CC4-5D6E-409C-BE32-E72D297353CC}">
              <c16:uniqueId val="{000000A3-1724-4912-B0E7-8A6416B1F822}"/>
            </c:ext>
          </c:extLst>
        </c:ser>
        <c:ser>
          <c:idx val="137"/>
          <c:order val="137"/>
          <c:tx>
            <c:v>h=125</c:v>
          </c:tx>
          <c:spPr>
            <a:ln w="3175">
              <a:solidFill>
                <a:srgbClr val="808080"/>
              </a:solidFill>
              <a:prstDash val="solid"/>
            </a:ln>
          </c:spPr>
          <c:marker>
            <c:symbol val="none"/>
          </c:marker>
          <c:dLbls>
            <c:dLbl>
              <c:idx val="0"/>
              <c:layout>
                <c:manualLayout>
                  <c:x val="-5.2083333333334605E-3"/>
                  <c:y val="2.1367521367521368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125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4-1724-4912-B0E7-8A6416B1F8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29.565902732536536</c:v>
              </c:pt>
              <c:pt idx="1">
                <c:v>50</c:v>
              </c:pt>
            </c:numLit>
          </c:xVal>
          <c:yVal>
            <c:numLit>
              <c:formatCode>General</c:formatCode>
              <c:ptCount val="2"/>
              <c:pt idx="0">
                <c:v>3.6721935948754142E-2</c:v>
              </c:pt>
              <c:pt idx="1">
                <c:v>2.879722436391673E-2</c:v>
              </c:pt>
            </c:numLit>
          </c:yVal>
          <c:smooth val="0"/>
          <c:extLst>
            <c:ext xmlns:c16="http://schemas.microsoft.com/office/drawing/2014/chart" uri="{C3380CC4-5D6E-409C-BE32-E72D297353CC}">
              <c16:uniqueId val="{000000A5-1724-4912-B0E7-8A6416B1F822}"/>
            </c:ext>
          </c:extLst>
        </c:ser>
        <c:ser>
          <c:idx val="138"/>
          <c:order val="138"/>
          <c:tx>
            <c:v>h=126</c:v>
          </c:tx>
          <c:spPr>
            <a:ln w="3175">
              <a:solidFill>
                <a:srgbClr val="808080"/>
              </a:solidFill>
              <a:prstDash val="solid"/>
            </a:ln>
          </c:spPr>
          <c:marker>
            <c:symbol val="none"/>
          </c:marker>
          <c:xVal>
            <c:numLit>
              <c:formatCode>General</c:formatCode>
              <c:ptCount val="2"/>
              <c:pt idx="0">
                <c:v>29.874311514237871</c:v>
              </c:pt>
              <c:pt idx="1">
                <c:v>30.174311514237871</c:v>
              </c:pt>
            </c:numLit>
          </c:xVal>
          <c:yVal>
            <c:numLit>
              <c:formatCode>General</c:formatCode>
              <c:ptCount val="2"/>
              <c:pt idx="0">
                <c:v>3.6987834470576984E-2</c:v>
              </c:pt>
              <c:pt idx="1">
                <c:v>3.687239862282421E-2</c:v>
              </c:pt>
            </c:numLit>
          </c:yVal>
          <c:smooth val="0"/>
          <c:extLst>
            <c:ext xmlns:c16="http://schemas.microsoft.com/office/drawing/2014/chart" uri="{C3380CC4-5D6E-409C-BE32-E72D297353CC}">
              <c16:uniqueId val="{000000A6-1724-4912-B0E7-8A6416B1F822}"/>
            </c:ext>
          </c:extLst>
        </c:ser>
        <c:ser>
          <c:idx val="139"/>
          <c:order val="139"/>
          <c:tx>
            <c:v>h=127</c:v>
          </c:tx>
          <c:spPr>
            <a:ln w="3175">
              <a:solidFill>
                <a:srgbClr val="808080"/>
              </a:solidFill>
              <a:prstDash val="solid"/>
            </a:ln>
          </c:spPr>
          <c:marker>
            <c:symbol val="none"/>
          </c:marker>
          <c:xVal>
            <c:numLit>
              <c:formatCode>General</c:formatCode>
              <c:ptCount val="2"/>
              <c:pt idx="0">
                <c:v>30.182720295939202</c:v>
              </c:pt>
              <c:pt idx="1">
                <c:v>30.482720295939203</c:v>
              </c:pt>
            </c:numLit>
          </c:xVal>
          <c:yVal>
            <c:numLit>
              <c:formatCode>General</c:formatCode>
              <c:ptCount val="2"/>
              <c:pt idx="0">
                <c:v>3.7253732992399834E-2</c:v>
              </c:pt>
              <c:pt idx="1">
                <c:v>3.713829781458982E-2</c:v>
              </c:pt>
            </c:numLit>
          </c:yVal>
          <c:smooth val="0"/>
          <c:extLst>
            <c:ext xmlns:c16="http://schemas.microsoft.com/office/drawing/2014/chart" uri="{C3380CC4-5D6E-409C-BE32-E72D297353CC}">
              <c16:uniqueId val="{000000A7-1724-4912-B0E7-8A6416B1F822}"/>
            </c:ext>
          </c:extLst>
        </c:ser>
        <c:ser>
          <c:idx val="140"/>
          <c:order val="140"/>
          <c:tx>
            <c:v>h=128</c:v>
          </c:tx>
          <c:spPr>
            <a:ln w="3175">
              <a:solidFill>
                <a:srgbClr val="808080"/>
              </a:solidFill>
              <a:prstDash val="solid"/>
            </a:ln>
          </c:spPr>
          <c:marker>
            <c:symbol val="none"/>
          </c:marker>
          <c:xVal>
            <c:numLit>
              <c:formatCode>General</c:formatCode>
              <c:ptCount val="2"/>
              <c:pt idx="0">
                <c:v>30.491129077640537</c:v>
              </c:pt>
              <c:pt idx="1">
                <c:v>30.791129077640537</c:v>
              </c:pt>
            </c:numLit>
          </c:xVal>
          <c:yVal>
            <c:numLit>
              <c:formatCode>General</c:formatCode>
              <c:ptCount val="2"/>
              <c:pt idx="0">
                <c:v>3.7519631514222676E-2</c:v>
              </c:pt>
              <c:pt idx="1">
                <c:v>3.7404196996852157E-2</c:v>
              </c:pt>
            </c:numLit>
          </c:yVal>
          <c:smooth val="0"/>
          <c:extLst>
            <c:ext xmlns:c16="http://schemas.microsoft.com/office/drawing/2014/chart" uri="{C3380CC4-5D6E-409C-BE32-E72D297353CC}">
              <c16:uniqueId val="{000000A8-1724-4912-B0E7-8A6416B1F822}"/>
            </c:ext>
          </c:extLst>
        </c:ser>
        <c:ser>
          <c:idx val="141"/>
          <c:order val="141"/>
          <c:tx>
            <c:v>h=129</c:v>
          </c:tx>
          <c:spPr>
            <a:ln w="3175">
              <a:solidFill>
                <a:srgbClr val="808080"/>
              </a:solidFill>
              <a:prstDash val="solid"/>
            </a:ln>
          </c:spPr>
          <c:marker>
            <c:symbol val="none"/>
          </c:marker>
          <c:xVal>
            <c:numLit>
              <c:formatCode>General</c:formatCode>
              <c:ptCount val="2"/>
              <c:pt idx="0">
                <c:v>30.799537859341871</c:v>
              </c:pt>
              <c:pt idx="1">
                <c:v>31.099537859341872</c:v>
              </c:pt>
            </c:numLit>
          </c:xVal>
          <c:yVal>
            <c:numLit>
              <c:formatCode>General</c:formatCode>
              <c:ptCount val="2"/>
              <c:pt idx="0">
                <c:v>3.7785530036045518E-2</c:v>
              </c:pt>
              <c:pt idx="1">
                <c:v>3.7670096169812005E-2</c:v>
              </c:pt>
            </c:numLit>
          </c:yVal>
          <c:smooth val="0"/>
          <c:extLst>
            <c:ext xmlns:c16="http://schemas.microsoft.com/office/drawing/2014/chart" uri="{C3380CC4-5D6E-409C-BE32-E72D297353CC}">
              <c16:uniqueId val="{000000A9-1724-4912-B0E7-8A6416B1F822}"/>
            </c:ext>
          </c:extLst>
        </c:ser>
        <c:ser>
          <c:idx val="142"/>
          <c:order val="142"/>
          <c:tx>
            <c:v>h=130</c:v>
          </c:tx>
          <c:spPr>
            <a:ln w="3175">
              <a:solidFill>
                <a:srgbClr val="808080"/>
              </a:solidFill>
              <a:prstDash val="solid"/>
            </a:ln>
          </c:spPr>
          <c:marker>
            <c:symbol val="none"/>
          </c:marker>
          <c:dLbls>
            <c:dLbl>
              <c:idx val="0"/>
              <c:layout>
                <c:manualLayout>
                  <c:x val="-5.208333333333333E-3"/>
                  <c:y val="2.1367521367521368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130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A-1724-4912-B0E7-8A6416B1F8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31.107946641043203</c:v>
              </c:pt>
              <c:pt idx="1">
                <c:v>50</c:v>
              </c:pt>
            </c:numLit>
          </c:xVal>
          <c:yVal>
            <c:numLit>
              <c:formatCode>General</c:formatCode>
              <c:ptCount val="2"/>
              <c:pt idx="0">
                <c:v>3.8051428557868368E-2</c:v>
              </c:pt>
              <c:pt idx="1">
                <c:v>3.0724749421742484E-2</c:v>
              </c:pt>
            </c:numLit>
          </c:yVal>
          <c:smooth val="0"/>
          <c:extLst>
            <c:ext xmlns:c16="http://schemas.microsoft.com/office/drawing/2014/chart" uri="{C3380CC4-5D6E-409C-BE32-E72D297353CC}">
              <c16:uniqueId val="{000000AB-1724-4912-B0E7-8A6416B1F822}"/>
            </c:ext>
          </c:extLst>
        </c:ser>
        <c:ser>
          <c:idx val="143"/>
          <c:order val="143"/>
          <c:tx>
            <c:v>h=131</c:v>
          </c:tx>
          <c:spPr>
            <a:ln w="3175">
              <a:solidFill>
                <a:srgbClr val="808080"/>
              </a:solidFill>
              <a:prstDash val="solid"/>
            </a:ln>
          </c:spPr>
          <c:marker>
            <c:symbol val="none"/>
          </c:marker>
          <c:xVal>
            <c:numLit>
              <c:formatCode>General</c:formatCode>
              <c:ptCount val="2"/>
              <c:pt idx="0">
                <c:v>31.416355422744537</c:v>
              </c:pt>
              <c:pt idx="1">
                <c:v>31.716355422744538</c:v>
              </c:pt>
            </c:numLit>
          </c:xVal>
          <c:yVal>
            <c:numLit>
              <c:formatCode>General</c:formatCode>
              <c:ptCount val="2"/>
              <c:pt idx="0">
                <c:v>3.831732707969121E-2</c:v>
              </c:pt>
              <c:pt idx="1">
                <c:v>3.8201894488599515E-2</c:v>
              </c:pt>
            </c:numLit>
          </c:yVal>
          <c:smooth val="0"/>
          <c:extLst>
            <c:ext xmlns:c16="http://schemas.microsoft.com/office/drawing/2014/chart" uri="{C3380CC4-5D6E-409C-BE32-E72D297353CC}">
              <c16:uniqueId val="{000000AC-1724-4912-B0E7-8A6416B1F822}"/>
            </c:ext>
          </c:extLst>
        </c:ser>
        <c:ser>
          <c:idx val="144"/>
          <c:order val="144"/>
          <c:tx>
            <c:v>h=132</c:v>
          </c:tx>
          <c:spPr>
            <a:ln w="3175">
              <a:solidFill>
                <a:srgbClr val="808080"/>
              </a:solidFill>
              <a:prstDash val="solid"/>
            </a:ln>
          </c:spPr>
          <c:marker>
            <c:symbol val="none"/>
          </c:marker>
          <c:xVal>
            <c:numLit>
              <c:formatCode>General</c:formatCode>
              <c:ptCount val="2"/>
              <c:pt idx="0">
                <c:v>31.724764204445872</c:v>
              </c:pt>
              <c:pt idx="1">
                <c:v>32.024764204445873</c:v>
              </c:pt>
            </c:numLit>
          </c:xVal>
          <c:yVal>
            <c:numLit>
              <c:formatCode>General</c:formatCode>
              <c:ptCount val="2"/>
              <c:pt idx="0">
                <c:v>3.8583225601514053E-2</c:v>
              </c:pt>
              <c:pt idx="1">
                <c:v>3.8467793634801413E-2</c:v>
              </c:pt>
            </c:numLit>
          </c:yVal>
          <c:smooth val="0"/>
          <c:extLst>
            <c:ext xmlns:c16="http://schemas.microsoft.com/office/drawing/2014/chart" uri="{C3380CC4-5D6E-409C-BE32-E72D297353CC}">
              <c16:uniqueId val="{000000AD-1724-4912-B0E7-8A6416B1F822}"/>
            </c:ext>
          </c:extLst>
        </c:ser>
        <c:ser>
          <c:idx val="145"/>
          <c:order val="145"/>
          <c:tx>
            <c:v>h=133</c:v>
          </c:tx>
          <c:spPr>
            <a:ln w="3175">
              <a:solidFill>
                <a:srgbClr val="808080"/>
              </a:solidFill>
              <a:prstDash val="solid"/>
            </a:ln>
          </c:spPr>
          <c:marker>
            <c:symbol val="none"/>
          </c:marker>
          <c:xVal>
            <c:numLit>
              <c:formatCode>General</c:formatCode>
              <c:ptCount val="2"/>
              <c:pt idx="0">
                <c:v>32.033172986147207</c:v>
              </c:pt>
              <c:pt idx="1">
                <c:v>32.333172986147204</c:v>
              </c:pt>
            </c:numLit>
          </c:xVal>
          <c:yVal>
            <c:numLit>
              <c:formatCode>General</c:formatCode>
              <c:ptCount val="2"/>
              <c:pt idx="0">
                <c:v>3.8849124123336895E-2</c:v>
              </c:pt>
              <c:pt idx="1">
                <c:v>3.8733692772449715E-2</c:v>
              </c:pt>
            </c:numLit>
          </c:yVal>
          <c:smooth val="0"/>
          <c:extLst>
            <c:ext xmlns:c16="http://schemas.microsoft.com/office/drawing/2014/chart" uri="{C3380CC4-5D6E-409C-BE32-E72D297353CC}">
              <c16:uniqueId val="{000000AE-1724-4912-B0E7-8A6416B1F822}"/>
            </c:ext>
          </c:extLst>
        </c:ser>
        <c:ser>
          <c:idx val="146"/>
          <c:order val="146"/>
          <c:tx>
            <c:v>h=134</c:v>
          </c:tx>
          <c:spPr>
            <a:ln w="3175">
              <a:solidFill>
                <a:srgbClr val="808080"/>
              </a:solidFill>
              <a:prstDash val="solid"/>
            </a:ln>
          </c:spPr>
          <c:marker>
            <c:symbol val="none"/>
          </c:marker>
          <c:xVal>
            <c:numLit>
              <c:formatCode>General</c:formatCode>
              <c:ptCount val="2"/>
              <c:pt idx="0">
                <c:v>32.341581767848538</c:v>
              </c:pt>
              <c:pt idx="1">
                <c:v>32.641581767848535</c:v>
              </c:pt>
            </c:numLit>
          </c:xVal>
          <c:yVal>
            <c:numLit>
              <c:formatCode>General</c:formatCode>
              <c:ptCount val="2"/>
              <c:pt idx="0">
                <c:v>3.9115022645159744E-2</c:v>
              </c:pt>
              <c:pt idx="1">
                <c:v>3.8999591901718991E-2</c:v>
              </c:pt>
            </c:numLit>
          </c:yVal>
          <c:smooth val="0"/>
          <c:extLst>
            <c:ext xmlns:c16="http://schemas.microsoft.com/office/drawing/2014/chart" uri="{C3380CC4-5D6E-409C-BE32-E72D297353CC}">
              <c16:uniqueId val="{000000AF-1724-4912-B0E7-8A6416B1F822}"/>
            </c:ext>
          </c:extLst>
        </c:ser>
        <c:ser>
          <c:idx val="147"/>
          <c:order val="147"/>
          <c:tx>
            <c:v>h=135</c:v>
          </c:tx>
          <c:spPr>
            <a:ln w="3175">
              <a:solidFill>
                <a:srgbClr val="808080"/>
              </a:solidFill>
              <a:prstDash val="solid"/>
            </a:ln>
          </c:spPr>
          <c:marker>
            <c:symbol val="none"/>
          </c:marker>
          <c:dLbls>
            <c:dLbl>
              <c:idx val="0"/>
              <c:layout>
                <c:manualLayout>
                  <c:x val="-5.208333333333333E-3"/>
                  <c:y val="2.1367521367521368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135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0-1724-4912-B0E7-8A6416B1F8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32.649990549549869</c:v>
              </c:pt>
              <c:pt idx="1">
                <c:v>50</c:v>
              </c:pt>
            </c:numLit>
          </c:xVal>
          <c:yVal>
            <c:numLit>
              <c:formatCode>General</c:formatCode>
              <c:ptCount val="2"/>
              <c:pt idx="0">
                <c:v>3.9380921166982587E-2</c:v>
              </c:pt>
              <c:pt idx="1">
                <c:v>3.2652274479568234E-2</c:v>
              </c:pt>
            </c:numLit>
          </c:yVal>
          <c:smooth val="0"/>
          <c:extLst>
            <c:ext xmlns:c16="http://schemas.microsoft.com/office/drawing/2014/chart" uri="{C3380CC4-5D6E-409C-BE32-E72D297353CC}">
              <c16:uniqueId val="{000000B1-1724-4912-B0E7-8A6416B1F822}"/>
            </c:ext>
          </c:extLst>
        </c:ser>
        <c:ser>
          <c:idx val="148"/>
          <c:order val="148"/>
          <c:tx>
            <c:v>h=136</c:v>
          </c:tx>
          <c:spPr>
            <a:ln w="3175">
              <a:solidFill>
                <a:srgbClr val="808080"/>
              </a:solidFill>
              <a:prstDash val="solid"/>
            </a:ln>
          </c:spPr>
          <c:marker>
            <c:symbol val="none"/>
          </c:marker>
          <c:xVal>
            <c:numLit>
              <c:formatCode>General</c:formatCode>
              <c:ptCount val="2"/>
              <c:pt idx="0">
                <c:v>32.958399331251208</c:v>
              </c:pt>
              <c:pt idx="1">
                <c:v>33.258399331251205</c:v>
              </c:pt>
            </c:numLit>
          </c:xVal>
          <c:yVal>
            <c:numLit>
              <c:formatCode>General</c:formatCode>
              <c:ptCount val="2"/>
              <c:pt idx="0">
                <c:v>3.9646819688805429E-2</c:v>
              </c:pt>
              <c:pt idx="1">
                <c:v>3.9531390135795305E-2</c:v>
              </c:pt>
            </c:numLit>
          </c:yVal>
          <c:smooth val="0"/>
          <c:extLst>
            <c:ext xmlns:c16="http://schemas.microsoft.com/office/drawing/2014/chart" uri="{C3380CC4-5D6E-409C-BE32-E72D297353CC}">
              <c16:uniqueId val="{000000B2-1724-4912-B0E7-8A6416B1F822}"/>
            </c:ext>
          </c:extLst>
        </c:ser>
        <c:ser>
          <c:idx val="149"/>
          <c:order val="149"/>
          <c:tx>
            <c:v>h=137</c:v>
          </c:tx>
          <c:spPr>
            <a:ln w="3175">
              <a:solidFill>
                <a:srgbClr val="808080"/>
              </a:solidFill>
              <a:prstDash val="solid"/>
            </a:ln>
          </c:spPr>
          <c:marker>
            <c:symbol val="none"/>
          </c:marker>
          <c:xVal>
            <c:numLit>
              <c:formatCode>General</c:formatCode>
              <c:ptCount val="2"/>
              <c:pt idx="0">
                <c:v>33.266808112952539</c:v>
              </c:pt>
              <c:pt idx="1">
                <c:v>33.566808112952536</c:v>
              </c:pt>
            </c:numLit>
          </c:xVal>
          <c:yVal>
            <c:numLit>
              <c:formatCode>General</c:formatCode>
              <c:ptCount val="2"/>
              <c:pt idx="0">
                <c:v>3.9912718210628279E-2</c:v>
              </c:pt>
              <c:pt idx="1">
                <c:v>3.9797289240928527E-2</c:v>
              </c:pt>
            </c:numLit>
          </c:yVal>
          <c:smooth val="0"/>
          <c:extLst>
            <c:ext xmlns:c16="http://schemas.microsoft.com/office/drawing/2014/chart" uri="{C3380CC4-5D6E-409C-BE32-E72D297353CC}">
              <c16:uniqueId val="{000000B3-1724-4912-B0E7-8A6416B1F822}"/>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88DC-42CC-9136-EA7D79313183}"/>
            </c:ext>
          </c:extLst>
        </c:ser>
        <c:ser>
          <c:idx val="1"/>
          <c:order val="1"/>
          <c:tx>
            <c:v>x=0</c:v>
          </c:tx>
          <c:spPr>
            <a:ln w="3175">
              <a:solidFill>
                <a:srgbClr val="000000"/>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-10.178000000000001</c:v>
              </c:pt>
              <c:pt idx="1">
                <c:v>50.8</c:v>
              </c:pt>
            </c:numLit>
          </c:xVal>
          <c:yVal>
            <c:numLit>
              <c:formatCode>General</c:formatCode>
              <c:ptCount val="2"/>
              <c:pt idx="0">
                <c:v>0</c:v>
              </c:pt>
              <c:pt idx="1">
                <c:v>0</c:v>
              </c:pt>
            </c:numLit>
          </c:yVal>
          <c:smooth val="0"/>
          <c:extLst>
            <c:ext xmlns:c16="http://schemas.microsoft.com/office/drawing/2014/chart" uri="{C3380CC4-5D6E-409C-BE32-E72D297353CC}">
              <c16:uniqueId val="{00000002-88DC-42CC-9136-EA7D79313183}"/>
            </c:ext>
          </c:extLst>
        </c:ser>
        <c:ser>
          <c:idx val="2"/>
          <c:order val="2"/>
          <c:tx>
            <c:v>x=0.0002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2.0000000000000001E-4</c:v>
              </c:pt>
              <c:pt idx="1">
                <c:v>2.0000000000000001E-4</c:v>
              </c:pt>
            </c:numLit>
          </c:yVal>
          <c:smooth val="0"/>
          <c:extLst>
            <c:ext xmlns:c16="http://schemas.microsoft.com/office/drawing/2014/chart" uri="{C3380CC4-5D6E-409C-BE32-E72D297353CC}">
              <c16:uniqueId val="{00000003-88DC-42CC-9136-EA7D79313183}"/>
            </c:ext>
          </c:extLst>
        </c:ser>
        <c:ser>
          <c:idx val="3"/>
          <c:order val="3"/>
          <c:tx>
            <c:v>x=0.0004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4.0000000000000002E-4</c:v>
              </c:pt>
              <c:pt idx="1">
                <c:v>4.0000000000000002E-4</c:v>
              </c:pt>
            </c:numLit>
          </c:yVal>
          <c:smooth val="0"/>
          <c:extLst>
            <c:ext xmlns:c16="http://schemas.microsoft.com/office/drawing/2014/chart" uri="{C3380CC4-5D6E-409C-BE32-E72D297353CC}">
              <c16:uniqueId val="{00000004-88DC-42CC-9136-EA7D79313183}"/>
            </c:ext>
          </c:extLst>
        </c:ser>
        <c:ser>
          <c:idx val="4"/>
          <c:order val="4"/>
          <c:tx>
            <c:v>x=0.0006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6.0000000000000006E-4</c:v>
              </c:pt>
              <c:pt idx="1">
                <c:v>6.0000000000000006E-4</c:v>
              </c:pt>
            </c:numLit>
          </c:yVal>
          <c:smooth val="0"/>
          <c:extLst>
            <c:ext xmlns:c16="http://schemas.microsoft.com/office/drawing/2014/chart" uri="{C3380CC4-5D6E-409C-BE32-E72D297353CC}">
              <c16:uniqueId val="{00000005-88DC-42CC-9136-EA7D79313183}"/>
            </c:ext>
          </c:extLst>
        </c:ser>
        <c:ser>
          <c:idx val="5"/>
          <c:order val="5"/>
          <c:tx>
            <c:v>x=0.0008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8.0000000000000004E-4</c:v>
              </c:pt>
              <c:pt idx="1">
                <c:v>8.0000000000000004E-4</c:v>
              </c:pt>
            </c:numLit>
          </c:yVal>
          <c:smooth val="0"/>
          <c:extLst>
            <c:ext xmlns:c16="http://schemas.microsoft.com/office/drawing/2014/chart" uri="{C3380CC4-5D6E-409C-BE32-E72D297353CC}">
              <c16:uniqueId val="{00000006-88DC-42CC-9136-EA7D79313183}"/>
            </c:ext>
          </c:extLst>
        </c:ser>
        <c:ser>
          <c:idx val="6"/>
          <c:order val="6"/>
          <c:tx>
            <c:v>x=0.001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-10.289263499005965</c:v>
              </c:pt>
              <c:pt idx="1">
                <c:v>50.8</c:v>
              </c:pt>
            </c:numLit>
          </c:xVal>
          <c:yVal>
            <c:numLit>
              <c:formatCode>General</c:formatCode>
              <c:ptCount val="2"/>
              <c:pt idx="0">
                <c:v>1E-3</c:v>
              </c:pt>
              <c:pt idx="1">
                <c:v>1E-3</c:v>
              </c:pt>
            </c:numLit>
          </c:yVal>
          <c:smooth val="0"/>
          <c:extLst>
            <c:ext xmlns:c16="http://schemas.microsoft.com/office/drawing/2014/chart" uri="{C3380CC4-5D6E-409C-BE32-E72D297353CC}">
              <c16:uniqueId val="{00000008-88DC-42CC-9136-EA7D79313183}"/>
            </c:ext>
          </c:extLst>
        </c:ser>
        <c:ser>
          <c:idx val="7"/>
          <c:order val="7"/>
          <c:tx>
            <c:v>x=0.0012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1.2000000000000001E-3</c:v>
              </c:pt>
              <c:pt idx="1">
                <c:v>1.2000000000000001E-3</c:v>
              </c:pt>
            </c:numLit>
          </c:yVal>
          <c:smooth val="0"/>
          <c:extLst>
            <c:ext xmlns:c16="http://schemas.microsoft.com/office/drawing/2014/chart" uri="{C3380CC4-5D6E-409C-BE32-E72D297353CC}">
              <c16:uniqueId val="{00000009-88DC-42CC-9136-EA7D79313183}"/>
            </c:ext>
          </c:extLst>
        </c:ser>
        <c:ser>
          <c:idx val="8"/>
          <c:order val="8"/>
          <c:tx>
            <c:v>x=0.0014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1.4E-3</c:v>
              </c:pt>
              <c:pt idx="1">
                <c:v>1.4E-3</c:v>
              </c:pt>
            </c:numLit>
          </c:yVal>
          <c:smooth val="0"/>
          <c:extLst>
            <c:ext xmlns:c16="http://schemas.microsoft.com/office/drawing/2014/chart" uri="{C3380CC4-5D6E-409C-BE32-E72D297353CC}">
              <c16:uniqueId val="{0000000A-88DC-42CC-9136-EA7D79313183}"/>
            </c:ext>
          </c:extLst>
        </c:ser>
        <c:ser>
          <c:idx val="9"/>
          <c:order val="9"/>
          <c:tx>
            <c:v>x=0.0016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1.6000000000000001E-3</c:v>
              </c:pt>
              <c:pt idx="1">
                <c:v>1.6000000000000001E-3</c:v>
              </c:pt>
            </c:numLit>
          </c:yVal>
          <c:smooth val="0"/>
          <c:extLst>
            <c:ext xmlns:c16="http://schemas.microsoft.com/office/drawing/2014/chart" uri="{C3380CC4-5D6E-409C-BE32-E72D297353CC}">
              <c16:uniqueId val="{0000000B-88DC-42CC-9136-EA7D79313183}"/>
            </c:ext>
          </c:extLst>
        </c:ser>
        <c:ser>
          <c:idx val="10"/>
          <c:order val="10"/>
          <c:tx>
            <c:v>x=0.0018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1.8000000000000002E-3</c:v>
              </c:pt>
              <c:pt idx="1">
                <c:v>1.8000000000000002E-3</c:v>
              </c:pt>
            </c:numLit>
          </c:yVal>
          <c:smooth val="0"/>
          <c:extLst>
            <c:ext xmlns:c16="http://schemas.microsoft.com/office/drawing/2014/chart" uri="{C3380CC4-5D6E-409C-BE32-E72D297353CC}">
              <c16:uniqueId val="{0000000C-88DC-42CC-9136-EA7D79313183}"/>
            </c:ext>
          </c:extLst>
        </c:ser>
        <c:ser>
          <c:idx val="11"/>
          <c:order val="11"/>
          <c:tx>
            <c:v>x=0.002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-7.7226612326043735</c:v>
              </c:pt>
              <c:pt idx="1">
                <c:v>50.8</c:v>
              </c:pt>
            </c:numLit>
          </c:xVal>
          <c:yVal>
            <c:numLit>
              <c:formatCode>General</c:formatCode>
              <c:ptCount val="2"/>
              <c:pt idx="0">
                <c:v>2E-3</c:v>
              </c:pt>
              <c:pt idx="1">
                <c:v>2E-3</c:v>
              </c:pt>
            </c:numLit>
          </c:yVal>
          <c:smooth val="0"/>
          <c:extLst>
            <c:ext xmlns:c16="http://schemas.microsoft.com/office/drawing/2014/chart" uri="{C3380CC4-5D6E-409C-BE32-E72D297353CC}">
              <c16:uniqueId val="{0000000E-88DC-42CC-9136-EA7D79313183}"/>
            </c:ext>
          </c:extLst>
        </c:ser>
        <c:ser>
          <c:idx val="12"/>
          <c:order val="12"/>
          <c:tx>
            <c:v>x=0.0022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2.2000000000000001E-3</c:v>
              </c:pt>
              <c:pt idx="1">
                <c:v>2.2000000000000001E-3</c:v>
              </c:pt>
            </c:numLit>
          </c:yVal>
          <c:smooth val="0"/>
          <c:extLst>
            <c:ext xmlns:c16="http://schemas.microsoft.com/office/drawing/2014/chart" uri="{C3380CC4-5D6E-409C-BE32-E72D297353CC}">
              <c16:uniqueId val="{0000000F-88DC-42CC-9136-EA7D79313183}"/>
            </c:ext>
          </c:extLst>
        </c:ser>
        <c:ser>
          <c:idx val="13"/>
          <c:order val="13"/>
          <c:tx>
            <c:v>x=0.0024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2.4000000000000002E-3</c:v>
              </c:pt>
              <c:pt idx="1">
                <c:v>2.4000000000000002E-3</c:v>
              </c:pt>
            </c:numLit>
          </c:yVal>
          <c:smooth val="0"/>
          <c:extLst>
            <c:ext xmlns:c16="http://schemas.microsoft.com/office/drawing/2014/chart" uri="{C3380CC4-5D6E-409C-BE32-E72D297353CC}">
              <c16:uniqueId val="{00000010-88DC-42CC-9136-EA7D79313183}"/>
            </c:ext>
          </c:extLst>
        </c:ser>
        <c:ser>
          <c:idx val="14"/>
          <c:order val="14"/>
          <c:tx>
            <c:v>x=0.0026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2.6000000000000003E-3</c:v>
              </c:pt>
              <c:pt idx="1">
                <c:v>2.6000000000000003E-3</c:v>
              </c:pt>
            </c:numLit>
          </c:yVal>
          <c:smooth val="0"/>
          <c:extLst>
            <c:ext xmlns:c16="http://schemas.microsoft.com/office/drawing/2014/chart" uri="{C3380CC4-5D6E-409C-BE32-E72D297353CC}">
              <c16:uniqueId val="{00000011-88DC-42CC-9136-EA7D79313183}"/>
            </c:ext>
          </c:extLst>
        </c:ser>
        <c:ser>
          <c:idx val="15"/>
          <c:order val="15"/>
          <c:tx>
            <c:v>x=0.0028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2.8E-3</c:v>
              </c:pt>
              <c:pt idx="1">
                <c:v>2.8E-3</c:v>
              </c:pt>
            </c:numLit>
          </c:yVal>
          <c:smooth val="0"/>
          <c:extLst>
            <c:ext xmlns:c16="http://schemas.microsoft.com/office/drawing/2014/chart" uri="{C3380CC4-5D6E-409C-BE32-E72D297353CC}">
              <c16:uniqueId val="{00000012-88DC-42CC-9136-EA7D79313183}"/>
            </c:ext>
          </c:extLst>
        </c:ser>
        <c:ser>
          <c:idx val="16"/>
          <c:order val="16"/>
          <c:tx>
            <c:v>x=0.003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-3.0828113320079522</c:v>
              </c:pt>
              <c:pt idx="1">
                <c:v>50.8</c:v>
              </c:pt>
            </c:numLit>
          </c:xVal>
          <c:yVal>
            <c:numLit>
              <c:formatCode>General</c:formatCode>
              <c:ptCount val="2"/>
              <c:pt idx="0">
                <c:v>3.0000000000000001E-3</c:v>
              </c:pt>
              <c:pt idx="1">
                <c:v>3.0000000000000001E-3</c:v>
              </c:pt>
            </c:numLit>
          </c:yVal>
          <c:smooth val="0"/>
          <c:extLst>
            <c:ext xmlns:c16="http://schemas.microsoft.com/office/drawing/2014/chart" uri="{C3380CC4-5D6E-409C-BE32-E72D297353CC}">
              <c16:uniqueId val="{00000014-88DC-42CC-9136-EA7D79313183}"/>
            </c:ext>
          </c:extLst>
        </c:ser>
        <c:ser>
          <c:idx val="17"/>
          <c:order val="17"/>
          <c:tx>
            <c:v>x=0.0032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3.2000000000000002E-3</c:v>
              </c:pt>
              <c:pt idx="1">
                <c:v>3.2000000000000002E-3</c:v>
              </c:pt>
            </c:numLit>
          </c:yVal>
          <c:smooth val="0"/>
          <c:extLst>
            <c:ext xmlns:c16="http://schemas.microsoft.com/office/drawing/2014/chart" uri="{C3380CC4-5D6E-409C-BE32-E72D297353CC}">
              <c16:uniqueId val="{00000015-88DC-42CC-9136-EA7D79313183}"/>
            </c:ext>
          </c:extLst>
        </c:ser>
        <c:ser>
          <c:idx val="18"/>
          <c:order val="18"/>
          <c:tx>
            <c:v>x=0.0034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3.4000000000000002E-3</c:v>
              </c:pt>
              <c:pt idx="1">
                <c:v>3.4000000000000002E-3</c:v>
              </c:pt>
            </c:numLit>
          </c:yVal>
          <c:smooth val="0"/>
          <c:extLst>
            <c:ext xmlns:c16="http://schemas.microsoft.com/office/drawing/2014/chart" uri="{C3380CC4-5D6E-409C-BE32-E72D297353CC}">
              <c16:uniqueId val="{00000016-88DC-42CC-9136-EA7D79313183}"/>
            </c:ext>
          </c:extLst>
        </c:ser>
        <c:ser>
          <c:idx val="19"/>
          <c:order val="19"/>
          <c:tx>
            <c:v>x=0.0036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3.6000000000000003E-3</c:v>
              </c:pt>
              <c:pt idx="1">
                <c:v>3.6000000000000003E-3</c:v>
              </c:pt>
            </c:numLit>
          </c:yVal>
          <c:smooth val="0"/>
          <c:extLst>
            <c:ext xmlns:c16="http://schemas.microsoft.com/office/drawing/2014/chart" uri="{C3380CC4-5D6E-409C-BE32-E72D297353CC}">
              <c16:uniqueId val="{00000017-88DC-42CC-9136-EA7D79313183}"/>
            </c:ext>
          </c:extLst>
        </c:ser>
        <c:ser>
          <c:idx val="20"/>
          <c:order val="20"/>
          <c:tx>
            <c:v>x=0.0038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3.8E-3</c:v>
              </c:pt>
              <c:pt idx="1">
                <c:v>3.8E-3</c:v>
              </c:pt>
            </c:numLit>
          </c:yVal>
          <c:smooth val="0"/>
          <c:extLst>
            <c:ext xmlns:c16="http://schemas.microsoft.com/office/drawing/2014/chart" uri="{C3380CC4-5D6E-409C-BE32-E72D297353CC}">
              <c16:uniqueId val="{00000018-88DC-42CC-9136-EA7D79313183}"/>
            </c:ext>
          </c:extLst>
        </c:ser>
        <c:ser>
          <c:idx val="21"/>
          <c:order val="21"/>
          <c:tx>
            <c:v>x=0.004</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0.37569145129224651</c:v>
              </c:pt>
              <c:pt idx="1">
                <c:v>50.8</c:v>
              </c:pt>
            </c:numLit>
          </c:xVal>
          <c:yVal>
            <c:numLit>
              <c:formatCode>General</c:formatCode>
              <c:ptCount val="2"/>
              <c:pt idx="0">
                <c:v>4.0000000000000001E-3</c:v>
              </c:pt>
              <c:pt idx="1">
                <c:v>4.0000000000000001E-3</c:v>
              </c:pt>
            </c:numLit>
          </c:yVal>
          <c:smooth val="0"/>
          <c:extLst>
            <c:ext xmlns:c16="http://schemas.microsoft.com/office/drawing/2014/chart" uri="{C3380CC4-5D6E-409C-BE32-E72D297353CC}">
              <c16:uniqueId val="{0000001A-88DC-42CC-9136-EA7D79313183}"/>
            </c:ext>
          </c:extLst>
        </c:ser>
        <c:ser>
          <c:idx val="22"/>
          <c:order val="22"/>
          <c:tx>
            <c:v>x=0.0042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4.2000000000000006E-3</c:v>
              </c:pt>
              <c:pt idx="1">
                <c:v>4.2000000000000006E-3</c:v>
              </c:pt>
            </c:numLit>
          </c:yVal>
          <c:smooth val="0"/>
          <c:extLst>
            <c:ext xmlns:c16="http://schemas.microsoft.com/office/drawing/2014/chart" uri="{C3380CC4-5D6E-409C-BE32-E72D297353CC}">
              <c16:uniqueId val="{0000001B-88DC-42CC-9136-EA7D79313183}"/>
            </c:ext>
          </c:extLst>
        </c:ser>
        <c:ser>
          <c:idx val="23"/>
          <c:order val="23"/>
          <c:tx>
            <c:v>x=0.0044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4.4000000000000003E-3</c:v>
              </c:pt>
              <c:pt idx="1">
                <c:v>4.4000000000000003E-3</c:v>
              </c:pt>
            </c:numLit>
          </c:yVal>
          <c:smooth val="0"/>
          <c:extLst>
            <c:ext xmlns:c16="http://schemas.microsoft.com/office/drawing/2014/chart" uri="{C3380CC4-5D6E-409C-BE32-E72D297353CC}">
              <c16:uniqueId val="{0000001C-88DC-42CC-9136-EA7D79313183}"/>
            </c:ext>
          </c:extLst>
        </c:ser>
        <c:ser>
          <c:idx val="24"/>
          <c:order val="24"/>
          <c:tx>
            <c:v>x=0.0046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4.5999999999999999E-3</c:v>
              </c:pt>
              <c:pt idx="1">
                <c:v>4.5999999999999999E-3</c:v>
              </c:pt>
            </c:numLit>
          </c:yVal>
          <c:smooth val="0"/>
          <c:extLst>
            <c:ext xmlns:c16="http://schemas.microsoft.com/office/drawing/2014/chart" uri="{C3380CC4-5D6E-409C-BE32-E72D297353CC}">
              <c16:uniqueId val="{0000001D-88DC-42CC-9136-EA7D79313183}"/>
            </c:ext>
          </c:extLst>
        </c:ser>
        <c:ser>
          <c:idx val="25"/>
          <c:order val="25"/>
          <c:tx>
            <c:v>x=0.0048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4.8000000000000004E-3</c:v>
              </c:pt>
              <c:pt idx="1">
                <c:v>4.8000000000000004E-3</c:v>
              </c:pt>
            </c:numLit>
          </c:yVal>
          <c:smooth val="0"/>
          <c:extLst>
            <c:ext xmlns:c16="http://schemas.microsoft.com/office/drawing/2014/chart" uri="{C3380CC4-5D6E-409C-BE32-E72D297353CC}">
              <c16:uniqueId val="{0000001E-88DC-42CC-9136-EA7D79313183}"/>
            </c:ext>
          </c:extLst>
        </c:ser>
        <c:ser>
          <c:idx val="26"/>
          <c:order val="26"/>
          <c:tx>
            <c:v>x=0.005</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0.005</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3.4233648111332013</c:v>
              </c:pt>
              <c:pt idx="1">
                <c:v>50.8</c:v>
              </c:pt>
            </c:numLit>
          </c:xVal>
          <c:yVal>
            <c:numLit>
              <c:formatCode>General</c:formatCode>
              <c:ptCount val="2"/>
              <c:pt idx="0">
                <c:v>5.0000000000000001E-3</c:v>
              </c:pt>
              <c:pt idx="1">
                <c:v>5.0000000000000001E-3</c:v>
              </c:pt>
            </c:numLit>
          </c:yVal>
          <c:smooth val="0"/>
          <c:extLst>
            <c:ext xmlns:c16="http://schemas.microsoft.com/office/drawing/2014/chart" uri="{C3380CC4-5D6E-409C-BE32-E72D297353CC}">
              <c16:uniqueId val="{00000020-88DC-42CC-9136-EA7D79313183}"/>
            </c:ext>
          </c:extLst>
        </c:ser>
        <c:ser>
          <c:idx val="27"/>
          <c:order val="27"/>
          <c:tx>
            <c:v>x=0.0052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5.2000000000000006E-3</c:v>
              </c:pt>
              <c:pt idx="1">
                <c:v>5.2000000000000006E-3</c:v>
              </c:pt>
            </c:numLit>
          </c:yVal>
          <c:smooth val="0"/>
          <c:extLst>
            <c:ext xmlns:c16="http://schemas.microsoft.com/office/drawing/2014/chart" uri="{C3380CC4-5D6E-409C-BE32-E72D297353CC}">
              <c16:uniqueId val="{00000021-88DC-42CC-9136-EA7D79313183}"/>
            </c:ext>
          </c:extLst>
        </c:ser>
        <c:ser>
          <c:idx val="28"/>
          <c:order val="28"/>
          <c:tx>
            <c:v>x=0.0054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5.4000000000000003E-3</c:v>
              </c:pt>
              <c:pt idx="1">
                <c:v>5.4000000000000003E-3</c:v>
              </c:pt>
            </c:numLit>
          </c:yVal>
          <c:smooth val="0"/>
          <c:extLst>
            <c:ext xmlns:c16="http://schemas.microsoft.com/office/drawing/2014/chart" uri="{C3380CC4-5D6E-409C-BE32-E72D297353CC}">
              <c16:uniqueId val="{00000022-88DC-42CC-9136-EA7D79313183}"/>
            </c:ext>
          </c:extLst>
        </c:ser>
        <c:ser>
          <c:idx val="29"/>
          <c:order val="29"/>
          <c:tx>
            <c:v>x=0.0056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5.5999999999999999E-3</c:v>
              </c:pt>
              <c:pt idx="1">
                <c:v>5.5999999999999999E-3</c:v>
              </c:pt>
            </c:numLit>
          </c:yVal>
          <c:smooth val="0"/>
          <c:extLst>
            <c:ext xmlns:c16="http://schemas.microsoft.com/office/drawing/2014/chart" uri="{C3380CC4-5D6E-409C-BE32-E72D297353CC}">
              <c16:uniqueId val="{00000023-88DC-42CC-9136-EA7D79313183}"/>
            </c:ext>
          </c:extLst>
        </c:ser>
        <c:ser>
          <c:idx val="30"/>
          <c:order val="30"/>
          <c:tx>
            <c:v>x=0.0058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5.8000000000000005E-3</c:v>
              </c:pt>
              <c:pt idx="1">
                <c:v>5.8000000000000005E-3</c:v>
              </c:pt>
            </c:numLit>
          </c:yVal>
          <c:smooth val="0"/>
          <c:extLst>
            <c:ext xmlns:c16="http://schemas.microsoft.com/office/drawing/2014/chart" uri="{C3380CC4-5D6E-409C-BE32-E72D297353CC}">
              <c16:uniqueId val="{00000024-88DC-42CC-9136-EA7D79313183}"/>
            </c:ext>
          </c:extLst>
        </c:ser>
        <c:ser>
          <c:idx val="31"/>
          <c:order val="31"/>
          <c:tx>
            <c:v>x=0.006</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0.006</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5-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5.9567697813121274</c:v>
              </c:pt>
              <c:pt idx="1">
                <c:v>50.8</c:v>
              </c:pt>
            </c:numLit>
          </c:xVal>
          <c:yVal>
            <c:numLit>
              <c:formatCode>General</c:formatCode>
              <c:ptCount val="2"/>
              <c:pt idx="0">
                <c:v>6.0000000000000001E-3</c:v>
              </c:pt>
              <c:pt idx="1">
                <c:v>6.0000000000000001E-3</c:v>
              </c:pt>
            </c:numLit>
          </c:yVal>
          <c:smooth val="0"/>
          <c:extLst>
            <c:ext xmlns:c16="http://schemas.microsoft.com/office/drawing/2014/chart" uri="{C3380CC4-5D6E-409C-BE32-E72D297353CC}">
              <c16:uniqueId val="{00000026-88DC-42CC-9136-EA7D79313183}"/>
            </c:ext>
          </c:extLst>
        </c:ser>
        <c:ser>
          <c:idx val="32"/>
          <c:order val="32"/>
          <c:tx>
            <c:v>x=0.0062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6.2000000000000006E-3</c:v>
              </c:pt>
              <c:pt idx="1">
                <c:v>6.2000000000000006E-3</c:v>
              </c:pt>
            </c:numLit>
          </c:yVal>
          <c:smooth val="0"/>
          <c:extLst>
            <c:ext xmlns:c16="http://schemas.microsoft.com/office/drawing/2014/chart" uri="{C3380CC4-5D6E-409C-BE32-E72D297353CC}">
              <c16:uniqueId val="{00000027-88DC-42CC-9136-EA7D79313183}"/>
            </c:ext>
          </c:extLst>
        </c:ser>
        <c:ser>
          <c:idx val="33"/>
          <c:order val="33"/>
          <c:tx>
            <c:v>x=0.0064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6.4000000000000003E-3</c:v>
              </c:pt>
              <c:pt idx="1">
                <c:v>6.4000000000000003E-3</c:v>
              </c:pt>
            </c:numLit>
          </c:yVal>
          <c:smooth val="0"/>
          <c:extLst>
            <c:ext xmlns:c16="http://schemas.microsoft.com/office/drawing/2014/chart" uri="{C3380CC4-5D6E-409C-BE32-E72D297353CC}">
              <c16:uniqueId val="{00000028-88DC-42CC-9136-EA7D79313183}"/>
            </c:ext>
          </c:extLst>
        </c:ser>
        <c:ser>
          <c:idx val="34"/>
          <c:order val="34"/>
          <c:tx>
            <c:v>x=0.0066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6.6E-3</c:v>
              </c:pt>
              <c:pt idx="1">
                <c:v>6.6E-3</c:v>
              </c:pt>
            </c:numLit>
          </c:yVal>
          <c:smooth val="0"/>
          <c:extLst>
            <c:ext xmlns:c16="http://schemas.microsoft.com/office/drawing/2014/chart" uri="{C3380CC4-5D6E-409C-BE32-E72D297353CC}">
              <c16:uniqueId val="{00000029-88DC-42CC-9136-EA7D79313183}"/>
            </c:ext>
          </c:extLst>
        </c:ser>
        <c:ser>
          <c:idx val="35"/>
          <c:order val="35"/>
          <c:tx>
            <c:v>x=0.0068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6.8000000000000005E-3</c:v>
              </c:pt>
              <c:pt idx="1">
                <c:v>6.8000000000000005E-3</c:v>
              </c:pt>
            </c:numLit>
          </c:yVal>
          <c:smooth val="0"/>
          <c:extLst>
            <c:ext xmlns:c16="http://schemas.microsoft.com/office/drawing/2014/chart" uri="{C3380CC4-5D6E-409C-BE32-E72D297353CC}">
              <c16:uniqueId val="{0000002A-88DC-42CC-9136-EA7D79313183}"/>
            </c:ext>
          </c:extLst>
        </c:ser>
        <c:ser>
          <c:idx val="36"/>
          <c:order val="36"/>
          <c:tx>
            <c:v>x=0.007</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0.007</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8.145222266401591</c:v>
              </c:pt>
              <c:pt idx="1">
                <c:v>50.8</c:v>
              </c:pt>
            </c:numLit>
          </c:xVal>
          <c:yVal>
            <c:numLit>
              <c:formatCode>General</c:formatCode>
              <c:ptCount val="2"/>
              <c:pt idx="0">
                <c:v>7.0000000000000001E-3</c:v>
              </c:pt>
              <c:pt idx="1">
                <c:v>7.0000000000000001E-3</c:v>
              </c:pt>
            </c:numLit>
          </c:yVal>
          <c:smooth val="0"/>
          <c:extLst>
            <c:ext xmlns:c16="http://schemas.microsoft.com/office/drawing/2014/chart" uri="{C3380CC4-5D6E-409C-BE32-E72D297353CC}">
              <c16:uniqueId val="{0000002C-88DC-42CC-9136-EA7D79313183}"/>
            </c:ext>
          </c:extLst>
        </c:ser>
        <c:ser>
          <c:idx val="37"/>
          <c:order val="37"/>
          <c:tx>
            <c:v>x=0.0072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7.2000000000000007E-3</c:v>
              </c:pt>
              <c:pt idx="1">
                <c:v>7.2000000000000007E-3</c:v>
              </c:pt>
            </c:numLit>
          </c:yVal>
          <c:smooth val="0"/>
          <c:extLst>
            <c:ext xmlns:c16="http://schemas.microsoft.com/office/drawing/2014/chart" uri="{C3380CC4-5D6E-409C-BE32-E72D297353CC}">
              <c16:uniqueId val="{0000002D-88DC-42CC-9136-EA7D79313183}"/>
            </c:ext>
          </c:extLst>
        </c:ser>
        <c:ser>
          <c:idx val="38"/>
          <c:order val="38"/>
          <c:tx>
            <c:v>x=0.0074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7.4000000000000003E-3</c:v>
              </c:pt>
              <c:pt idx="1">
                <c:v>7.4000000000000003E-3</c:v>
              </c:pt>
            </c:numLit>
          </c:yVal>
          <c:smooth val="0"/>
          <c:extLst>
            <c:ext xmlns:c16="http://schemas.microsoft.com/office/drawing/2014/chart" uri="{C3380CC4-5D6E-409C-BE32-E72D297353CC}">
              <c16:uniqueId val="{0000002E-88DC-42CC-9136-EA7D79313183}"/>
            </c:ext>
          </c:extLst>
        </c:ser>
        <c:ser>
          <c:idx val="39"/>
          <c:order val="39"/>
          <c:tx>
            <c:v>x=0.0076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7.6E-3</c:v>
              </c:pt>
              <c:pt idx="1">
                <c:v>7.6E-3</c:v>
              </c:pt>
            </c:numLit>
          </c:yVal>
          <c:smooth val="0"/>
          <c:extLst>
            <c:ext xmlns:c16="http://schemas.microsoft.com/office/drawing/2014/chart" uri="{C3380CC4-5D6E-409C-BE32-E72D297353CC}">
              <c16:uniqueId val="{0000002F-88DC-42CC-9136-EA7D79313183}"/>
            </c:ext>
          </c:extLst>
        </c:ser>
        <c:ser>
          <c:idx val="40"/>
          <c:order val="40"/>
          <c:tx>
            <c:v>x=0.0078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7.8000000000000005E-3</c:v>
              </c:pt>
              <c:pt idx="1">
                <c:v>7.8000000000000005E-3</c:v>
              </c:pt>
            </c:numLit>
          </c:yVal>
          <c:smooth val="0"/>
          <c:extLst>
            <c:ext xmlns:c16="http://schemas.microsoft.com/office/drawing/2014/chart" uri="{C3380CC4-5D6E-409C-BE32-E72D297353CC}">
              <c16:uniqueId val="{00000030-88DC-42CC-9136-EA7D79313183}"/>
            </c:ext>
          </c:extLst>
        </c:ser>
        <c:ser>
          <c:idx val="41"/>
          <c:order val="41"/>
          <c:tx>
            <c:v>x=0.008</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0.008</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1-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10.057816302186881</c:v>
              </c:pt>
              <c:pt idx="1">
                <c:v>50.8</c:v>
              </c:pt>
            </c:numLit>
          </c:xVal>
          <c:yVal>
            <c:numLit>
              <c:formatCode>General</c:formatCode>
              <c:ptCount val="2"/>
              <c:pt idx="0">
                <c:v>8.0000000000000002E-3</c:v>
              </c:pt>
              <c:pt idx="1">
                <c:v>8.0000000000000002E-3</c:v>
              </c:pt>
            </c:numLit>
          </c:yVal>
          <c:smooth val="0"/>
          <c:extLst>
            <c:ext xmlns:c16="http://schemas.microsoft.com/office/drawing/2014/chart" uri="{C3380CC4-5D6E-409C-BE32-E72D297353CC}">
              <c16:uniqueId val="{00000032-88DC-42CC-9136-EA7D79313183}"/>
            </c:ext>
          </c:extLst>
        </c:ser>
        <c:ser>
          <c:idx val="42"/>
          <c:order val="42"/>
          <c:tx>
            <c:v>x=0.0082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8.2000000000000007E-3</c:v>
              </c:pt>
              <c:pt idx="1">
                <c:v>8.2000000000000007E-3</c:v>
              </c:pt>
            </c:numLit>
          </c:yVal>
          <c:smooth val="0"/>
          <c:extLst>
            <c:ext xmlns:c16="http://schemas.microsoft.com/office/drawing/2014/chart" uri="{C3380CC4-5D6E-409C-BE32-E72D297353CC}">
              <c16:uniqueId val="{00000033-88DC-42CC-9136-EA7D79313183}"/>
            </c:ext>
          </c:extLst>
        </c:ser>
        <c:ser>
          <c:idx val="43"/>
          <c:order val="43"/>
          <c:tx>
            <c:v>x=0.0084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8.4000000000000012E-3</c:v>
              </c:pt>
              <c:pt idx="1">
                <c:v>8.4000000000000012E-3</c:v>
              </c:pt>
            </c:numLit>
          </c:yVal>
          <c:smooth val="0"/>
          <c:extLst>
            <c:ext xmlns:c16="http://schemas.microsoft.com/office/drawing/2014/chart" uri="{C3380CC4-5D6E-409C-BE32-E72D297353CC}">
              <c16:uniqueId val="{00000034-88DC-42CC-9136-EA7D79313183}"/>
            </c:ext>
          </c:extLst>
        </c:ser>
        <c:ser>
          <c:idx val="44"/>
          <c:order val="44"/>
          <c:tx>
            <c:v>x=0.0086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8.6E-3</c:v>
              </c:pt>
              <c:pt idx="1">
                <c:v>8.6E-3</c:v>
              </c:pt>
            </c:numLit>
          </c:yVal>
          <c:smooth val="0"/>
          <c:extLst>
            <c:ext xmlns:c16="http://schemas.microsoft.com/office/drawing/2014/chart" uri="{C3380CC4-5D6E-409C-BE32-E72D297353CC}">
              <c16:uniqueId val="{00000035-88DC-42CC-9136-EA7D79313183}"/>
            </c:ext>
          </c:extLst>
        </c:ser>
        <c:ser>
          <c:idx val="45"/>
          <c:order val="45"/>
          <c:tx>
            <c:v>x=0.0088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8.8000000000000005E-3</c:v>
              </c:pt>
              <c:pt idx="1">
                <c:v>8.8000000000000005E-3</c:v>
              </c:pt>
            </c:numLit>
          </c:yVal>
          <c:smooth val="0"/>
          <c:extLst>
            <c:ext xmlns:c16="http://schemas.microsoft.com/office/drawing/2014/chart" uri="{C3380CC4-5D6E-409C-BE32-E72D297353CC}">
              <c16:uniqueId val="{00000036-88DC-42CC-9136-EA7D79313183}"/>
            </c:ext>
          </c:extLst>
        </c:ser>
        <c:ser>
          <c:idx val="46"/>
          <c:order val="46"/>
          <c:tx>
            <c:v>x=0.009</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0.009</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11.774330019880717</c:v>
              </c:pt>
              <c:pt idx="1">
                <c:v>50.8</c:v>
              </c:pt>
            </c:numLit>
          </c:xVal>
          <c:yVal>
            <c:numLit>
              <c:formatCode>General</c:formatCode>
              <c:ptCount val="2"/>
              <c:pt idx="0">
                <c:v>9.0000000000000011E-3</c:v>
              </c:pt>
              <c:pt idx="1">
                <c:v>9.0000000000000011E-3</c:v>
              </c:pt>
            </c:numLit>
          </c:yVal>
          <c:smooth val="0"/>
          <c:extLst>
            <c:ext xmlns:c16="http://schemas.microsoft.com/office/drawing/2014/chart" uri="{C3380CC4-5D6E-409C-BE32-E72D297353CC}">
              <c16:uniqueId val="{00000038-88DC-42CC-9136-EA7D79313183}"/>
            </c:ext>
          </c:extLst>
        </c:ser>
        <c:ser>
          <c:idx val="47"/>
          <c:order val="47"/>
          <c:tx>
            <c:v>x=0.0092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9.1999999999999998E-3</c:v>
              </c:pt>
              <c:pt idx="1">
                <c:v>9.1999999999999998E-3</c:v>
              </c:pt>
            </c:numLit>
          </c:yVal>
          <c:smooth val="0"/>
          <c:extLst>
            <c:ext xmlns:c16="http://schemas.microsoft.com/office/drawing/2014/chart" uri="{C3380CC4-5D6E-409C-BE32-E72D297353CC}">
              <c16:uniqueId val="{00000039-88DC-42CC-9136-EA7D79313183}"/>
            </c:ext>
          </c:extLst>
        </c:ser>
        <c:ser>
          <c:idx val="48"/>
          <c:order val="48"/>
          <c:tx>
            <c:v>x=0.0094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9.4000000000000004E-3</c:v>
              </c:pt>
              <c:pt idx="1">
                <c:v>9.4000000000000004E-3</c:v>
              </c:pt>
            </c:numLit>
          </c:yVal>
          <c:smooth val="0"/>
          <c:extLst>
            <c:ext xmlns:c16="http://schemas.microsoft.com/office/drawing/2014/chart" uri="{C3380CC4-5D6E-409C-BE32-E72D297353CC}">
              <c16:uniqueId val="{0000003A-88DC-42CC-9136-EA7D79313183}"/>
            </c:ext>
          </c:extLst>
        </c:ser>
        <c:ser>
          <c:idx val="49"/>
          <c:order val="49"/>
          <c:tx>
            <c:v>x=0.0096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9.6000000000000009E-3</c:v>
              </c:pt>
              <c:pt idx="1">
                <c:v>9.6000000000000009E-3</c:v>
              </c:pt>
            </c:numLit>
          </c:yVal>
          <c:smooth val="0"/>
          <c:extLst>
            <c:ext xmlns:c16="http://schemas.microsoft.com/office/drawing/2014/chart" uri="{C3380CC4-5D6E-409C-BE32-E72D297353CC}">
              <c16:uniqueId val="{0000003B-88DC-42CC-9136-EA7D79313183}"/>
            </c:ext>
          </c:extLst>
        </c:ser>
        <c:ser>
          <c:idx val="50"/>
          <c:order val="50"/>
          <c:tx>
            <c:v>x=0.0098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9.7999999999999997E-3</c:v>
              </c:pt>
              <c:pt idx="1">
                <c:v>9.7999999999999997E-3</c:v>
              </c:pt>
            </c:numLit>
          </c:yVal>
          <c:smooth val="0"/>
          <c:extLst>
            <c:ext xmlns:c16="http://schemas.microsoft.com/office/drawing/2014/chart" uri="{C3380CC4-5D6E-409C-BE32-E72D297353CC}">
              <c16:uniqueId val="{0000003C-88DC-42CC-9136-EA7D79313183}"/>
            </c:ext>
          </c:extLst>
        </c:ser>
        <c:ser>
          <c:idx val="51"/>
          <c:order val="51"/>
          <c:tx>
            <c:v>x=0.01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D-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13.314023856858848</c:v>
              </c:pt>
              <c:pt idx="1">
                <c:v>50.8</c:v>
              </c:pt>
            </c:numLit>
          </c:xVal>
          <c:yVal>
            <c:numLit>
              <c:formatCode>General</c:formatCode>
              <c:ptCount val="2"/>
              <c:pt idx="0">
                <c:v>0.01</c:v>
              </c:pt>
              <c:pt idx="1">
                <c:v>0.01</c:v>
              </c:pt>
            </c:numLit>
          </c:yVal>
          <c:smooth val="0"/>
          <c:extLst>
            <c:ext xmlns:c16="http://schemas.microsoft.com/office/drawing/2014/chart" uri="{C3380CC4-5D6E-409C-BE32-E72D297353CC}">
              <c16:uniqueId val="{0000003E-88DC-42CC-9136-EA7D79313183}"/>
            </c:ext>
          </c:extLst>
        </c:ser>
        <c:ser>
          <c:idx val="52"/>
          <c:order val="52"/>
          <c:tx>
            <c:v>x=0.0102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1.0200000000000001E-2</c:v>
              </c:pt>
              <c:pt idx="1">
                <c:v>1.0200000000000001E-2</c:v>
              </c:pt>
            </c:numLit>
          </c:yVal>
          <c:smooth val="0"/>
          <c:extLst>
            <c:ext xmlns:c16="http://schemas.microsoft.com/office/drawing/2014/chart" uri="{C3380CC4-5D6E-409C-BE32-E72D297353CC}">
              <c16:uniqueId val="{0000003F-88DC-42CC-9136-EA7D79313183}"/>
            </c:ext>
          </c:extLst>
        </c:ser>
        <c:ser>
          <c:idx val="53"/>
          <c:order val="53"/>
          <c:tx>
            <c:v>x=0.0104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1.0400000000000001E-2</c:v>
              </c:pt>
              <c:pt idx="1">
                <c:v>1.0400000000000001E-2</c:v>
              </c:pt>
            </c:numLit>
          </c:yVal>
          <c:smooth val="0"/>
          <c:extLst>
            <c:ext xmlns:c16="http://schemas.microsoft.com/office/drawing/2014/chart" uri="{C3380CC4-5D6E-409C-BE32-E72D297353CC}">
              <c16:uniqueId val="{00000040-88DC-42CC-9136-EA7D79313183}"/>
            </c:ext>
          </c:extLst>
        </c:ser>
        <c:ser>
          <c:idx val="54"/>
          <c:order val="54"/>
          <c:tx>
            <c:v>x=0.0106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1.06E-2</c:v>
              </c:pt>
              <c:pt idx="1">
                <c:v>1.06E-2</c:v>
              </c:pt>
            </c:numLit>
          </c:yVal>
          <c:smooth val="0"/>
          <c:extLst>
            <c:ext xmlns:c16="http://schemas.microsoft.com/office/drawing/2014/chart" uri="{C3380CC4-5D6E-409C-BE32-E72D297353CC}">
              <c16:uniqueId val="{00000041-88DC-42CC-9136-EA7D79313183}"/>
            </c:ext>
          </c:extLst>
        </c:ser>
        <c:ser>
          <c:idx val="55"/>
          <c:order val="55"/>
          <c:tx>
            <c:v>x=0.0108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1.0800000000000001E-2</c:v>
              </c:pt>
              <c:pt idx="1">
                <c:v>1.0800000000000001E-2</c:v>
              </c:pt>
            </c:numLit>
          </c:yVal>
          <c:smooth val="0"/>
          <c:extLst>
            <c:ext xmlns:c16="http://schemas.microsoft.com/office/drawing/2014/chart" uri="{C3380CC4-5D6E-409C-BE32-E72D297353CC}">
              <c16:uniqueId val="{00000042-88DC-42CC-9136-EA7D79313183}"/>
            </c:ext>
          </c:extLst>
        </c:ser>
        <c:ser>
          <c:idx val="56"/>
          <c:order val="56"/>
          <c:tx>
            <c:v>x=0.011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3-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14.726916302186879</c:v>
              </c:pt>
              <c:pt idx="1">
                <c:v>50.8</c:v>
              </c:pt>
            </c:numLit>
          </c:xVal>
          <c:yVal>
            <c:numLit>
              <c:formatCode>General</c:formatCode>
              <c:ptCount val="2"/>
              <c:pt idx="0">
                <c:v>1.1000000000000001E-2</c:v>
              </c:pt>
              <c:pt idx="1">
                <c:v>1.1000000000000001E-2</c:v>
              </c:pt>
            </c:numLit>
          </c:yVal>
          <c:smooth val="0"/>
          <c:extLst>
            <c:ext xmlns:c16="http://schemas.microsoft.com/office/drawing/2014/chart" uri="{C3380CC4-5D6E-409C-BE32-E72D297353CC}">
              <c16:uniqueId val="{00000044-88DC-42CC-9136-EA7D79313183}"/>
            </c:ext>
          </c:extLst>
        </c:ser>
        <c:ser>
          <c:idx val="57"/>
          <c:order val="57"/>
          <c:tx>
            <c:v>x=0.0112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1.12E-2</c:v>
              </c:pt>
              <c:pt idx="1">
                <c:v>1.12E-2</c:v>
              </c:pt>
            </c:numLit>
          </c:yVal>
          <c:smooth val="0"/>
          <c:extLst>
            <c:ext xmlns:c16="http://schemas.microsoft.com/office/drawing/2014/chart" uri="{C3380CC4-5D6E-409C-BE32-E72D297353CC}">
              <c16:uniqueId val="{00000045-88DC-42CC-9136-EA7D79313183}"/>
            </c:ext>
          </c:extLst>
        </c:ser>
        <c:ser>
          <c:idx val="58"/>
          <c:order val="58"/>
          <c:tx>
            <c:v>x=0.0114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1.14E-2</c:v>
              </c:pt>
              <c:pt idx="1">
                <c:v>1.14E-2</c:v>
              </c:pt>
            </c:numLit>
          </c:yVal>
          <c:smooth val="0"/>
          <c:extLst>
            <c:ext xmlns:c16="http://schemas.microsoft.com/office/drawing/2014/chart" uri="{C3380CC4-5D6E-409C-BE32-E72D297353CC}">
              <c16:uniqueId val="{00000046-88DC-42CC-9136-EA7D79313183}"/>
            </c:ext>
          </c:extLst>
        </c:ser>
        <c:ser>
          <c:idx val="59"/>
          <c:order val="59"/>
          <c:tx>
            <c:v>x=0.0116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1.1600000000000001E-2</c:v>
              </c:pt>
              <c:pt idx="1">
                <c:v>1.1600000000000001E-2</c:v>
              </c:pt>
            </c:numLit>
          </c:yVal>
          <c:smooth val="0"/>
          <c:extLst>
            <c:ext xmlns:c16="http://schemas.microsoft.com/office/drawing/2014/chart" uri="{C3380CC4-5D6E-409C-BE32-E72D297353CC}">
              <c16:uniqueId val="{00000047-88DC-42CC-9136-EA7D79313183}"/>
            </c:ext>
          </c:extLst>
        </c:ser>
        <c:ser>
          <c:idx val="60"/>
          <c:order val="60"/>
          <c:tx>
            <c:v>x=0.0118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1.18E-2</c:v>
              </c:pt>
              <c:pt idx="1">
                <c:v>1.18E-2</c:v>
              </c:pt>
            </c:numLit>
          </c:yVal>
          <c:smooth val="0"/>
          <c:extLst>
            <c:ext xmlns:c16="http://schemas.microsoft.com/office/drawing/2014/chart" uri="{C3380CC4-5D6E-409C-BE32-E72D297353CC}">
              <c16:uniqueId val="{00000048-88DC-42CC-9136-EA7D79313183}"/>
            </c:ext>
          </c:extLst>
        </c:ser>
        <c:ser>
          <c:idx val="61"/>
          <c:order val="61"/>
          <c:tx>
            <c:v>x=0.012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9-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16.032730019880717</c:v>
              </c:pt>
              <c:pt idx="1">
                <c:v>50.8</c:v>
              </c:pt>
            </c:numLit>
          </c:xVal>
          <c:yVal>
            <c:numLit>
              <c:formatCode>General</c:formatCode>
              <c:ptCount val="2"/>
              <c:pt idx="0">
                <c:v>1.2E-2</c:v>
              </c:pt>
              <c:pt idx="1">
                <c:v>1.2E-2</c:v>
              </c:pt>
            </c:numLit>
          </c:yVal>
          <c:smooth val="0"/>
          <c:extLst>
            <c:ext xmlns:c16="http://schemas.microsoft.com/office/drawing/2014/chart" uri="{C3380CC4-5D6E-409C-BE32-E72D297353CC}">
              <c16:uniqueId val="{0000004A-88DC-42CC-9136-EA7D79313183}"/>
            </c:ext>
          </c:extLst>
        </c:ser>
        <c:ser>
          <c:idx val="62"/>
          <c:order val="62"/>
          <c:tx>
            <c:v>x=0.0122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1.2200000000000001E-2</c:v>
              </c:pt>
              <c:pt idx="1">
                <c:v>1.2200000000000001E-2</c:v>
              </c:pt>
            </c:numLit>
          </c:yVal>
          <c:smooth val="0"/>
          <c:extLst>
            <c:ext xmlns:c16="http://schemas.microsoft.com/office/drawing/2014/chart" uri="{C3380CC4-5D6E-409C-BE32-E72D297353CC}">
              <c16:uniqueId val="{0000004B-88DC-42CC-9136-EA7D79313183}"/>
            </c:ext>
          </c:extLst>
        </c:ser>
        <c:ser>
          <c:idx val="63"/>
          <c:order val="63"/>
          <c:tx>
            <c:v>x=0.0124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1.2400000000000001E-2</c:v>
              </c:pt>
              <c:pt idx="1">
                <c:v>1.2400000000000001E-2</c:v>
              </c:pt>
            </c:numLit>
          </c:yVal>
          <c:smooth val="0"/>
          <c:extLst>
            <c:ext xmlns:c16="http://schemas.microsoft.com/office/drawing/2014/chart" uri="{C3380CC4-5D6E-409C-BE32-E72D297353CC}">
              <c16:uniqueId val="{0000004C-88DC-42CC-9136-EA7D79313183}"/>
            </c:ext>
          </c:extLst>
        </c:ser>
        <c:ser>
          <c:idx val="64"/>
          <c:order val="64"/>
          <c:tx>
            <c:v>x=0.0126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1.26E-2</c:v>
              </c:pt>
              <c:pt idx="1">
                <c:v>1.26E-2</c:v>
              </c:pt>
            </c:numLit>
          </c:yVal>
          <c:smooth val="0"/>
          <c:extLst>
            <c:ext xmlns:c16="http://schemas.microsoft.com/office/drawing/2014/chart" uri="{C3380CC4-5D6E-409C-BE32-E72D297353CC}">
              <c16:uniqueId val="{0000004D-88DC-42CC-9136-EA7D79313183}"/>
            </c:ext>
          </c:extLst>
        </c:ser>
        <c:ser>
          <c:idx val="65"/>
          <c:order val="65"/>
          <c:tx>
            <c:v>x=0.0128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1.2800000000000001E-2</c:v>
              </c:pt>
              <c:pt idx="1">
                <c:v>1.2800000000000001E-2</c:v>
              </c:pt>
            </c:numLit>
          </c:yVal>
          <c:smooth val="0"/>
          <c:extLst>
            <c:ext xmlns:c16="http://schemas.microsoft.com/office/drawing/2014/chart" uri="{C3380CC4-5D6E-409C-BE32-E72D297353CC}">
              <c16:uniqueId val="{0000004E-88DC-42CC-9136-EA7D79313183}"/>
            </c:ext>
          </c:extLst>
        </c:ser>
        <c:ser>
          <c:idx val="66"/>
          <c:order val="66"/>
          <c:tx>
            <c:v>x=0.013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F-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17.241095228628232</c:v>
              </c:pt>
              <c:pt idx="1">
                <c:v>50.8</c:v>
              </c:pt>
            </c:numLit>
          </c:xVal>
          <c:yVal>
            <c:numLit>
              <c:formatCode>General</c:formatCode>
              <c:ptCount val="2"/>
              <c:pt idx="0">
                <c:v>1.3000000000000001E-2</c:v>
              </c:pt>
              <c:pt idx="1">
                <c:v>1.3000000000000001E-2</c:v>
              </c:pt>
            </c:numLit>
          </c:yVal>
          <c:smooth val="0"/>
          <c:extLst>
            <c:ext xmlns:c16="http://schemas.microsoft.com/office/drawing/2014/chart" uri="{C3380CC4-5D6E-409C-BE32-E72D297353CC}">
              <c16:uniqueId val="{00000050-88DC-42CC-9136-EA7D79313183}"/>
            </c:ext>
          </c:extLst>
        </c:ser>
        <c:ser>
          <c:idx val="67"/>
          <c:order val="67"/>
          <c:tx>
            <c:v>x=0.0132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1.32E-2</c:v>
              </c:pt>
              <c:pt idx="1">
                <c:v>1.32E-2</c:v>
              </c:pt>
            </c:numLit>
          </c:yVal>
          <c:smooth val="0"/>
          <c:extLst>
            <c:ext xmlns:c16="http://schemas.microsoft.com/office/drawing/2014/chart" uri="{C3380CC4-5D6E-409C-BE32-E72D297353CC}">
              <c16:uniqueId val="{00000051-88DC-42CC-9136-EA7D79313183}"/>
            </c:ext>
          </c:extLst>
        </c:ser>
        <c:ser>
          <c:idx val="68"/>
          <c:order val="68"/>
          <c:tx>
            <c:v>x=0.0134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1.34E-2</c:v>
              </c:pt>
              <c:pt idx="1">
                <c:v>1.34E-2</c:v>
              </c:pt>
            </c:numLit>
          </c:yVal>
          <c:smooth val="0"/>
          <c:extLst>
            <c:ext xmlns:c16="http://schemas.microsoft.com/office/drawing/2014/chart" uri="{C3380CC4-5D6E-409C-BE32-E72D297353CC}">
              <c16:uniqueId val="{00000052-88DC-42CC-9136-EA7D79313183}"/>
            </c:ext>
          </c:extLst>
        </c:ser>
        <c:ser>
          <c:idx val="69"/>
          <c:order val="69"/>
          <c:tx>
            <c:v>x=0.0136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1.3600000000000001E-2</c:v>
              </c:pt>
              <c:pt idx="1">
                <c:v>1.3600000000000001E-2</c:v>
              </c:pt>
            </c:numLit>
          </c:yVal>
          <c:smooth val="0"/>
          <c:extLst>
            <c:ext xmlns:c16="http://schemas.microsoft.com/office/drawing/2014/chart" uri="{C3380CC4-5D6E-409C-BE32-E72D297353CC}">
              <c16:uniqueId val="{00000053-88DC-42CC-9136-EA7D79313183}"/>
            </c:ext>
          </c:extLst>
        </c:ser>
        <c:ser>
          <c:idx val="70"/>
          <c:order val="70"/>
          <c:tx>
            <c:v>x=0.0138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1.3800000000000002E-2</c:v>
              </c:pt>
              <c:pt idx="1">
                <c:v>1.3800000000000002E-2</c:v>
              </c:pt>
            </c:numLit>
          </c:yVal>
          <c:smooth val="0"/>
          <c:extLst>
            <c:ext xmlns:c16="http://schemas.microsoft.com/office/drawing/2014/chart" uri="{C3380CC4-5D6E-409C-BE32-E72D297353CC}">
              <c16:uniqueId val="{00000054-88DC-42CC-9136-EA7D79313183}"/>
            </c:ext>
          </c:extLst>
        </c:ser>
        <c:ser>
          <c:idx val="71"/>
          <c:order val="71"/>
          <c:tx>
            <c:v>x=0.014</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5-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18.371974950298213</c:v>
              </c:pt>
              <c:pt idx="1">
                <c:v>50.8</c:v>
              </c:pt>
            </c:numLit>
          </c:xVal>
          <c:yVal>
            <c:numLit>
              <c:formatCode>General</c:formatCode>
              <c:ptCount val="2"/>
              <c:pt idx="0">
                <c:v>1.4E-2</c:v>
              </c:pt>
              <c:pt idx="1">
                <c:v>1.4E-2</c:v>
              </c:pt>
            </c:numLit>
          </c:yVal>
          <c:smooth val="0"/>
          <c:extLst>
            <c:ext xmlns:c16="http://schemas.microsoft.com/office/drawing/2014/chart" uri="{C3380CC4-5D6E-409C-BE32-E72D297353CC}">
              <c16:uniqueId val="{00000056-88DC-42CC-9136-EA7D79313183}"/>
            </c:ext>
          </c:extLst>
        </c:ser>
        <c:ser>
          <c:idx val="72"/>
          <c:order val="72"/>
          <c:tx>
            <c:v>x=0.0142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1.4200000000000001E-2</c:v>
              </c:pt>
              <c:pt idx="1">
                <c:v>1.4200000000000001E-2</c:v>
              </c:pt>
            </c:numLit>
          </c:yVal>
          <c:smooth val="0"/>
          <c:extLst>
            <c:ext xmlns:c16="http://schemas.microsoft.com/office/drawing/2014/chart" uri="{C3380CC4-5D6E-409C-BE32-E72D297353CC}">
              <c16:uniqueId val="{00000057-88DC-42CC-9136-EA7D79313183}"/>
            </c:ext>
          </c:extLst>
        </c:ser>
        <c:ser>
          <c:idx val="73"/>
          <c:order val="73"/>
          <c:tx>
            <c:v>x=0.0144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1.4400000000000001E-2</c:v>
              </c:pt>
              <c:pt idx="1">
                <c:v>1.4400000000000001E-2</c:v>
              </c:pt>
            </c:numLit>
          </c:yVal>
          <c:smooth val="0"/>
          <c:extLst>
            <c:ext xmlns:c16="http://schemas.microsoft.com/office/drawing/2014/chart" uri="{C3380CC4-5D6E-409C-BE32-E72D297353CC}">
              <c16:uniqueId val="{00000058-88DC-42CC-9136-EA7D79313183}"/>
            </c:ext>
          </c:extLst>
        </c:ser>
        <c:ser>
          <c:idx val="74"/>
          <c:order val="74"/>
          <c:tx>
            <c:v>x=0.0146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1.46E-2</c:v>
              </c:pt>
              <c:pt idx="1">
                <c:v>1.46E-2</c:v>
              </c:pt>
            </c:numLit>
          </c:yVal>
          <c:smooth val="0"/>
          <c:extLst>
            <c:ext xmlns:c16="http://schemas.microsoft.com/office/drawing/2014/chart" uri="{C3380CC4-5D6E-409C-BE32-E72D297353CC}">
              <c16:uniqueId val="{00000059-88DC-42CC-9136-EA7D79313183}"/>
            </c:ext>
          </c:extLst>
        </c:ser>
        <c:ser>
          <c:idx val="75"/>
          <c:order val="75"/>
          <c:tx>
            <c:v>x=0.0148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1.4800000000000001E-2</c:v>
              </c:pt>
              <c:pt idx="1">
                <c:v>1.4800000000000001E-2</c:v>
              </c:pt>
            </c:numLit>
          </c:yVal>
          <c:smooth val="0"/>
          <c:extLst>
            <c:ext xmlns:c16="http://schemas.microsoft.com/office/drawing/2014/chart" uri="{C3380CC4-5D6E-409C-BE32-E72D297353CC}">
              <c16:uniqueId val="{0000005A-88DC-42CC-9136-EA7D79313183}"/>
            </c:ext>
          </c:extLst>
        </c:ser>
        <c:ser>
          <c:idx val="76"/>
          <c:order val="76"/>
          <c:tx>
            <c:v>x=0.015</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0.015</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B-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19.435202783300202</c:v>
              </c:pt>
              <c:pt idx="1">
                <c:v>50.8</c:v>
              </c:pt>
            </c:numLit>
          </c:xVal>
          <c:yVal>
            <c:numLit>
              <c:formatCode>General</c:formatCode>
              <c:ptCount val="2"/>
              <c:pt idx="0">
                <c:v>1.5000000000000001E-2</c:v>
              </c:pt>
              <c:pt idx="1">
                <c:v>1.5000000000000001E-2</c:v>
              </c:pt>
            </c:numLit>
          </c:yVal>
          <c:smooth val="0"/>
          <c:extLst>
            <c:ext xmlns:c16="http://schemas.microsoft.com/office/drawing/2014/chart" uri="{C3380CC4-5D6E-409C-BE32-E72D297353CC}">
              <c16:uniqueId val="{0000005C-88DC-42CC-9136-EA7D79313183}"/>
            </c:ext>
          </c:extLst>
        </c:ser>
        <c:ser>
          <c:idx val="77"/>
          <c:order val="77"/>
          <c:tx>
            <c:v>x=0.0152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1.52E-2</c:v>
              </c:pt>
              <c:pt idx="1">
                <c:v>1.52E-2</c:v>
              </c:pt>
            </c:numLit>
          </c:yVal>
          <c:smooth val="0"/>
          <c:extLst>
            <c:ext xmlns:c16="http://schemas.microsoft.com/office/drawing/2014/chart" uri="{C3380CC4-5D6E-409C-BE32-E72D297353CC}">
              <c16:uniqueId val="{0000005D-88DC-42CC-9136-EA7D79313183}"/>
            </c:ext>
          </c:extLst>
        </c:ser>
        <c:ser>
          <c:idx val="78"/>
          <c:order val="78"/>
          <c:tx>
            <c:v>x=0.0154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1.54E-2</c:v>
              </c:pt>
              <c:pt idx="1">
                <c:v>1.54E-2</c:v>
              </c:pt>
            </c:numLit>
          </c:yVal>
          <c:smooth val="0"/>
          <c:extLst>
            <c:ext xmlns:c16="http://schemas.microsoft.com/office/drawing/2014/chart" uri="{C3380CC4-5D6E-409C-BE32-E72D297353CC}">
              <c16:uniqueId val="{0000005E-88DC-42CC-9136-EA7D79313183}"/>
            </c:ext>
          </c:extLst>
        </c:ser>
        <c:ser>
          <c:idx val="79"/>
          <c:order val="79"/>
          <c:tx>
            <c:v>x=0.0156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1.5600000000000001E-2</c:v>
              </c:pt>
              <c:pt idx="1">
                <c:v>1.5600000000000001E-2</c:v>
              </c:pt>
            </c:numLit>
          </c:yVal>
          <c:smooth val="0"/>
          <c:extLst>
            <c:ext xmlns:c16="http://schemas.microsoft.com/office/drawing/2014/chart" uri="{C3380CC4-5D6E-409C-BE32-E72D297353CC}">
              <c16:uniqueId val="{0000005F-88DC-42CC-9136-EA7D79313183}"/>
            </c:ext>
          </c:extLst>
        </c:ser>
        <c:ser>
          <c:idx val="80"/>
          <c:order val="80"/>
          <c:tx>
            <c:v>x=0.0158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1.5800000000000002E-2</c:v>
              </c:pt>
              <c:pt idx="1">
                <c:v>1.5800000000000002E-2</c:v>
              </c:pt>
            </c:numLit>
          </c:yVal>
          <c:smooth val="0"/>
          <c:extLst>
            <c:ext xmlns:c16="http://schemas.microsoft.com/office/drawing/2014/chart" uri="{C3380CC4-5D6E-409C-BE32-E72D297353CC}">
              <c16:uniqueId val="{00000060-88DC-42CC-9136-EA7D79313183}"/>
            </c:ext>
          </c:extLst>
        </c:ser>
        <c:ser>
          <c:idx val="81"/>
          <c:order val="81"/>
          <c:tx>
            <c:v>x=0.016</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0.016</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1-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20.430390457256465</c:v>
              </c:pt>
              <c:pt idx="1">
                <c:v>50.8</c:v>
              </c:pt>
            </c:numLit>
          </c:xVal>
          <c:yVal>
            <c:numLit>
              <c:formatCode>General</c:formatCode>
              <c:ptCount val="2"/>
              <c:pt idx="0">
                <c:v>1.6E-2</c:v>
              </c:pt>
              <c:pt idx="1">
                <c:v>1.6E-2</c:v>
              </c:pt>
            </c:numLit>
          </c:yVal>
          <c:smooth val="0"/>
          <c:extLst>
            <c:ext xmlns:c16="http://schemas.microsoft.com/office/drawing/2014/chart" uri="{C3380CC4-5D6E-409C-BE32-E72D297353CC}">
              <c16:uniqueId val="{00000062-88DC-42CC-9136-EA7D79313183}"/>
            </c:ext>
          </c:extLst>
        </c:ser>
        <c:ser>
          <c:idx val="82"/>
          <c:order val="82"/>
          <c:tx>
            <c:v>x=0.0162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1.6199999999999999E-2</c:v>
              </c:pt>
              <c:pt idx="1">
                <c:v>1.6199999999999999E-2</c:v>
              </c:pt>
            </c:numLit>
          </c:yVal>
          <c:smooth val="0"/>
          <c:extLst>
            <c:ext xmlns:c16="http://schemas.microsoft.com/office/drawing/2014/chart" uri="{C3380CC4-5D6E-409C-BE32-E72D297353CC}">
              <c16:uniqueId val="{00000063-88DC-42CC-9136-EA7D79313183}"/>
            </c:ext>
          </c:extLst>
        </c:ser>
        <c:ser>
          <c:idx val="83"/>
          <c:order val="83"/>
          <c:tx>
            <c:v>x=0.0164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1.6400000000000001E-2</c:v>
              </c:pt>
              <c:pt idx="1">
                <c:v>1.6400000000000001E-2</c:v>
              </c:pt>
            </c:numLit>
          </c:yVal>
          <c:smooth val="0"/>
          <c:extLst>
            <c:ext xmlns:c16="http://schemas.microsoft.com/office/drawing/2014/chart" uri="{C3380CC4-5D6E-409C-BE32-E72D297353CC}">
              <c16:uniqueId val="{00000064-88DC-42CC-9136-EA7D79313183}"/>
            </c:ext>
          </c:extLst>
        </c:ser>
        <c:ser>
          <c:idx val="84"/>
          <c:order val="84"/>
          <c:tx>
            <c:v>x=0.0166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1.66E-2</c:v>
              </c:pt>
              <c:pt idx="1">
                <c:v>1.66E-2</c:v>
              </c:pt>
            </c:numLit>
          </c:yVal>
          <c:smooth val="0"/>
          <c:extLst>
            <c:ext xmlns:c16="http://schemas.microsoft.com/office/drawing/2014/chart" uri="{C3380CC4-5D6E-409C-BE32-E72D297353CC}">
              <c16:uniqueId val="{00000065-88DC-42CC-9136-EA7D79313183}"/>
            </c:ext>
          </c:extLst>
        </c:ser>
        <c:ser>
          <c:idx val="85"/>
          <c:order val="85"/>
          <c:tx>
            <c:v>x=0.0168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1.6800000000000002E-2</c:v>
              </c:pt>
              <c:pt idx="1">
                <c:v>1.6800000000000002E-2</c:v>
              </c:pt>
            </c:numLit>
          </c:yVal>
          <c:smooth val="0"/>
          <c:extLst>
            <c:ext xmlns:c16="http://schemas.microsoft.com/office/drawing/2014/chart" uri="{C3380CC4-5D6E-409C-BE32-E72D297353CC}">
              <c16:uniqueId val="{00000066-88DC-42CC-9136-EA7D79313183}"/>
            </c:ext>
          </c:extLst>
        </c:ser>
        <c:ser>
          <c:idx val="86"/>
          <c:order val="86"/>
          <c:tx>
            <c:v>x=0.017</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0.017</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7-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21.377778330019879</c:v>
              </c:pt>
              <c:pt idx="1">
                <c:v>50.8</c:v>
              </c:pt>
            </c:numLit>
          </c:xVal>
          <c:yVal>
            <c:numLit>
              <c:formatCode>General</c:formatCode>
              <c:ptCount val="2"/>
              <c:pt idx="0">
                <c:v>1.7000000000000001E-2</c:v>
              </c:pt>
              <c:pt idx="1">
                <c:v>1.7000000000000001E-2</c:v>
              </c:pt>
            </c:numLit>
          </c:yVal>
          <c:smooth val="0"/>
          <c:extLst>
            <c:ext xmlns:c16="http://schemas.microsoft.com/office/drawing/2014/chart" uri="{C3380CC4-5D6E-409C-BE32-E72D297353CC}">
              <c16:uniqueId val="{00000068-88DC-42CC-9136-EA7D79313183}"/>
            </c:ext>
          </c:extLst>
        </c:ser>
        <c:ser>
          <c:idx val="87"/>
          <c:order val="87"/>
          <c:tx>
            <c:v>x=0.0172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1.72E-2</c:v>
              </c:pt>
              <c:pt idx="1">
                <c:v>1.72E-2</c:v>
              </c:pt>
            </c:numLit>
          </c:yVal>
          <c:smooth val="0"/>
          <c:extLst>
            <c:ext xmlns:c16="http://schemas.microsoft.com/office/drawing/2014/chart" uri="{C3380CC4-5D6E-409C-BE32-E72D297353CC}">
              <c16:uniqueId val="{00000069-88DC-42CC-9136-EA7D79313183}"/>
            </c:ext>
          </c:extLst>
        </c:ser>
        <c:ser>
          <c:idx val="88"/>
          <c:order val="88"/>
          <c:tx>
            <c:v>x=0.0174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1.7400000000000002E-2</c:v>
              </c:pt>
              <c:pt idx="1">
                <c:v>1.7400000000000002E-2</c:v>
              </c:pt>
            </c:numLit>
          </c:yVal>
          <c:smooth val="0"/>
          <c:extLst>
            <c:ext xmlns:c16="http://schemas.microsoft.com/office/drawing/2014/chart" uri="{C3380CC4-5D6E-409C-BE32-E72D297353CC}">
              <c16:uniqueId val="{0000006A-88DC-42CC-9136-EA7D79313183}"/>
            </c:ext>
          </c:extLst>
        </c:ser>
        <c:ser>
          <c:idx val="89"/>
          <c:order val="89"/>
          <c:tx>
            <c:v>x=0.0176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1.7600000000000001E-2</c:v>
              </c:pt>
              <c:pt idx="1">
                <c:v>1.7600000000000001E-2</c:v>
              </c:pt>
            </c:numLit>
          </c:yVal>
          <c:smooth val="0"/>
          <c:extLst>
            <c:ext xmlns:c16="http://schemas.microsoft.com/office/drawing/2014/chart" uri="{C3380CC4-5D6E-409C-BE32-E72D297353CC}">
              <c16:uniqueId val="{0000006B-88DC-42CC-9136-EA7D79313183}"/>
            </c:ext>
          </c:extLst>
        </c:ser>
        <c:ser>
          <c:idx val="90"/>
          <c:order val="90"/>
          <c:tx>
            <c:v>x=0.0178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1.78E-2</c:v>
              </c:pt>
              <c:pt idx="1">
                <c:v>1.78E-2</c:v>
              </c:pt>
            </c:numLit>
          </c:yVal>
          <c:smooth val="0"/>
          <c:extLst>
            <c:ext xmlns:c16="http://schemas.microsoft.com/office/drawing/2014/chart" uri="{C3380CC4-5D6E-409C-BE32-E72D297353CC}">
              <c16:uniqueId val="{0000006C-88DC-42CC-9136-EA7D79313183}"/>
            </c:ext>
          </c:extLst>
        </c:ser>
        <c:ser>
          <c:idx val="91"/>
          <c:order val="91"/>
          <c:tx>
            <c:v>x=0.018</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0.018</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D-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22.266756262425449</c:v>
              </c:pt>
              <c:pt idx="1">
                <c:v>50.8</c:v>
              </c:pt>
            </c:numLit>
          </c:xVal>
          <c:yVal>
            <c:numLit>
              <c:formatCode>General</c:formatCode>
              <c:ptCount val="2"/>
              <c:pt idx="0">
                <c:v>1.8000000000000002E-2</c:v>
              </c:pt>
              <c:pt idx="1">
                <c:v>1.8000000000000002E-2</c:v>
              </c:pt>
            </c:numLit>
          </c:yVal>
          <c:smooth val="0"/>
          <c:extLst>
            <c:ext xmlns:c16="http://schemas.microsoft.com/office/drawing/2014/chart" uri="{C3380CC4-5D6E-409C-BE32-E72D297353CC}">
              <c16:uniqueId val="{0000006E-88DC-42CC-9136-EA7D79313183}"/>
            </c:ext>
          </c:extLst>
        </c:ser>
        <c:ser>
          <c:idx val="92"/>
          <c:order val="92"/>
          <c:tx>
            <c:v>x=0.0182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1.8200000000000001E-2</c:v>
              </c:pt>
              <c:pt idx="1">
                <c:v>1.8200000000000001E-2</c:v>
              </c:pt>
            </c:numLit>
          </c:yVal>
          <c:smooth val="0"/>
          <c:extLst>
            <c:ext xmlns:c16="http://schemas.microsoft.com/office/drawing/2014/chart" uri="{C3380CC4-5D6E-409C-BE32-E72D297353CC}">
              <c16:uniqueId val="{0000006F-88DC-42CC-9136-EA7D79313183}"/>
            </c:ext>
          </c:extLst>
        </c:ser>
        <c:ser>
          <c:idx val="93"/>
          <c:order val="93"/>
          <c:tx>
            <c:v>x=0.0184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1.84E-2</c:v>
              </c:pt>
              <c:pt idx="1">
                <c:v>1.84E-2</c:v>
              </c:pt>
            </c:numLit>
          </c:yVal>
          <c:smooth val="0"/>
          <c:extLst>
            <c:ext xmlns:c16="http://schemas.microsoft.com/office/drawing/2014/chart" uri="{C3380CC4-5D6E-409C-BE32-E72D297353CC}">
              <c16:uniqueId val="{00000070-88DC-42CC-9136-EA7D79313183}"/>
            </c:ext>
          </c:extLst>
        </c:ser>
        <c:ser>
          <c:idx val="94"/>
          <c:order val="94"/>
          <c:tx>
            <c:v>x=0.0186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1.8600000000000002E-2</c:v>
              </c:pt>
              <c:pt idx="1">
                <c:v>1.8600000000000002E-2</c:v>
              </c:pt>
            </c:numLit>
          </c:yVal>
          <c:smooth val="0"/>
          <c:extLst>
            <c:ext xmlns:c16="http://schemas.microsoft.com/office/drawing/2014/chart" uri="{C3380CC4-5D6E-409C-BE32-E72D297353CC}">
              <c16:uniqueId val="{00000071-88DC-42CC-9136-EA7D79313183}"/>
            </c:ext>
          </c:extLst>
        </c:ser>
        <c:ser>
          <c:idx val="95"/>
          <c:order val="95"/>
          <c:tx>
            <c:v>x=0.0188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1.8800000000000001E-2</c:v>
              </c:pt>
              <c:pt idx="1">
                <c:v>1.8800000000000001E-2</c:v>
              </c:pt>
            </c:numLit>
          </c:yVal>
          <c:smooth val="0"/>
          <c:extLst>
            <c:ext xmlns:c16="http://schemas.microsoft.com/office/drawing/2014/chart" uri="{C3380CC4-5D6E-409C-BE32-E72D297353CC}">
              <c16:uniqueId val="{00000072-88DC-42CC-9136-EA7D79313183}"/>
            </c:ext>
          </c:extLst>
        </c:ser>
        <c:ser>
          <c:idx val="96"/>
          <c:order val="96"/>
          <c:tx>
            <c:v>x=0.019</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0.019</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3-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23.117694035785291</c:v>
              </c:pt>
              <c:pt idx="1">
                <c:v>50.8</c:v>
              </c:pt>
            </c:numLit>
          </c:xVal>
          <c:yVal>
            <c:numLit>
              <c:formatCode>General</c:formatCode>
              <c:ptCount val="2"/>
              <c:pt idx="0">
                <c:v>1.9E-2</c:v>
              </c:pt>
              <c:pt idx="1">
                <c:v>1.9E-2</c:v>
              </c:pt>
            </c:numLit>
          </c:yVal>
          <c:smooth val="0"/>
          <c:extLst>
            <c:ext xmlns:c16="http://schemas.microsoft.com/office/drawing/2014/chart" uri="{C3380CC4-5D6E-409C-BE32-E72D297353CC}">
              <c16:uniqueId val="{00000074-88DC-42CC-9136-EA7D79313183}"/>
            </c:ext>
          </c:extLst>
        </c:ser>
        <c:ser>
          <c:idx val="97"/>
          <c:order val="97"/>
          <c:tx>
            <c:v>x=0.0192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1.9200000000000002E-2</c:v>
              </c:pt>
              <c:pt idx="1">
                <c:v>1.9200000000000002E-2</c:v>
              </c:pt>
            </c:numLit>
          </c:yVal>
          <c:smooth val="0"/>
          <c:extLst>
            <c:ext xmlns:c16="http://schemas.microsoft.com/office/drawing/2014/chart" uri="{C3380CC4-5D6E-409C-BE32-E72D297353CC}">
              <c16:uniqueId val="{00000075-88DC-42CC-9136-EA7D79313183}"/>
            </c:ext>
          </c:extLst>
        </c:ser>
        <c:ser>
          <c:idx val="98"/>
          <c:order val="98"/>
          <c:tx>
            <c:v>x=0.0194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1.9400000000000001E-2</c:v>
              </c:pt>
              <c:pt idx="1">
                <c:v>1.9400000000000001E-2</c:v>
              </c:pt>
            </c:numLit>
          </c:yVal>
          <c:smooth val="0"/>
          <c:extLst>
            <c:ext xmlns:c16="http://schemas.microsoft.com/office/drawing/2014/chart" uri="{C3380CC4-5D6E-409C-BE32-E72D297353CC}">
              <c16:uniqueId val="{00000076-88DC-42CC-9136-EA7D79313183}"/>
            </c:ext>
          </c:extLst>
        </c:ser>
        <c:ser>
          <c:idx val="99"/>
          <c:order val="99"/>
          <c:tx>
            <c:v>x=0.0196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1.9599999999999999E-2</c:v>
              </c:pt>
              <c:pt idx="1">
                <c:v>1.9599999999999999E-2</c:v>
              </c:pt>
            </c:numLit>
          </c:yVal>
          <c:smooth val="0"/>
          <c:extLst>
            <c:ext xmlns:c16="http://schemas.microsoft.com/office/drawing/2014/chart" uri="{C3380CC4-5D6E-409C-BE32-E72D297353CC}">
              <c16:uniqueId val="{00000077-88DC-42CC-9136-EA7D79313183}"/>
            </c:ext>
          </c:extLst>
        </c:ser>
        <c:ser>
          <c:idx val="100"/>
          <c:order val="100"/>
          <c:tx>
            <c:v>x=0.0198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1.9800000000000002E-2</c:v>
              </c:pt>
              <c:pt idx="1">
                <c:v>1.9800000000000002E-2</c:v>
              </c:pt>
            </c:numLit>
          </c:yVal>
          <c:smooth val="0"/>
          <c:extLst>
            <c:ext xmlns:c16="http://schemas.microsoft.com/office/drawing/2014/chart" uri="{C3380CC4-5D6E-409C-BE32-E72D297353CC}">
              <c16:uniqueId val="{00000078-88DC-42CC-9136-EA7D79313183}"/>
            </c:ext>
          </c:extLst>
        </c:ser>
        <c:ser>
          <c:idx val="101"/>
          <c:order val="101"/>
          <c:tx>
            <c:v>x=0.02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9-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23.930369781312127</c:v>
              </c:pt>
              <c:pt idx="1">
                <c:v>50.8</c:v>
              </c:pt>
            </c:numLit>
          </c:xVal>
          <c:yVal>
            <c:numLit>
              <c:formatCode>General</c:formatCode>
              <c:ptCount val="2"/>
              <c:pt idx="0">
                <c:v>0.02</c:v>
              </c:pt>
              <c:pt idx="1">
                <c:v>0.02</c:v>
              </c:pt>
            </c:numLit>
          </c:yVal>
          <c:smooth val="0"/>
          <c:extLst>
            <c:ext xmlns:c16="http://schemas.microsoft.com/office/drawing/2014/chart" uri="{C3380CC4-5D6E-409C-BE32-E72D297353CC}">
              <c16:uniqueId val="{0000007A-88DC-42CC-9136-EA7D79313183}"/>
            </c:ext>
          </c:extLst>
        </c:ser>
        <c:ser>
          <c:idx val="102"/>
          <c:order val="102"/>
          <c:tx>
            <c:v>x=0.0202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2.0200000000000003E-2</c:v>
              </c:pt>
              <c:pt idx="1">
                <c:v>2.0200000000000003E-2</c:v>
              </c:pt>
            </c:numLit>
          </c:yVal>
          <c:smooth val="0"/>
          <c:extLst>
            <c:ext xmlns:c16="http://schemas.microsoft.com/office/drawing/2014/chart" uri="{C3380CC4-5D6E-409C-BE32-E72D297353CC}">
              <c16:uniqueId val="{0000007B-88DC-42CC-9136-EA7D79313183}"/>
            </c:ext>
          </c:extLst>
        </c:ser>
        <c:ser>
          <c:idx val="103"/>
          <c:order val="103"/>
          <c:tx>
            <c:v>x=0.0204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2.0400000000000001E-2</c:v>
              </c:pt>
              <c:pt idx="1">
                <c:v>2.0400000000000001E-2</c:v>
              </c:pt>
            </c:numLit>
          </c:yVal>
          <c:smooth val="0"/>
          <c:extLst>
            <c:ext xmlns:c16="http://schemas.microsoft.com/office/drawing/2014/chart" uri="{C3380CC4-5D6E-409C-BE32-E72D297353CC}">
              <c16:uniqueId val="{0000007C-88DC-42CC-9136-EA7D79313183}"/>
            </c:ext>
          </c:extLst>
        </c:ser>
        <c:ser>
          <c:idx val="104"/>
          <c:order val="104"/>
          <c:tx>
            <c:v>x=0.0206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2.06E-2</c:v>
              </c:pt>
              <c:pt idx="1">
                <c:v>2.06E-2</c:v>
              </c:pt>
            </c:numLit>
          </c:yVal>
          <c:smooth val="0"/>
          <c:extLst>
            <c:ext xmlns:c16="http://schemas.microsoft.com/office/drawing/2014/chart" uri="{C3380CC4-5D6E-409C-BE32-E72D297353CC}">
              <c16:uniqueId val="{0000007D-88DC-42CC-9136-EA7D79313183}"/>
            </c:ext>
          </c:extLst>
        </c:ser>
        <c:ser>
          <c:idx val="105"/>
          <c:order val="105"/>
          <c:tx>
            <c:v>x=0.0208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2.0800000000000003E-2</c:v>
              </c:pt>
              <c:pt idx="1">
                <c:v>2.0800000000000003E-2</c:v>
              </c:pt>
            </c:numLit>
          </c:yVal>
          <c:smooth val="0"/>
          <c:extLst>
            <c:ext xmlns:c16="http://schemas.microsoft.com/office/drawing/2014/chart" uri="{C3380CC4-5D6E-409C-BE32-E72D297353CC}">
              <c16:uniqueId val="{0000007E-88DC-42CC-9136-EA7D79313183}"/>
            </c:ext>
          </c:extLst>
        </c:ser>
        <c:ser>
          <c:idx val="106"/>
          <c:order val="106"/>
          <c:tx>
            <c:v>x=0.021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F-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24.714949900596423</c:v>
              </c:pt>
              <c:pt idx="1">
                <c:v>50.8</c:v>
              </c:pt>
            </c:numLit>
          </c:xVal>
          <c:yVal>
            <c:numLit>
              <c:formatCode>General</c:formatCode>
              <c:ptCount val="2"/>
              <c:pt idx="0">
                <c:v>2.1000000000000001E-2</c:v>
              </c:pt>
              <c:pt idx="1">
                <c:v>2.1000000000000001E-2</c:v>
              </c:pt>
            </c:numLit>
          </c:yVal>
          <c:smooth val="0"/>
          <c:extLst>
            <c:ext xmlns:c16="http://schemas.microsoft.com/office/drawing/2014/chart" uri="{C3380CC4-5D6E-409C-BE32-E72D297353CC}">
              <c16:uniqueId val="{00000080-88DC-42CC-9136-EA7D79313183}"/>
            </c:ext>
          </c:extLst>
        </c:ser>
        <c:ser>
          <c:idx val="107"/>
          <c:order val="107"/>
          <c:tx>
            <c:v>x=0.0212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2.12E-2</c:v>
              </c:pt>
              <c:pt idx="1">
                <c:v>2.12E-2</c:v>
              </c:pt>
            </c:numLit>
          </c:yVal>
          <c:smooth val="0"/>
          <c:extLst>
            <c:ext xmlns:c16="http://schemas.microsoft.com/office/drawing/2014/chart" uri="{C3380CC4-5D6E-409C-BE32-E72D297353CC}">
              <c16:uniqueId val="{00000081-88DC-42CC-9136-EA7D79313183}"/>
            </c:ext>
          </c:extLst>
        </c:ser>
        <c:ser>
          <c:idx val="108"/>
          <c:order val="108"/>
          <c:tx>
            <c:v>x=0.0214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2.1400000000000002E-2</c:v>
              </c:pt>
              <c:pt idx="1">
                <c:v>2.1400000000000002E-2</c:v>
              </c:pt>
            </c:numLit>
          </c:yVal>
          <c:smooth val="0"/>
          <c:extLst>
            <c:ext xmlns:c16="http://schemas.microsoft.com/office/drawing/2014/chart" uri="{C3380CC4-5D6E-409C-BE32-E72D297353CC}">
              <c16:uniqueId val="{00000082-88DC-42CC-9136-EA7D79313183}"/>
            </c:ext>
          </c:extLst>
        </c:ser>
        <c:ser>
          <c:idx val="109"/>
          <c:order val="109"/>
          <c:tx>
            <c:v>x=0.0216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2.1600000000000001E-2</c:v>
              </c:pt>
              <c:pt idx="1">
                <c:v>2.1600000000000001E-2</c:v>
              </c:pt>
            </c:numLit>
          </c:yVal>
          <c:smooth val="0"/>
          <c:extLst>
            <c:ext xmlns:c16="http://schemas.microsoft.com/office/drawing/2014/chart" uri="{C3380CC4-5D6E-409C-BE32-E72D297353CC}">
              <c16:uniqueId val="{00000083-88DC-42CC-9136-EA7D79313183}"/>
            </c:ext>
          </c:extLst>
        </c:ser>
        <c:ser>
          <c:idx val="110"/>
          <c:order val="110"/>
          <c:tx>
            <c:v>x=0.0218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2.18E-2</c:v>
              </c:pt>
              <c:pt idx="1">
                <c:v>2.18E-2</c:v>
              </c:pt>
            </c:numLit>
          </c:yVal>
          <c:smooth val="0"/>
          <c:extLst>
            <c:ext xmlns:c16="http://schemas.microsoft.com/office/drawing/2014/chart" uri="{C3380CC4-5D6E-409C-BE32-E72D297353CC}">
              <c16:uniqueId val="{00000084-88DC-42CC-9136-EA7D79313183}"/>
            </c:ext>
          </c:extLst>
        </c:ser>
        <c:ser>
          <c:idx val="111"/>
          <c:order val="111"/>
          <c:tx>
            <c:v>x=0.022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5-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25.460861232604376</c:v>
              </c:pt>
              <c:pt idx="1">
                <c:v>50.8</c:v>
              </c:pt>
            </c:numLit>
          </c:xVal>
          <c:yVal>
            <c:numLit>
              <c:formatCode>General</c:formatCode>
              <c:ptCount val="2"/>
              <c:pt idx="0">
                <c:v>2.2000000000000002E-2</c:v>
              </c:pt>
              <c:pt idx="1">
                <c:v>2.2000000000000002E-2</c:v>
              </c:pt>
            </c:numLit>
          </c:yVal>
          <c:smooth val="0"/>
          <c:extLst>
            <c:ext xmlns:c16="http://schemas.microsoft.com/office/drawing/2014/chart" uri="{C3380CC4-5D6E-409C-BE32-E72D297353CC}">
              <c16:uniqueId val="{00000086-88DC-42CC-9136-EA7D79313183}"/>
            </c:ext>
          </c:extLst>
        </c:ser>
        <c:ser>
          <c:idx val="112"/>
          <c:order val="112"/>
          <c:tx>
            <c:v>x=0.0222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2.2200000000000001E-2</c:v>
              </c:pt>
              <c:pt idx="1">
                <c:v>2.2200000000000001E-2</c:v>
              </c:pt>
            </c:numLit>
          </c:yVal>
          <c:smooth val="0"/>
          <c:extLst>
            <c:ext xmlns:c16="http://schemas.microsoft.com/office/drawing/2014/chart" uri="{C3380CC4-5D6E-409C-BE32-E72D297353CC}">
              <c16:uniqueId val="{00000087-88DC-42CC-9136-EA7D79313183}"/>
            </c:ext>
          </c:extLst>
        </c:ser>
        <c:ser>
          <c:idx val="113"/>
          <c:order val="113"/>
          <c:tx>
            <c:v>x=0.0224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2.24E-2</c:v>
              </c:pt>
              <c:pt idx="1">
                <c:v>2.24E-2</c:v>
              </c:pt>
            </c:numLit>
          </c:yVal>
          <c:smooth val="0"/>
          <c:extLst>
            <c:ext xmlns:c16="http://schemas.microsoft.com/office/drawing/2014/chart" uri="{C3380CC4-5D6E-409C-BE32-E72D297353CC}">
              <c16:uniqueId val="{00000088-88DC-42CC-9136-EA7D79313183}"/>
            </c:ext>
          </c:extLst>
        </c:ser>
        <c:ser>
          <c:idx val="114"/>
          <c:order val="114"/>
          <c:tx>
            <c:v>x=0.0226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2.2600000000000002E-2</c:v>
              </c:pt>
              <c:pt idx="1">
                <c:v>2.2600000000000002E-2</c:v>
              </c:pt>
            </c:numLit>
          </c:yVal>
          <c:smooth val="0"/>
          <c:extLst>
            <c:ext xmlns:c16="http://schemas.microsoft.com/office/drawing/2014/chart" uri="{C3380CC4-5D6E-409C-BE32-E72D297353CC}">
              <c16:uniqueId val="{00000089-88DC-42CC-9136-EA7D79313183}"/>
            </c:ext>
          </c:extLst>
        </c:ser>
        <c:ser>
          <c:idx val="115"/>
          <c:order val="115"/>
          <c:tx>
            <c:v>x=0.0228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2.2800000000000001E-2</c:v>
              </c:pt>
              <c:pt idx="1">
                <c:v>2.2800000000000001E-2</c:v>
              </c:pt>
            </c:numLit>
          </c:yVal>
          <c:smooth val="0"/>
          <c:extLst>
            <c:ext xmlns:c16="http://schemas.microsoft.com/office/drawing/2014/chart" uri="{C3380CC4-5D6E-409C-BE32-E72D297353CC}">
              <c16:uniqueId val="{0000008A-88DC-42CC-9136-EA7D79313183}"/>
            </c:ext>
          </c:extLst>
        </c:ser>
        <c:ser>
          <c:idx val="116"/>
          <c:order val="116"/>
          <c:tx>
            <c:v>x=0.023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B-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26.178307157057652</c:v>
              </c:pt>
              <c:pt idx="1">
                <c:v>50.8</c:v>
              </c:pt>
            </c:numLit>
          </c:xVal>
          <c:yVal>
            <c:numLit>
              <c:formatCode>General</c:formatCode>
              <c:ptCount val="2"/>
              <c:pt idx="0">
                <c:v>2.3E-2</c:v>
              </c:pt>
              <c:pt idx="1">
                <c:v>2.3E-2</c:v>
              </c:pt>
            </c:numLit>
          </c:yVal>
          <c:smooth val="0"/>
          <c:extLst>
            <c:ext xmlns:c16="http://schemas.microsoft.com/office/drawing/2014/chart" uri="{C3380CC4-5D6E-409C-BE32-E72D297353CC}">
              <c16:uniqueId val="{0000008C-88DC-42CC-9136-EA7D79313183}"/>
            </c:ext>
          </c:extLst>
        </c:ser>
        <c:ser>
          <c:idx val="117"/>
          <c:order val="117"/>
          <c:tx>
            <c:v>x=0.0232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2.3200000000000002E-2</c:v>
              </c:pt>
              <c:pt idx="1">
                <c:v>2.3200000000000002E-2</c:v>
              </c:pt>
            </c:numLit>
          </c:yVal>
          <c:smooth val="0"/>
          <c:extLst>
            <c:ext xmlns:c16="http://schemas.microsoft.com/office/drawing/2014/chart" uri="{C3380CC4-5D6E-409C-BE32-E72D297353CC}">
              <c16:uniqueId val="{0000008D-88DC-42CC-9136-EA7D79313183}"/>
            </c:ext>
          </c:extLst>
        </c:ser>
        <c:ser>
          <c:idx val="118"/>
          <c:order val="118"/>
          <c:tx>
            <c:v>x=0.0234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2.3400000000000001E-2</c:v>
              </c:pt>
              <c:pt idx="1">
                <c:v>2.3400000000000001E-2</c:v>
              </c:pt>
            </c:numLit>
          </c:yVal>
          <c:smooth val="0"/>
          <c:extLst>
            <c:ext xmlns:c16="http://schemas.microsoft.com/office/drawing/2014/chart" uri="{C3380CC4-5D6E-409C-BE32-E72D297353CC}">
              <c16:uniqueId val="{0000008E-88DC-42CC-9136-EA7D79313183}"/>
            </c:ext>
          </c:extLst>
        </c:ser>
        <c:ser>
          <c:idx val="119"/>
          <c:order val="119"/>
          <c:tx>
            <c:v>x=0.0236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2.3599999999999999E-2</c:v>
              </c:pt>
              <c:pt idx="1">
                <c:v>2.3599999999999999E-2</c:v>
              </c:pt>
            </c:numLit>
          </c:yVal>
          <c:smooth val="0"/>
          <c:extLst>
            <c:ext xmlns:c16="http://schemas.microsoft.com/office/drawing/2014/chart" uri="{C3380CC4-5D6E-409C-BE32-E72D297353CC}">
              <c16:uniqueId val="{0000008F-88DC-42CC-9136-EA7D79313183}"/>
            </c:ext>
          </c:extLst>
        </c:ser>
        <c:ser>
          <c:idx val="120"/>
          <c:order val="120"/>
          <c:tx>
            <c:v>x=0.0238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2.3800000000000002E-2</c:v>
              </c:pt>
              <c:pt idx="1">
                <c:v>2.3800000000000002E-2</c:v>
              </c:pt>
            </c:numLit>
          </c:yVal>
          <c:smooth val="0"/>
          <c:extLst>
            <c:ext xmlns:c16="http://schemas.microsoft.com/office/drawing/2014/chart" uri="{C3380CC4-5D6E-409C-BE32-E72D297353CC}">
              <c16:uniqueId val="{00000090-88DC-42CC-9136-EA7D79313183}"/>
            </c:ext>
          </c:extLst>
        </c:ser>
        <c:ser>
          <c:idx val="121"/>
          <c:order val="121"/>
          <c:tx>
            <c:v>x=0.024</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1-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26.867121272365807</c:v>
              </c:pt>
              <c:pt idx="1">
                <c:v>50.8</c:v>
              </c:pt>
            </c:numLit>
          </c:xVal>
          <c:yVal>
            <c:numLit>
              <c:formatCode>General</c:formatCode>
              <c:ptCount val="2"/>
              <c:pt idx="0">
                <c:v>2.4E-2</c:v>
              </c:pt>
              <c:pt idx="1">
                <c:v>2.4E-2</c:v>
              </c:pt>
            </c:numLit>
          </c:yVal>
          <c:smooth val="0"/>
          <c:extLst>
            <c:ext xmlns:c16="http://schemas.microsoft.com/office/drawing/2014/chart" uri="{C3380CC4-5D6E-409C-BE32-E72D297353CC}">
              <c16:uniqueId val="{00000092-88DC-42CC-9136-EA7D79313183}"/>
            </c:ext>
          </c:extLst>
        </c:ser>
        <c:ser>
          <c:idx val="122"/>
          <c:order val="122"/>
          <c:tx>
            <c:v>x=0.0242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2.4200000000000003E-2</c:v>
              </c:pt>
              <c:pt idx="1">
                <c:v>2.4200000000000003E-2</c:v>
              </c:pt>
            </c:numLit>
          </c:yVal>
          <c:smooth val="0"/>
          <c:extLst>
            <c:ext xmlns:c16="http://schemas.microsoft.com/office/drawing/2014/chart" uri="{C3380CC4-5D6E-409C-BE32-E72D297353CC}">
              <c16:uniqueId val="{00000093-88DC-42CC-9136-EA7D79313183}"/>
            </c:ext>
          </c:extLst>
        </c:ser>
        <c:ser>
          <c:idx val="123"/>
          <c:order val="123"/>
          <c:tx>
            <c:v>x=0.0244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2.4400000000000002E-2</c:v>
              </c:pt>
              <c:pt idx="1">
                <c:v>2.4400000000000002E-2</c:v>
              </c:pt>
            </c:numLit>
          </c:yVal>
          <c:smooth val="0"/>
          <c:extLst>
            <c:ext xmlns:c16="http://schemas.microsoft.com/office/drawing/2014/chart" uri="{C3380CC4-5D6E-409C-BE32-E72D297353CC}">
              <c16:uniqueId val="{00000094-88DC-42CC-9136-EA7D79313183}"/>
            </c:ext>
          </c:extLst>
        </c:ser>
        <c:ser>
          <c:idx val="124"/>
          <c:order val="124"/>
          <c:tx>
            <c:v>x=0.0246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2.46E-2</c:v>
              </c:pt>
              <c:pt idx="1">
                <c:v>2.46E-2</c:v>
              </c:pt>
            </c:numLit>
          </c:yVal>
          <c:smooth val="0"/>
          <c:extLst>
            <c:ext xmlns:c16="http://schemas.microsoft.com/office/drawing/2014/chart" uri="{C3380CC4-5D6E-409C-BE32-E72D297353CC}">
              <c16:uniqueId val="{00000095-88DC-42CC-9136-EA7D79313183}"/>
            </c:ext>
          </c:extLst>
        </c:ser>
        <c:ser>
          <c:idx val="125"/>
          <c:order val="125"/>
          <c:tx>
            <c:v>x=0.0248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2.4800000000000003E-2</c:v>
              </c:pt>
              <c:pt idx="1">
                <c:v>2.4800000000000003E-2</c:v>
              </c:pt>
            </c:numLit>
          </c:yVal>
          <c:smooth val="0"/>
          <c:extLst>
            <c:ext xmlns:c16="http://schemas.microsoft.com/office/drawing/2014/chart" uri="{C3380CC4-5D6E-409C-BE32-E72D297353CC}">
              <c16:uniqueId val="{00000096-88DC-42CC-9136-EA7D79313183}"/>
            </c:ext>
          </c:extLst>
        </c:ser>
        <c:ser>
          <c:idx val="126"/>
          <c:order val="126"/>
          <c:tx>
            <c:v>x=0.025</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0.025</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7-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27.527137176938368</c:v>
              </c:pt>
              <c:pt idx="1">
                <c:v>50.8</c:v>
              </c:pt>
            </c:numLit>
          </c:xVal>
          <c:yVal>
            <c:numLit>
              <c:formatCode>General</c:formatCode>
              <c:ptCount val="2"/>
              <c:pt idx="0">
                <c:v>2.5000000000000001E-2</c:v>
              </c:pt>
              <c:pt idx="1">
                <c:v>2.5000000000000001E-2</c:v>
              </c:pt>
            </c:numLit>
          </c:yVal>
          <c:smooth val="0"/>
          <c:extLst>
            <c:ext xmlns:c16="http://schemas.microsoft.com/office/drawing/2014/chart" uri="{C3380CC4-5D6E-409C-BE32-E72D297353CC}">
              <c16:uniqueId val="{00000098-88DC-42CC-9136-EA7D79313183}"/>
            </c:ext>
          </c:extLst>
        </c:ser>
        <c:ser>
          <c:idx val="127"/>
          <c:order val="127"/>
          <c:tx>
            <c:v>x=0.0252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2.52E-2</c:v>
              </c:pt>
              <c:pt idx="1">
                <c:v>2.52E-2</c:v>
              </c:pt>
            </c:numLit>
          </c:yVal>
          <c:smooth val="0"/>
          <c:extLst>
            <c:ext xmlns:c16="http://schemas.microsoft.com/office/drawing/2014/chart" uri="{C3380CC4-5D6E-409C-BE32-E72D297353CC}">
              <c16:uniqueId val="{00000099-88DC-42CC-9136-EA7D79313183}"/>
            </c:ext>
          </c:extLst>
        </c:ser>
        <c:ser>
          <c:idx val="128"/>
          <c:order val="128"/>
          <c:tx>
            <c:v>x=0.0254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2.5400000000000002E-2</c:v>
              </c:pt>
              <c:pt idx="1">
                <c:v>2.5400000000000002E-2</c:v>
              </c:pt>
            </c:numLit>
          </c:yVal>
          <c:smooth val="0"/>
          <c:extLst>
            <c:ext xmlns:c16="http://schemas.microsoft.com/office/drawing/2014/chart" uri="{C3380CC4-5D6E-409C-BE32-E72D297353CC}">
              <c16:uniqueId val="{0000009A-88DC-42CC-9136-EA7D79313183}"/>
            </c:ext>
          </c:extLst>
        </c:ser>
        <c:ser>
          <c:idx val="129"/>
          <c:order val="129"/>
          <c:tx>
            <c:v>x=0.0256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2.5600000000000001E-2</c:v>
              </c:pt>
              <c:pt idx="1">
                <c:v>2.5600000000000001E-2</c:v>
              </c:pt>
            </c:numLit>
          </c:yVal>
          <c:smooth val="0"/>
          <c:extLst>
            <c:ext xmlns:c16="http://schemas.microsoft.com/office/drawing/2014/chart" uri="{C3380CC4-5D6E-409C-BE32-E72D297353CC}">
              <c16:uniqueId val="{0000009B-88DC-42CC-9136-EA7D79313183}"/>
            </c:ext>
          </c:extLst>
        </c:ser>
        <c:ser>
          <c:idx val="130"/>
          <c:order val="130"/>
          <c:tx>
            <c:v>x=0.0258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2.58E-2</c:v>
              </c:pt>
              <c:pt idx="1">
                <c:v>2.58E-2</c:v>
              </c:pt>
            </c:numLit>
          </c:yVal>
          <c:smooth val="0"/>
          <c:extLst>
            <c:ext xmlns:c16="http://schemas.microsoft.com/office/drawing/2014/chart" uri="{C3380CC4-5D6E-409C-BE32-E72D297353CC}">
              <c16:uniqueId val="{0000009C-88DC-42CC-9136-EA7D79313183}"/>
            </c:ext>
          </c:extLst>
        </c:ser>
        <c:ser>
          <c:idx val="131"/>
          <c:order val="131"/>
          <c:tx>
            <c:v>x=0.026</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0.026</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D-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28.168669184890657</c:v>
              </c:pt>
              <c:pt idx="1">
                <c:v>50.8</c:v>
              </c:pt>
            </c:numLit>
          </c:xVal>
          <c:yVal>
            <c:numLit>
              <c:formatCode>General</c:formatCode>
              <c:ptCount val="2"/>
              <c:pt idx="0">
                <c:v>2.6000000000000002E-2</c:v>
              </c:pt>
              <c:pt idx="1">
                <c:v>2.6000000000000002E-2</c:v>
              </c:pt>
            </c:numLit>
          </c:yVal>
          <c:smooth val="0"/>
          <c:extLst>
            <c:ext xmlns:c16="http://schemas.microsoft.com/office/drawing/2014/chart" uri="{C3380CC4-5D6E-409C-BE32-E72D297353CC}">
              <c16:uniqueId val="{0000009E-88DC-42CC-9136-EA7D79313183}"/>
            </c:ext>
          </c:extLst>
        </c:ser>
        <c:ser>
          <c:idx val="132"/>
          <c:order val="132"/>
          <c:tx>
            <c:v>x=0.0262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2.6200000000000001E-2</c:v>
              </c:pt>
              <c:pt idx="1">
                <c:v>2.6200000000000001E-2</c:v>
              </c:pt>
            </c:numLit>
          </c:yVal>
          <c:smooth val="0"/>
          <c:extLst>
            <c:ext xmlns:c16="http://schemas.microsoft.com/office/drawing/2014/chart" uri="{C3380CC4-5D6E-409C-BE32-E72D297353CC}">
              <c16:uniqueId val="{0000009F-88DC-42CC-9136-EA7D79313183}"/>
            </c:ext>
          </c:extLst>
        </c:ser>
        <c:ser>
          <c:idx val="133"/>
          <c:order val="133"/>
          <c:tx>
            <c:v>x=0.0264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2.64E-2</c:v>
              </c:pt>
              <c:pt idx="1">
                <c:v>2.64E-2</c:v>
              </c:pt>
            </c:numLit>
          </c:yVal>
          <c:smooth val="0"/>
          <c:extLst>
            <c:ext xmlns:c16="http://schemas.microsoft.com/office/drawing/2014/chart" uri="{C3380CC4-5D6E-409C-BE32-E72D297353CC}">
              <c16:uniqueId val="{000000A0-88DC-42CC-9136-EA7D79313183}"/>
            </c:ext>
          </c:extLst>
        </c:ser>
        <c:ser>
          <c:idx val="134"/>
          <c:order val="134"/>
          <c:tx>
            <c:v>x=0.0266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2.6600000000000002E-2</c:v>
              </c:pt>
              <c:pt idx="1">
                <c:v>2.6600000000000002E-2</c:v>
              </c:pt>
            </c:numLit>
          </c:yVal>
          <c:smooth val="0"/>
          <c:extLst>
            <c:ext xmlns:c16="http://schemas.microsoft.com/office/drawing/2014/chart" uri="{C3380CC4-5D6E-409C-BE32-E72D297353CC}">
              <c16:uniqueId val="{000000A1-88DC-42CC-9136-EA7D79313183}"/>
            </c:ext>
          </c:extLst>
        </c:ser>
        <c:ser>
          <c:idx val="135"/>
          <c:order val="135"/>
          <c:tx>
            <c:v>x=0.0268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2.6800000000000001E-2</c:v>
              </c:pt>
              <c:pt idx="1">
                <c:v>2.6800000000000001E-2</c:v>
              </c:pt>
            </c:numLit>
          </c:yVal>
          <c:smooth val="0"/>
          <c:extLst>
            <c:ext xmlns:c16="http://schemas.microsoft.com/office/drawing/2014/chart" uri="{C3380CC4-5D6E-409C-BE32-E72D297353CC}">
              <c16:uniqueId val="{000000A2-88DC-42CC-9136-EA7D79313183}"/>
            </c:ext>
          </c:extLst>
        </c:ser>
        <c:ser>
          <c:idx val="136"/>
          <c:order val="136"/>
          <c:tx>
            <c:v>x=0.027</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0.027</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3-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28.791606361829029</c:v>
              </c:pt>
              <c:pt idx="1">
                <c:v>50.8</c:v>
              </c:pt>
            </c:numLit>
          </c:xVal>
          <c:yVal>
            <c:numLit>
              <c:formatCode>General</c:formatCode>
              <c:ptCount val="2"/>
              <c:pt idx="0">
                <c:v>2.7E-2</c:v>
              </c:pt>
              <c:pt idx="1">
                <c:v>2.7E-2</c:v>
              </c:pt>
            </c:numLit>
          </c:yVal>
          <c:smooth val="0"/>
          <c:extLst>
            <c:ext xmlns:c16="http://schemas.microsoft.com/office/drawing/2014/chart" uri="{C3380CC4-5D6E-409C-BE32-E72D297353CC}">
              <c16:uniqueId val="{000000A4-88DC-42CC-9136-EA7D79313183}"/>
            </c:ext>
          </c:extLst>
        </c:ser>
        <c:ser>
          <c:idx val="137"/>
          <c:order val="137"/>
          <c:tx>
            <c:v>x=0.0272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2.7200000000000002E-2</c:v>
              </c:pt>
              <c:pt idx="1">
                <c:v>2.7200000000000002E-2</c:v>
              </c:pt>
            </c:numLit>
          </c:yVal>
          <c:smooth val="0"/>
          <c:extLst>
            <c:ext xmlns:c16="http://schemas.microsoft.com/office/drawing/2014/chart" uri="{C3380CC4-5D6E-409C-BE32-E72D297353CC}">
              <c16:uniqueId val="{000000A5-88DC-42CC-9136-EA7D79313183}"/>
            </c:ext>
          </c:extLst>
        </c:ser>
        <c:ser>
          <c:idx val="138"/>
          <c:order val="138"/>
          <c:tx>
            <c:v>x=0.0274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2.7400000000000001E-2</c:v>
              </c:pt>
              <c:pt idx="1">
                <c:v>2.7400000000000001E-2</c:v>
              </c:pt>
            </c:numLit>
          </c:yVal>
          <c:smooth val="0"/>
          <c:extLst>
            <c:ext xmlns:c16="http://schemas.microsoft.com/office/drawing/2014/chart" uri="{C3380CC4-5D6E-409C-BE32-E72D297353CC}">
              <c16:uniqueId val="{000000A6-88DC-42CC-9136-EA7D79313183}"/>
            </c:ext>
          </c:extLst>
        </c:ser>
        <c:ser>
          <c:idx val="139"/>
          <c:order val="139"/>
          <c:tx>
            <c:v>x=0.0276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2.7600000000000003E-2</c:v>
              </c:pt>
              <c:pt idx="1">
                <c:v>2.7600000000000003E-2</c:v>
              </c:pt>
            </c:numLit>
          </c:yVal>
          <c:smooth val="0"/>
          <c:extLst>
            <c:ext xmlns:c16="http://schemas.microsoft.com/office/drawing/2014/chart" uri="{C3380CC4-5D6E-409C-BE32-E72D297353CC}">
              <c16:uniqueId val="{000000A7-88DC-42CC-9136-EA7D79313183}"/>
            </c:ext>
          </c:extLst>
        </c:ser>
        <c:ser>
          <c:idx val="140"/>
          <c:order val="140"/>
          <c:tx>
            <c:v>x=0.0278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2.7800000000000002E-2</c:v>
              </c:pt>
              <c:pt idx="1">
                <c:v>2.7800000000000002E-2</c:v>
              </c:pt>
            </c:numLit>
          </c:yVal>
          <c:smooth val="0"/>
          <c:extLst>
            <c:ext xmlns:c16="http://schemas.microsoft.com/office/drawing/2014/chart" uri="{C3380CC4-5D6E-409C-BE32-E72D297353CC}">
              <c16:uniqueId val="{000000A8-88DC-42CC-9136-EA7D79313183}"/>
            </c:ext>
          </c:extLst>
        </c:ser>
        <c:ser>
          <c:idx val="141"/>
          <c:order val="141"/>
          <c:tx>
            <c:v>x=0.028</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0.028</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9-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29.385320079522867</c:v>
              </c:pt>
              <c:pt idx="1">
                <c:v>50.8</c:v>
              </c:pt>
            </c:numLit>
          </c:xVal>
          <c:yVal>
            <c:numLit>
              <c:formatCode>General</c:formatCode>
              <c:ptCount val="2"/>
              <c:pt idx="0">
                <c:v>2.8000000000000001E-2</c:v>
              </c:pt>
              <c:pt idx="1">
                <c:v>2.8000000000000001E-2</c:v>
              </c:pt>
            </c:numLit>
          </c:yVal>
          <c:smooth val="0"/>
          <c:extLst>
            <c:ext xmlns:c16="http://schemas.microsoft.com/office/drawing/2014/chart" uri="{C3380CC4-5D6E-409C-BE32-E72D297353CC}">
              <c16:uniqueId val="{000000AA-88DC-42CC-9136-EA7D79313183}"/>
            </c:ext>
          </c:extLst>
        </c:ser>
        <c:ser>
          <c:idx val="142"/>
          <c:order val="142"/>
          <c:tx>
            <c:v>x=0.0282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2.8200000000000003E-2</c:v>
              </c:pt>
              <c:pt idx="1">
                <c:v>2.8200000000000003E-2</c:v>
              </c:pt>
            </c:numLit>
          </c:yVal>
          <c:smooth val="0"/>
          <c:extLst>
            <c:ext xmlns:c16="http://schemas.microsoft.com/office/drawing/2014/chart" uri="{C3380CC4-5D6E-409C-BE32-E72D297353CC}">
              <c16:uniqueId val="{000000AB-88DC-42CC-9136-EA7D79313183}"/>
            </c:ext>
          </c:extLst>
        </c:ser>
        <c:ser>
          <c:idx val="143"/>
          <c:order val="143"/>
          <c:tx>
            <c:v>x=0.0284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2.8400000000000002E-2</c:v>
              </c:pt>
              <c:pt idx="1">
                <c:v>2.8400000000000002E-2</c:v>
              </c:pt>
            </c:numLit>
          </c:yVal>
          <c:smooth val="0"/>
          <c:extLst>
            <c:ext xmlns:c16="http://schemas.microsoft.com/office/drawing/2014/chart" uri="{C3380CC4-5D6E-409C-BE32-E72D297353CC}">
              <c16:uniqueId val="{000000AC-88DC-42CC-9136-EA7D79313183}"/>
            </c:ext>
          </c:extLst>
        </c:ser>
        <c:ser>
          <c:idx val="144"/>
          <c:order val="144"/>
          <c:tx>
            <c:v>x=0.0286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2.86E-2</c:v>
              </c:pt>
              <c:pt idx="1">
                <c:v>2.86E-2</c:v>
              </c:pt>
            </c:numLit>
          </c:yVal>
          <c:smooth val="0"/>
          <c:extLst>
            <c:ext xmlns:c16="http://schemas.microsoft.com/office/drawing/2014/chart" uri="{C3380CC4-5D6E-409C-BE32-E72D297353CC}">
              <c16:uniqueId val="{000000AD-88DC-42CC-9136-EA7D79313183}"/>
            </c:ext>
          </c:extLst>
        </c:ser>
        <c:ser>
          <c:idx val="145"/>
          <c:order val="145"/>
          <c:tx>
            <c:v>x=0.0288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2.8800000000000003E-2</c:v>
              </c:pt>
              <c:pt idx="1">
                <c:v>2.8800000000000003E-2</c:v>
              </c:pt>
            </c:numLit>
          </c:yVal>
          <c:smooth val="0"/>
          <c:extLst>
            <c:ext xmlns:c16="http://schemas.microsoft.com/office/drawing/2014/chart" uri="{C3380CC4-5D6E-409C-BE32-E72D297353CC}">
              <c16:uniqueId val="{000000AE-88DC-42CC-9136-EA7D79313183}"/>
            </c:ext>
          </c:extLst>
        </c:ser>
        <c:ser>
          <c:idx val="146"/>
          <c:order val="146"/>
          <c:tx>
            <c:v>x=0.029</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0.029</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F-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29.970716302186883</c:v>
              </c:pt>
              <c:pt idx="1">
                <c:v>50.8</c:v>
              </c:pt>
            </c:numLit>
          </c:xVal>
          <c:yVal>
            <c:numLit>
              <c:formatCode>General</c:formatCode>
              <c:ptCount val="2"/>
              <c:pt idx="0">
                <c:v>2.9000000000000001E-2</c:v>
              </c:pt>
              <c:pt idx="1">
                <c:v>2.9000000000000001E-2</c:v>
              </c:pt>
            </c:numLit>
          </c:yVal>
          <c:smooth val="0"/>
          <c:extLst>
            <c:ext xmlns:c16="http://schemas.microsoft.com/office/drawing/2014/chart" uri="{C3380CC4-5D6E-409C-BE32-E72D297353CC}">
              <c16:uniqueId val="{000000B0-88DC-42CC-9136-EA7D79313183}"/>
            </c:ext>
          </c:extLst>
        </c:ser>
        <c:ser>
          <c:idx val="147"/>
          <c:order val="147"/>
          <c:tx>
            <c:v>x=0.0292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2.92E-2</c:v>
              </c:pt>
              <c:pt idx="1">
                <c:v>2.92E-2</c:v>
              </c:pt>
            </c:numLit>
          </c:yVal>
          <c:smooth val="0"/>
          <c:extLst>
            <c:ext xmlns:c16="http://schemas.microsoft.com/office/drawing/2014/chart" uri="{C3380CC4-5D6E-409C-BE32-E72D297353CC}">
              <c16:uniqueId val="{000000B1-88DC-42CC-9136-EA7D79313183}"/>
            </c:ext>
          </c:extLst>
        </c:ser>
        <c:ser>
          <c:idx val="148"/>
          <c:order val="148"/>
          <c:tx>
            <c:v>x=0.0294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2.9400000000000003E-2</c:v>
              </c:pt>
              <c:pt idx="1">
                <c:v>2.9400000000000003E-2</c:v>
              </c:pt>
            </c:numLit>
          </c:yVal>
          <c:smooth val="0"/>
          <c:extLst>
            <c:ext xmlns:c16="http://schemas.microsoft.com/office/drawing/2014/chart" uri="{C3380CC4-5D6E-409C-BE32-E72D297353CC}">
              <c16:uniqueId val="{000000B2-88DC-42CC-9136-EA7D79313183}"/>
            </c:ext>
          </c:extLst>
        </c:ser>
        <c:ser>
          <c:idx val="149"/>
          <c:order val="149"/>
          <c:tx>
            <c:v>x=0.0296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2.9600000000000001E-2</c:v>
              </c:pt>
              <c:pt idx="1">
                <c:v>2.9600000000000001E-2</c:v>
              </c:pt>
            </c:numLit>
          </c:yVal>
          <c:smooth val="0"/>
          <c:extLst>
            <c:ext xmlns:c16="http://schemas.microsoft.com/office/drawing/2014/chart" uri="{C3380CC4-5D6E-409C-BE32-E72D297353CC}">
              <c16:uniqueId val="{000000B3-88DC-42CC-9136-EA7D79313183}"/>
            </c:ext>
          </c:extLst>
        </c:ser>
        <c:ser>
          <c:idx val="150"/>
          <c:order val="150"/>
          <c:tx>
            <c:v>x=0.0298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2.98E-2</c:v>
              </c:pt>
              <c:pt idx="1">
                <c:v>2.98E-2</c:v>
              </c:pt>
            </c:numLit>
          </c:yVal>
          <c:smooth val="0"/>
          <c:extLst>
            <c:ext xmlns:c16="http://schemas.microsoft.com/office/drawing/2014/chart" uri="{C3380CC4-5D6E-409C-BE32-E72D297353CC}">
              <c16:uniqueId val="{000000B4-88DC-42CC-9136-EA7D79313183}"/>
            </c:ext>
          </c:extLst>
        </c:ser>
        <c:ser>
          <c:idx val="151"/>
          <c:order val="151"/>
          <c:tx>
            <c:v>x=0.03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5-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30.537184890656061</c:v>
              </c:pt>
              <c:pt idx="1">
                <c:v>50.8</c:v>
              </c:pt>
            </c:numLit>
          </c:xVal>
          <c:yVal>
            <c:numLit>
              <c:formatCode>General</c:formatCode>
              <c:ptCount val="2"/>
              <c:pt idx="0">
                <c:v>3.0000000000000002E-2</c:v>
              </c:pt>
              <c:pt idx="1">
                <c:v>3.0000000000000002E-2</c:v>
              </c:pt>
            </c:numLit>
          </c:yVal>
          <c:smooth val="0"/>
          <c:extLst>
            <c:ext xmlns:c16="http://schemas.microsoft.com/office/drawing/2014/chart" uri="{C3380CC4-5D6E-409C-BE32-E72D297353CC}">
              <c16:uniqueId val="{000000B6-88DC-42CC-9136-EA7D79313183}"/>
            </c:ext>
          </c:extLst>
        </c:ser>
        <c:ser>
          <c:idx val="152"/>
          <c:order val="152"/>
          <c:tx>
            <c:v>x=0.0302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3.0200000000000001E-2</c:v>
              </c:pt>
              <c:pt idx="1">
                <c:v>3.0200000000000001E-2</c:v>
              </c:pt>
            </c:numLit>
          </c:yVal>
          <c:smooth val="0"/>
          <c:extLst>
            <c:ext xmlns:c16="http://schemas.microsoft.com/office/drawing/2014/chart" uri="{C3380CC4-5D6E-409C-BE32-E72D297353CC}">
              <c16:uniqueId val="{000000B7-88DC-42CC-9136-EA7D79313183}"/>
            </c:ext>
          </c:extLst>
        </c:ser>
        <c:ser>
          <c:idx val="153"/>
          <c:order val="153"/>
          <c:tx>
            <c:v>x=0.0304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3.04E-2</c:v>
              </c:pt>
              <c:pt idx="1">
                <c:v>3.04E-2</c:v>
              </c:pt>
            </c:numLit>
          </c:yVal>
          <c:smooth val="0"/>
          <c:extLst>
            <c:ext xmlns:c16="http://schemas.microsoft.com/office/drawing/2014/chart" uri="{C3380CC4-5D6E-409C-BE32-E72D297353CC}">
              <c16:uniqueId val="{000000B8-88DC-42CC-9136-EA7D79313183}"/>
            </c:ext>
          </c:extLst>
        </c:ser>
        <c:ser>
          <c:idx val="154"/>
          <c:order val="154"/>
          <c:tx>
            <c:v>x=0.0306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3.0600000000000002E-2</c:v>
              </c:pt>
              <c:pt idx="1">
                <c:v>3.0600000000000002E-2</c:v>
              </c:pt>
            </c:numLit>
          </c:yVal>
          <c:smooth val="0"/>
          <c:extLst>
            <c:ext xmlns:c16="http://schemas.microsoft.com/office/drawing/2014/chart" uri="{C3380CC4-5D6E-409C-BE32-E72D297353CC}">
              <c16:uniqueId val="{000000B9-88DC-42CC-9136-EA7D79313183}"/>
            </c:ext>
          </c:extLst>
        </c:ser>
        <c:ser>
          <c:idx val="155"/>
          <c:order val="155"/>
          <c:tx>
            <c:v>x=0.0308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3.0800000000000001E-2</c:v>
              </c:pt>
              <c:pt idx="1">
                <c:v>3.0800000000000001E-2</c:v>
              </c:pt>
            </c:numLit>
          </c:yVal>
          <c:smooth val="0"/>
          <c:extLst>
            <c:ext xmlns:c16="http://schemas.microsoft.com/office/drawing/2014/chart" uri="{C3380CC4-5D6E-409C-BE32-E72D297353CC}">
              <c16:uniqueId val="{000000BA-88DC-42CC-9136-EA7D79313183}"/>
            </c:ext>
          </c:extLst>
        </c:ser>
        <c:ser>
          <c:idx val="156"/>
          <c:order val="156"/>
          <c:tx>
            <c:v>x=0.031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B-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31.084614910536782</c:v>
              </c:pt>
              <c:pt idx="1">
                <c:v>50.8</c:v>
              </c:pt>
            </c:numLit>
          </c:xVal>
          <c:yVal>
            <c:numLit>
              <c:formatCode>General</c:formatCode>
              <c:ptCount val="2"/>
              <c:pt idx="0">
                <c:v>3.1E-2</c:v>
              </c:pt>
              <c:pt idx="1">
                <c:v>3.1E-2</c:v>
              </c:pt>
            </c:numLit>
          </c:yVal>
          <c:smooth val="0"/>
          <c:extLst>
            <c:ext xmlns:c16="http://schemas.microsoft.com/office/drawing/2014/chart" uri="{C3380CC4-5D6E-409C-BE32-E72D297353CC}">
              <c16:uniqueId val="{000000BC-88DC-42CC-9136-EA7D79313183}"/>
            </c:ext>
          </c:extLst>
        </c:ser>
        <c:ser>
          <c:idx val="157"/>
          <c:order val="157"/>
          <c:tx>
            <c:v>x=0.0312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3.1200000000000002E-2</c:v>
              </c:pt>
              <c:pt idx="1">
                <c:v>3.1200000000000002E-2</c:v>
              </c:pt>
            </c:numLit>
          </c:yVal>
          <c:smooth val="0"/>
          <c:extLst>
            <c:ext xmlns:c16="http://schemas.microsoft.com/office/drawing/2014/chart" uri="{C3380CC4-5D6E-409C-BE32-E72D297353CC}">
              <c16:uniqueId val="{000000BD-88DC-42CC-9136-EA7D79313183}"/>
            </c:ext>
          </c:extLst>
        </c:ser>
        <c:ser>
          <c:idx val="158"/>
          <c:order val="158"/>
          <c:tx>
            <c:v>x=0.0314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3.1400000000000004E-2</c:v>
              </c:pt>
              <c:pt idx="1">
                <c:v>3.1400000000000004E-2</c:v>
              </c:pt>
            </c:numLit>
          </c:yVal>
          <c:smooth val="0"/>
          <c:extLst>
            <c:ext xmlns:c16="http://schemas.microsoft.com/office/drawing/2014/chart" uri="{C3380CC4-5D6E-409C-BE32-E72D297353CC}">
              <c16:uniqueId val="{000000BE-88DC-42CC-9136-EA7D79313183}"/>
            </c:ext>
          </c:extLst>
        </c:ser>
        <c:ser>
          <c:idx val="159"/>
          <c:order val="159"/>
          <c:tx>
            <c:v>x=0.0316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3.1600000000000003E-2</c:v>
              </c:pt>
              <c:pt idx="1">
                <c:v>3.1600000000000003E-2</c:v>
              </c:pt>
            </c:numLit>
          </c:yVal>
          <c:smooth val="0"/>
          <c:extLst>
            <c:ext xmlns:c16="http://schemas.microsoft.com/office/drawing/2014/chart" uri="{C3380CC4-5D6E-409C-BE32-E72D297353CC}">
              <c16:uniqueId val="{000000BF-88DC-42CC-9136-EA7D79313183}"/>
            </c:ext>
          </c:extLst>
        </c:ser>
        <c:ser>
          <c:idx val="160"/>
          <c:order val="160"/>
          <c:tx>
            <c:v>x=0.0318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3.1800000000000002E-2</c:v>
              </c:pt>
              <c:pt idx="1">
                <c:v>3.1800000000000002E-2</c:v>
              </c:pt>
            </c:numLit>
          </c:yVal>
          <c:smooth val="0"/>
          <c:extLst>
            <c:ext xmlns:c16="http://schemas.microsoft.com/office/drawing/2014/chart" uri="{C3380CC4-5D6E-409C-BE32-E72D297353CC}">
              <c16:uniqueId val="{000000C0-88DC-42CC-9136-EA7D79313183}"/>
            </c:ext>
          </c:extLst>
        </c:ser>
        <c:ser>
          <c:idx val="161"/>
          <c:order val="161"/>
          <c:tx>
            <c:v>x=0.032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1-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31.623487077534794</c:v>
              </c:pt>
              <c:pt idx="1">
                <c:v>50.8</c:v>
              </c:pt>
            </c:numLit>
          </c:xVal>
          <c:yVal>
            <c:numLit>
              <c:formatCode>General</c:formatCode>
              <c:ptCount val="2"/>
              <c:pt idx="0">
                <c:v>3.2000000000000001E-2</c:v>
              </c:pt>
              <c:pt idx="1">
                <c:v>3.2000000000000001E-2</c:v>
              </c:pt>
            </c:numLit>
          </c:yVal>
          <c:smooth val="0"/>
          <c:extLst>
            <c:ext xmlns:c16="http://schemas.microsoft.com/office/drawing/2014/chart" uri="{C3380CC4-5D6E-409C-BE32-E72D297353CC}">
              <c16:uniqueId val="{000000C2-88DC-42CC-9136-EA7D79313183}"/>
            </c:ext>
          </c:extLst>
        </c:ser>
        <c:ser>
          <c:idx val="162"/>
          <c:order val="162"/>
          <c:tx>
            <c:v>x=0.0322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3.2199999999999999E-2</c:v>
              </c:pt>
              <c:pt idx="1">
                <c:v>3.2199999999999999E-2</c:v>
              </c:pt>
            </c:numLit>
          </c:yVal>
          <c:smooth val="0"/>
          <c:extLst>
            <c:ext xmlns:c16="http://schemas.microsoft.com/office/drawing/2014/chart" uri="{C3380CC4-5D6E-409C-BE32-E72D297353CC}">
              <c16:uniqueId val="{000000C3-88DC-42CC-9136-EA7D79313183}"/>
            </c:ext>
          </c:extLst>
        </c:ser>
        <c:ser>
          <c:idx val="163"/>
          <c:order val="163"/>
          <c:tx>
            <c:v>x=0.0324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3.2399999999999998E-2</c:v>
              </c:pt>
              <c:pt idx="1">
                <c:v>3.2399999999999998E-2</c:v>
              </c:pt>
            </c:numLit>
          </c:yVal>
          <c:smooth val="0"/>
          <c:extLst>
            <c:ext xmlns:c16="http://schemas.microsoft.com/office/drawing/2014/chart" uri="{C3380CC4-5D6E-409C-BE32-E72D297353CC}">
              <c16:uniqueId val="{000000C4-88DC-42CC-9136-EA7D79313183}"/>
            </c:ext>
          </c:extLst>
        </c:ser>
        <c:ser>
          <c:idx val="164"/>
          <c:order val="164"/>
          <c:tx>
            <c:v>x=0.0326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3.2600000000000004E-2</c:v>
              </c:pt>
              <c:pt idx="1">
                <c:v>3.2600000000000004E-2</c:v>
              </c:pt>
            </c:numLit>
          </c:yVal>
          <c:smooth val="0"/>
          <c:extLst>
            <c:ext xmlns:c16="http://schemas.microsoft.com/office/drawing/2014/chart" uri="{C3380CC4-5D6E-409C-BE32-E72D297353CC}">
              <c16:uniqueId val="{000000C5-88DC-42CC-9136-EA7D79313183}"/>
            </c:ext>
          </c:extLst>
        </c:ser>
        <c:ser>
          <c:idx val="165"/>
          <c:order val="165"/>
          <c:tx>
            <c:v>x=0.0328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3.2800000000000003E-2</c:v>
              </c:pt>
              <c:pt idx="1">
                <c:v>3.2800000000000003E-2</c:v>
              </c:pt>
            </c:numLit>
          </c:yVal>
          <c:smooth val="0"/>
          <c:extLst>
            <c:ext xmlns:c16="http://schemas.microsoft.com/office/drawing/2014/chart" uri="{C3380CC4-5D6E-409C-BE32-E72D297353CC}">
              <c16:uniqueId val="{000000C6-88DC-42CC-9136-EA7D79313183}"/>
            </c:ext>
          </c:extLst>
        </c:ser>
        <c:ser>
          <c:idx val="166"/>
          <c:order val="166"/>
          <c:tx>
            <c:v>x=0.033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7-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32.143135785288273</c:v>
              </c:pt>
              <c:pt idx="1">
                <c:v>50.8</c:v>
              </c:pt>
            </c:numLit>
          </c:xVal>
          <c:yVal>
            <c:numLit>
              <c:formatCode>General</c:formatCode>
              <c:ptCount val="2"/>
              <c:pt idx="0">
                <c:v>3.3000000000000002E-2</c:v>
              </c:pt>
              <c:pt idx="1">
                <c:v>3.3000000000000002E-2</c:v>
              </c:pt>
            </c:numLit>
          </c:yVal>
          <c:smooth val="0"/>
          <c:extLst>
            <c:ext xmlns:c16="http://schemas.microsoft.com/office/drawing/2014/chart" uri="{C3380CC4-5D6E-409C-BE32-E72D297353CC}">
              <c16:uniqueId val="{000000C8-88DC-42CC-9136-EA7D79313183}"/>
            </c:ext>
          </c:extLst>
        </c:ser>
        <c:ser>
          <c:idx val="167"/>
          <c:order val="167"/>
          <c:tx>
            <c:v>x=0.0332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3.32E-2</c:v>
              </c:pt>
              <c:pt idx="1">
                <c:v>3.32E-2</c:v>
              </c:pt>
            </c:numLit>
          </c:yVal>
          <c:smooth val="0"/>
          <c:extLst>
            <c:ext xmlns:c16="http://schemas.microsoft.com/office/drawing/2014/chart" uri="{C3380CC4-5D6E-409C-BE32-E72D297353CC}">
              <c16:uniqueId val="{000000C9-88DC-42CC-9136-EA7D79313183}"/>
            </c:ext>
          </c:extLst>
        </c:ser>
        <c:ser>
          <c:idx val="168"/>
          <c:order val="168"/>
          <c:tx>
            <c:v>x=0.0334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3.3399999999999999E-2</c:v>
              </c:pt>
              <c:pt idx="1">
                <c:v>3.3399999999999999E-2</c:v>
              </c:pt>
            </c:numLit>
          </c:yVal>
          <c:smooth val="0"/>
          <c:extLst>
            <c:ext xmlns:c16="http://schemas.microsoft.com/office/drawing/2014/chart" uri="{C3380CC4-5D6E-409C-BE32-E72D297353CC}">
              <c16:uniqueId val="{000000CA-88DC-42CC-9136-EA7D79313183}"/>
            </c:ext>
          </c:extLst>
        </c:ser>
        <c:ser>
          <c:idx val="169"/>
          <c:order val="169"/>
          <c:tx>
            <c:v>x=0.0336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3.3600000000000005E-2</c:v>
              </c:pt>
              <c:pt idx="1">
                <c:v>3.3600000000000005E-2</c:v>
              </c:pt>
            </c:numLit>
          </c:yVal>
          <c:smooth val="0"/>
          <c:extLst>
            <c:ext xmlns:c16="http://schemas.microsoft.com/office/drawing/2014/chart" uri="{C3380CC4-5D6E-409C-BE32-E72D297353CC}">
              <c16:uniqueId val="{000000CB-88DC-42CC-9136-EA7D79313183}"/>
            </c:ext>
          </c:extLst>
        </c:ser>
        <c:ser>
          <c:idx val="170"/>
          <c:order val="170"/>
          <c:tx>
            <c:v>x=0.0338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3.3800000000000004E-2</c:v>
              </c:pt>
              <c:pt idx="1">
                <c:v>3.3800000000000004E-2</c:v>
              </c:pt>
            </c:numLit>
          </c:yVal>
          <c:smooth val="0"/>
          <c:extLst>
            <c:ext xmlns:c16="http://schemas.microsoft.com/office/drawing/2014/chart" uri="{C3380CC4-5D6E-409C-BE32-E72D297353CC}">
              <c16:uniqueId val="{000000CC-88DC-42CC-9136-EA7D79313183}"/>
            </c:ext>
          </c:extLst>
        </c:ser>
        <c:ser>
          <c:idx val="171"/>
          <c:order val="171"/>
          <c:tx>
            <c:v>x=0.034</c:v>
          </c:tx>
          <c:spPr>
            <a:ln w="3175">
              <a:solidFill>
                <a:srgbClr val="000000"/>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D-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-10.178000000000001</c:v>
              </c:pt>
              <c:pt idx="1">
                <c:v>50.8</c:v>
              </c:pt>
            </c:numLit>
          </c:xVal>
          <c:yVal>
            <c:numLit>
              <c:formatCode>General</c:formatCode>
              <c:ptCount val="2"/>
              <c:pt idx="0">
                <c:v>3.4000000000000002E-2</c:v>
              </c:pt>
              <c:pt idx="1">
                <c:v>3.4000000000000002E-2</c:v>
              </c:pt>
            </c:numLit>
          </c:yVal>
          <c:smooth val="0"/>
          <c:extLst>
            <c:ext xmlns:c16="http://schemas.microsoft.com/office/drawing/2014/chart" uri="{C3380CC4-5D6E-409C-BE32-E72D297353CC}">
              <c16:uniqueId val="{000000CE-88DC-42CC-9136-EA7D79313183}"/>
            </c:ext>
          </c:extLst>
        </c:ser>
        <c:ser>
          <c:idx val="172"/>
          <c:order val="172"/>
          <c:tx>
            <c:v>絶対湿度座標軸ラベル</c:v>
          </c:tx>
          <c:spPr>
            <a:ln w="3175">
              <a:solidFill>
                <a:srgbClr val="000000"/>
              </a:solidFill>
              <a:prstDash val="solid"/>
            </a:ln>
          </c:spPr>
          <c:marker>
            <c:symbol val="none"/>
          </c:marker>
          <c:dLbls>
            <c:dLbl>
              <c:idx val="0"/>
              <c:layout>
                <c:manualLayout>
                  <c:x val="3.8194444444444448E-2"/>
                  <c:y val="0"/>
                </c:manualLayout>
              </c:layout>
              <c:tx>
                <c:rich>
                  <a:bodyPr rot="-540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絶対湿度 </a:t>
                    </a:r>
                    <a:r>
                      <a:rPr lang="en-US"/>
                      <a:t>x[kg/kg(DA)]</a:t>
                    </a:r>
                  </a:p>
                </c:rich>
              </c:tx>
              <c:spPr>
                <a:solidFill>
                  <a:srgbClr val="FFFFFF"/>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F-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50.8</c:v>
              </c:pt>
            </c:numLit>
          </c:xVal>
          <c:yVal>
            <c:numLit>
              <c:formatCode>General</c:formatCode>
              <c:ptCount val="1"/>
              <c:pt idx="0">
                <c:v>1.7000000000000001E-2</c:v>
              </c:pt>
            </c:numLit>
          </c:yVal>
          <c:smooth val="0"/>
          <c:extLst>
            <c:ext xmlns:c16="http://schemas.microsoft.com/office/drawing/2014/chart" uri="{C3380CC4-5D6E-409C-BE32-E72D297353CC}">
              <c16:uniqueId val="{000000D0-88DC-42CC-9136-EA7D79313183}"/>
            </c:ext>
          </c:extLst>
        </c:ser>
        <c:ser>
          <c:idx val="173"/>
          <c:order val="173"/>
          <c:tx>
            <c:v>WB=-8</c:v>
          </c:tx>
          <c:spPr>
            <a:ln w="3175">
              <a:solidFill>
                <a:srgbClr val="3366FF"/>
              </a:solidFill>
              <a:prstDash val="sysDash"/>
            </a:ln>
          </c:spPr>
          <c:marker>
            <c:symbol val="none"/>
          </c:marker>
          <c:dLbls>
            <c:dLbl>
              <c:idx val="0"/>
              <c:layout>
                <c:manualLayout>
                  <c:x val="-2.730930118110237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1-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-8.2055155451094635</c:v>
              </c:pt>
              <c:pt idx="1">
                <c:v>-2.5964270935913616</c:v>
              </c:pt>
            </c:numLit>
          </c:xVal>
          <c:yVal>
            <c:numLit>
              <c:formatCode>General</c:formatCode>
              <c:ptCount val="2"/>
              <c:pt idx="0">
                <c:v>1.9164686538757729E-3</c:v>
              </c:pt>
              <c:pt idx="1">
                <c:v>0</c:v>
              </c:pt>
            </c:numLit>
          </c:yVal>
          <c:smooth val="0"/>
          <c:extLst>
            <c:ext xmlns:c16="http://schemas.microsoft.com/office/drawing/2014/chart" uri="{C3380CC4-5D6E-409C-BE32-E72D297353CC}">
              <c16:uniqueId val="{000000D2-88DC-42CC-9136-EA7D79313183}"/>
            </c:ext>
          </c:extLst>
        </c:ser>
        <c:ser>
          <c:idx val="174"/>
          <c:order val="174"/>
          <c:tx>
            <c:v>WB=-7</c:v>
          </c:tx>
          <c:spPr>
            <a:ln w="3175">
              <a:solidFill>
                <a:srgbClr val="3366FF"/>
              </a:solidFill>
              <a:prstDash val="sysDash"/>
            </a:ln>
          </c:spPr>
          <c:marker>
            <c:symbol val="none"/>
          </c:marker>
          <c:dLbls>
            <c:dLbl>
              <c:idx val="0"/>
              <c:layout>
                <c:manualLayout>
                  <c:x val="-2.730930118110237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3-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-7.22041332968442</c:v>
              </c:pt>
              <c:pt idx="1">
                <c:v>-1.1035359511019402</c:v>
              </c:pt>
            </c:numLit>
          </c:xVal>
          <c:yVal>
            <c:numLit>
              <c:formatCode>General</c:formatCode>
              <c:ptCount val="2"/>
              <c:pt idx="0">
                <c:v>2.0914526472602013E-3</c:v>
              </c:pt>
              <c:pt idx="1">
                <c:v>0</c:v>
              </c:pt>
            </c:numLit>
          </c:yVal>
          <c:smooth val="0"/>
          <c:extLst>
            <c:ext xmlns:c16="http://schemas.microsoft.com/office/drawing/2014/chart" uri="{C3380CC4-5D6E-409C-BE32-E72D297353CC}">
              <c16:uniqueId val="{000000D4-88DC-42CC-9136-EA7D79313183}"/>
            </c:ext>
          </c:extLst>
        </c:ser>
        <c:ser>
          <c:idx val="175"/>
          <c:order val="175"/>
          <c:tx>
            <c:v>WB=-6</c:v>
          </c:tx>
          <c:spPr>
            <a:ln w="3175">
              <a:solidFill>
                <a:srgbClr val="3366FF"/>
              </a:solidFill>
              <a:prstDash val="sysDash"/>
            </a:ln>
          </c:spPr>
          <c:marker>
            <c:symbol val="none"/>
          </c:marker>
          <c:dLbls>
            <c:dLbl>
              <c:idx val="0"/>
              <c:layout>
                <c:manualLayout>
                  <c:x val="-2.7309301181102377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5-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-6.2361685593886982</c:v>
              </c:pt>
              <c:pt idx="1">
                <c:v>0.43023773127142068</c:v>
              </c:pt>
            </c:numLit>
          </c:xVal>
          <c:yVal>
            <c:numLit>
              <c:formatCode>General</c:formatCode>
              <c:ptCount val="2"/>
              <c:pt idx="0">
                <c:v>2.2809674610698065E-3</c:v>
              </c:pt>
              <c:pt idx="1">
                <c:v>0</c:v>
              </c:pt>
            </c:numLit>
          </c:yVal>
          <c:smooth val="0"/>
          <c:extLst>
            <c:ext xmlns:c16="http://schemas.microsoft.com/office/drawing/2014/chart" uri="{C3380CC4-5D6E-409C-BE32-E72D297353CC}">
              <c16:uniqueId val="{000000D6-88DC-42CC-9136-EA7D79313183}"/>
            </c:ext>
          </c:extLst>
        </c:ser>
        <c:ser>
          <c:idx val="176"/>
          <c:order val="176"/>
          <c:tx>
            <c:v>WB=-5</c:v>
          </c:tx>
          <c:spPr>
            <a:ln w="3175">
              <a:solidFill>
                <a:srgbClr val="3366FF"/>
              </a:solidFill>
              <a:prstDash val="sysDash"/>
            </a:ln>
          </c:spPr>
          <c:marker>
            <c:symbol val="none"/>
          </c:marker>
          <c:dLbls>
            <c:dLbl>
              <c:idx val="0"/>
              <c:layout>
                <c:manualLayout>
                  <c:x val="-2.7309301181102363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7-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-5.2528112525852375</c:v>
              </c:pt>
              <c:pt idx="1">
                <c:v>2.007950163121949</c:v>
              </c:pt>
            </c:numLit>
          </c:xVal>
          <c:yVal>
            <c:numLit>
              <c:formatCode>General</c:formatCode>
              <c:ptCount val="2"/>
              <c:pt idx="0">
                <c:v>2.4861008807502316E-3</c:v>
              </c:pt>
              <c:pt idx="1">
                <c:v>0</c:v>
              </c:pt>
            </c:numLit>
          </c:yVal>
          <c:smooth val="0"/>
          <c:extLst>
            <c:ext xmlns:c16="http://schemas.microsoft.com/office/drawing/2014/chart" uri="{C3380CC4-5D6E-409C-BE32-E72D297353CC}">
              <c16:uniqueId val="{000000D8-88DC-42CC-9136-EA7D79313183}"/>
            </c:ext>
          </c:extLst>
        </c:ser>
        <c:ser>
          <c:idx val="177"/>
          <c:order val="177"/>
          <c:tx>
            <c:v>WB=-4</c:v>
          </c:tx>
          <c:spPr>
            <a:ln w="3175">
              <a:solidFill>
                <a:srgbClr val="3366FF"/>
              </a:solidFill>
              <a:prstDash val="sysDash"/>
            </a:ln>
          </c:spPr>
          <c:marker>
            <c:symbol val="none"/>
          </c:marker>
          <c:dLbls>
            <c:dLbl>
              <c:idx val="0"/>
              <c:layout>
                <c:manualLayout>
                  <c:x val="-2.7309301181102377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9-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-4.2703706848883494</c:v>
              </c:pt>
              <c:pt idx="1">
                <c:v>3.6328626927800842</c:v>
              </c:pt>
            </c:numLit>
          </c:xVal>
          <c:yVal>
            <c:numLit>
              <c:formatCode>General</c:formatCode>
              <c:ptCount val="2"/>
              <c:pt idx="0">
                <c:v>2.7080138291286308E-3</c:v>
              </c:pt>
              <c:pt idx="1">
                <c:v>0</c:v>
              </c:pt>
            </c:numLit>
          </c:yVal>
          <c:smooth val="0"/>
          <c:extLst>
            <c:ext xmlns:c16="http://schemas.microsoft.com/office/drawing/2014/chart" uri="{C3380CC4-5D6E-409C-BE32-E72D297353CC}">
              <c16:uniqueId val="{000000DA-88DC-42CC-9136-EA7D79313183}"/>
            </c:ext>
          </c:extLst>
        </c:ser>
        <c:ser>
          <c:idx val="178"/>
          <c:order val="178"/>
          <c:tx>
            <c:v>WB=-3</c:v>
          </c:tx>
          <c:spPr>
            <a:ln w="3175">
              <a:solidFill>
                <a:srgbClr val="3366FF"/>
              </a:solidFill>
              <a:prstDash val="sysDash"/>
            </a:ln>
          </c:spPr>
          <c:marker>
            <c:symbol val="none"/>
          </c:marker>
          <c:dLbls>
            <c:dLbl>
              <c:idx val="0"/>
              <c:layout>
                <c:manualLayout>
                  <c:x val="-2.7309301181102377E-2"/>
                  <c:y val="-4.2735042735044301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B-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-3.2888751544738279</c:v>
              </c:pt>
              <c:pt idx="1">
                <c:v>5.3084544187917393</c:v>
              </c:pt>
            </c:numLit>
          </c:xVal>
          <c:yVal>
            <c:numLit>
              <c:formatCode>General</c:formatCode>
              <c:ptCount val="2"/>
              <c:pt idx="0">
                <c:v>2.9479448711774276E-3</c:v>
              </c:pt>
              <c:pt idx="1">
                <c:v>0</c:v>
              </c:pt>
            </c:numLit>
          </c:yVal>
          <c:smooth val="0"/>
          <c:extLst>
            <c:ext xmlns:c16="http://schemas.microsoft.com/office/drawing/2014/chart" uri="{C3380CC4-5D6E-409C-BE32-E72D297353CC}">
              <c16:uniqueId val="{000000DC-88DC-42CC-9136-EA7D79313183}"/>
            </c:ext>
          </c:extLst>
        </c:ser>
        <c:ser>
          <c:idx val="179"/>
          <c:order val="179"/>
          <c:tx>
            <c:v>WB=-2</c:v>
          </c:tx>
          <c:spPr>
            <a:ln w="3175">
              <a:solidFill>
                <a:srgbClr val="3366FF"/>
              </a:solidFill>
              <a:prstDash val="sysDash"/>
            </a:ln>
          </c:spPr>
          <c:marker>
            <c:symbol val="none"/>
          </c:marker>
          <c:dLbls>
            <c:dLbl>
              <c:idx val="0"/>
              <c:layout>
                <c:manualLayout>
                  <c:x val="-2.7309301181102363E-2"/>
                  <c:y val="-4.2735042735044301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D-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-2.3083517242375029</c:v>
              </c:pt>
              <c:pt idx="1">
                <c:v>7.0384355813391366</c:v>
              </c:pt>
            </c:numLit>
          </c:xVal>
          <c:yVal>
            <c:numLit>
              <c:formatCode>General</c:formatCode>
              <c:ptCount val="2"/>
              <c:pt idx="0">
                <c:v>3.2072149977556683E-3</c:v>
              </c:pt>
              <c:pt idx="1">
                <c:v>0</c:v>
              </c:pt>
            </c:numLit>
          </c:yVal>
          <c:smooth val="0"/>
          <c:extLst>
            <c:ext xmlns:c16="http://schemas.microsoft.com/office/drawing/2014/chart" uri="{C3380CC4-5D6E-409C-BE32-E72D297353CC}">
              <c16:uniqueId val="{000000DE-88DC-42CC-9136-EA7D79313183}"/>
            </c:ext>
          </c:extLst>
        </c:ser>
        <c:ser>
          <c:idx val="180"/>
          <c:order val="180"/>
          <c:tx>
            <c:v>WB=-1</c:v>
          </c:tx>
          <c:spPr>
            <a:ln w="3175">
              <a:solidFill>
                <a:srgbClr val="3366FF"/>
              </a:solidFill>
              <a:prstDash val="sysDash"/>
            </a:ln>
          </c:spPr>
          <c:marker>
            <c:symbol val="none"/>
          </c:marker>
          <c:dLbls>
            <c:dLbl>
              <c:idx val="0"/>
              <c:layout>
                <c:manualLayout>
                  <c:x val="-2.7309301181102363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F-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-1.3288259391909207</c:v>
              </c:pt>
              <c:pt idx="1">
                <c:v>8.8267617928991733</c:v>
              </c:pt>
            </c:numLit>
          </c:xVal>
          <c:yVal>
            <c:numLit>
              <c:formatCode>General</c:formatCode>
              <c:ptCount val="2"/>
              <c:pt idx="0">
                <c:v>3.4872327095305327E-3</c:v>
              </c:pt>
              <c:pt idx="1">
                <c:v>0</c:v>
              </c:pt>
            </c:numLit>
          </c:yVal>
          <c:smooth val="0"/>
          <c:extLst>
            <c:ext xmlns:c16="http://schemas.microsoft.com/office/drawing/2014/chart" uri="{C3380CC4-5D6E-409C-BE32-E72D297353CC}">
              <c16:uniqueId val="{000000E0-88DC-42CC-9136-EA7D79313183}"/>
            </c:ext>
          </c:extLst>
        </c:ser>
        <c:ser>
          <c:idx val="181"/>
          <c:order val="181"/>
          <c:tx>
            <c:v>WB=0</c:v>
          </c:tx>
          <c:spPr>
            <a:ln w="3175">
              <a:solidFill>
                <a:srgbClr val="3366FF"/>
              </a:solidFill>
              <a:prstDash val="sysDash"/>
            </a:ln>
          </c:spPr>
          <c:marker>
            <c:symbol val="none"/>
          </c:marker>
          <c:dLbls>
            <c:dLbl>
              <c:idx val="0"/>
              <c:layout>
                <c:manualLayout>
                  <c:x val="-2.6025399168853925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1-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-0.35032151737137113</c:v>
              </c:pt>
              <c:pt idx="1">
                <c:v>10.677649173557942</c:v>
              </c:pt>
            </c:numLit>
          </c:xVal>
          <c:yVal>
            <c:numLit>
              <c:formatCode>General</c:formatCode>
              <c:ptCount val="2"/>
              <c:pt idx="0">
                <c:v>3.7894994244688104E-3</c:v>
              </c:pt>
              <c:pt idx="1">
                <c:v>0</c:v>
              </c:pt>
            </c:numLit>
          </c:yVal>
          <c:smooth val="0"/>
          <c:extLst>
            <c:ext xmlns:c16="http://schemas.microsoft.com/office/drawing/2014/chart" uri="{C3380CC4-5D6E-409C-BE32-E72D297353CC}">
              <c16:uniqueId val="{000000E2-88DC-42CC-9136-EA7D79313183}"/>
            </c:ext>
          </c:extLst>
        </c:ser>
        <c:ser>
          <c:idx val="182"/>
          <c:order val="182"/>
          <c:tx>
            <c:v>WB=1</c:v>
          </c:tx>
          <c:spPr>
            <a:ln w="3175">
              <a:solidFill>
                <a:srgbClr val="3366FF"/>
              </a:solidFill>
              <a:prstDash val="sysDash"/>
            </a:ln>
          </c:spPr>
          <c:marker>
            <c:symbol val="none"/>
          </c:marker>
          <c:dLbls>
            <c:dLbl>
              <c:idx val="0"/>
              <c:layout>
                <c:manualLayout>
                  <c:x val="-2.6166338582677195E-2"/>
                  <c:y val="-4.2735042735044301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3-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0.63072878902048002</c:v>
              </c:pt>
              <c:pt idx="1">
                <c:v>11.123857513967971</c:v>
              </c:pt>
            </c:numLit>
          </c:xVal>
          <c:yVal>
            <c:numLit>
              <c:formatCode>General</c:formatCode>
              <c:ptCount val="2"/>
              <c:pt idx="0">
                <c:v>4.076002175174424E-3</c:v>
              </c:pt>
              <c:pt idx="1">
                <c:v>0</c:v>
              </c:pt>
            </c:numLit>
          </c:yVal>
          <c:smooth val="0"/>
          <c:extLst>
            <c:ext xmlns:c16="http://schemas.microsoft.com/office/drawing/2014/chart" uri="{C3380CC4-5D6E-409C-BE32-E72D297353CC}">
              <c16:uniqueId val="{000000E4-88DC-42CC-9136-EA7D79313183}"/>
            </c:ext>
          </c:extLst>
        </c:ser>
        <c:ser>
          <c:idx val="183"/>
          <c:order val="183"/>
          <c:tx>
            <c:v>WB=2</c:v>
          </c:tx>
          <c:spPr>
            <a:ln w="3175">
              <a:solidFill>
                <a:srgbClr val="3366FF"/>
              </a:solidFill>
              <a:prstDash val="sysDash"/>
            </a:ln>
          </c:spPr>
          <c:marker>
            <c:symbol val="none"/>
          </c:marker>
          <c:dLbls>
            <c:dLbl>
              <c:idx val="0"/>
              <c:layout>
                <c:manualLayout>
                  <c:x val="-2.6166338582677164E-2"/>
                  <c:y val="-4.2735042735044301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5-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1.6111719572746135</c:v>
              </c:pt>
              <c:pt idx="1">
                <c:v>12.871977002704231</c:v>
              </c:pt>
            </c:numLit>
          </c:xVal>
          <c:yVal>
            <c:numLit>
              <c:formatCode>General</c:formatCode>
              <c:ptCount val="2"/>
              <c:pt idx="0">
                <c:v>4.3812837251538872E-3</c:v>
              </c:pt>
              <c:pt idx="1">
                <c:v>0</c:v>
              </c:pt>
            </c:numLit>
          </c:yVal>
          <c:smooth val="0"/>
          <c:extLst>
            <c:ext xmlns:c16="http://schemas.microsoft.com/office/drawing/2014/chart" uri="{C3380CC4-5D6E-409C-BE32-E72D297353CC}">
              <c16:uniqueId val="{000000E6-88DC-42CC-9136-EA7D79313183}"/>
            </c:ext>
          </c:extLst>
        </c:ser>
        <c:ser>
          <c:idx val="184"/>
          <c:order val="184"/>
          <c:tx>
            <c:v>WB=3</c:v>
          </c:tx>
          <c:spPr>
            <a:ln w="3175">
              <a:solidFill>
                <a:srgbClr val="3366FF"/>
              </a:solidFill>
              <a:prstDash val="sysDash"/>
            </a:ln>
          </c:spPr>
          <c:marker>
            <c:symbol val="none"/>
          </c:marker>
          <c:dLbls>
            <c:dLbl>
              <c:idx val="0"/>
              <c:layout>
                <c:manualLayout>
                  <c:x val="-2.6166338582677164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7-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2.5909827527240186</c:v>
              </c:pt>
              <c:pt idx="1">
                <c:v>14.668931744288928</c:v>
              </c:pt>
            </c:numLit>
          </c:xVal>
          <c:yVal>
            <c:numLit>
              <c:formatCode>General</c:formatCode>
              <c:ptCount val="2"/>
              <c:pt idx="0">
                <c:v>4.7068331132422495E-3</c:v>
              </c:pt>
              <c:pt idx="1">
                <c:v>0</c:v>
              </c:pt>
            </c:numLit>
          </c:yVal>
          <c:smooth val="0"/>
          <c:extLst>
            <c:ext xmlns:c16="http://schemas.microsoft.com/office/drawing/2014/chart" uri="{C3380CC4-5D6E-409C-BE32-E72D297353CC}">
              <c16:uniqueId val="{000000E8-88DC-42CC-9136-EA7D79313183}"/>
            </c:ext>
          </c:extLst>
        </c:ser>
        <c:ser>
          <c:idx val="185"/>
          <c:order val="185"/>
          <c:tx>
            <c:v>WB=4</c:v>
          </c:tx>
          <c:spPr>
            <a:ln w="3175">
              <a:solidFill>
                <a:srgbClr val="3366FF"/>
              </a:solidFill>
              <a:prstDash val="sysDash"/>
            </a:ln>
          </c:spPr>
          <c:marker>
            <c:symbol val="none"/>
          </c:marker>
          <c:dLbls>
            <c:dLbl>
              <c:idx val="0"/>
              <c:layout>
                <c:manualLayout>
                  <c:x val="-2.6166338582677164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9-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3.5701735744985212</c:v>
              </c:pt>
              <c:pt idx="1">
                <c:v>16.517493982191819</c:v>
              </c:pt>
            </c:numLit>
          </c:xVal>
          <c:yVal>
            <c:numLit>
              <c:formatCode>General</c:formatCode>
              <c:ptCount val="2"/>
              <c:pt idx="0">
                <c:v>5.0538263680982628E-3</c:v>
              </c:pt>
              <c:pt idx="1">
                <c:v>0</c:v>
              </c:pt>
            </c:numLit>
          </c:yVal>
          <c:smooth val="0"/>
          <c:extLst>
            <c:ext xmlns:c16="http://schemas.microsoft.com/office/drawing/2014/chart" uri="{C3380CC4-5D6E-409C-BE32-E72D297353CC}">
              <c16:uniqueId val="{000000EA-88DC-42CC-9136-EA7D79313183}"/>
            </c:ext>
          </c:extLst>
        </c:ser>
        <c:ser>
          <c:idx val="186"/>
          <c:order val="186"/>
          <c:tx>
            <c:v>WB=5</c:v>
          </c:tx>
          <c:spPr>
            <a:ln w="3175">
              <a:solidFill>
                <a:srgbClr val="3366FF"/>
              </a:solidFill>
              <a:prstDash val="sysDash"/>
            </a:ln>
          </c:spPr>
          <c:marker>
            <c:symbol val="none"/>
          </c:marker>
          <c:dLbls>
            <c:dLbl>
              <c:idx val="0"/>
              <c:layout>
                <c:manualLayout>
                  <c:x val="-2.6166338582677195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B-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4.5487605635344499</c:v>
              </c:pt>
              <c:pt idx="1">
                <c:v>18.420572472571656</c:v>
              </c:pt>
            </c:numLit>
          </c:xVal>
          <c:yVal>
            <c:numLit>
              <c:formatCode>General</c:formatCode>
              <c:ptCount val="2"/>
              <c:pt idx="0">
                <c:v>5.4234990810554818E-3</c:v>
              </c:pt>
              <c:pt idx="1">
                <c:v>0</c:v>
              </c:pt>
            </c:numLit>
          </c:yVal>
          <c:smooth val="0"/>
          <c:extLst>
            <c:ext xmlns:c16="http://schemas.microsoft.com/office/drawing/2014/chart" uri="{C3380CC4-5D6E-409C-BE32-E72D297353CC}">
              <c16:uniqueId val="{000000EC-88DC-42CC-9136-EA7D79313183}"/>
            </c:ext>
          </c:extLst>
        </c:ser>
        <c:ser>
          <c:idx val="187"/>
          <c:order val="187"/>
          <c:tx>
            <c:v>WB=6</c:v>
          </c:tx>
          <c:spPr>
            <a:ln w="3175">
              <a:solidFill>
                <a:srgbClr val="3366FF"/>
              </a:solidFill>
              <a:prstDash val="sysDash"/>
            </a:ln>
          </c:spPr>
          <c:marker>
            <c:symbol val="none"/>
          </c:marker>
          <c:dLbls>
            <c:dLbl>
              <c:idx val="0"/>
              <c:layout>
                <c:manualLayout>
                  <c:x val="-2.6166338582677164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D-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5.5267544089063207</c:v>
              </c:pt>
              <c:pt idx="1">
                <c:v>20.381507916128903</c:v>
              </c:pt>
            </c:numLit>
          </c:xVal>
          <c:yVal>
            <c:numLit>
              <c:formatCode>General</c:formatCode>
              <c:ptCount val="2"/>
              <c:pt idx="0">
                <c:v>5.8172661857312045E-3</c:v>
              </c:pt>
              <c:pt idx="1">
                <c:v>0</c:v>
              </c:pt>
            </c:numLit>
          </c:yVal>
          <c:smooth val="0"/>
          <c:extLst>
            <c:ext xmlns:c16="http://schemas.microsoft.com/office/drawing/2014/chart" uri="{C3380CC4-5D6E-409C-BE32-E72D297353CC}">
              <c16:uniqueId val="{000000EE-88DC-42CC-9136-EA7D79313183}"/>
            </c:ext>
          </c:extLst>
        </c:ser>
        <c:ser>
          <c:idx val="188"/>
          <c:order val="188"/>
          <c:tx>
            <c:v>WB=7</c:v>
          </c:tx>
          <c:spPr>
            <a:ln w="3175">
              <a:solidFill>
                <a:srgbClr val="3366FF"/>
              </a:solidFill>
              <a:prstDash val="sysDash"/>
            </a:ln>
          </c:spPr>
          <c:marker>
            <c:symbol val="none"/>
          </c:marker>
          <c:dLbls>
            <c:dLbl>
              <c:idx val="0"/>
              <c:layout>
                <c:manualLayout>
                  <c:x val="-2.6166338582677195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EF-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6.5041883174927406</c:v>
              </c:pt>
              <c:pt idx="1">
                <c:v>22.403253465067159</c:v>
              </c:pt>
            </c:numLit>
          </c:xVal>
          <c:yVal>
            <c:numLit>
              <c:formatCode>General</c:formatCode>
              <c:ptCount val="2"/>
              <c:pt idx="0">
                <c:v>6.236391005280101E-3</c:v>
              </c:pt>
              <c:pt idx="1">
                <c:v>0</c:v>
              </c:pt>
            </c:numLit>
          </c:yVal>
          <c:smooth val="0"/>
          <c:extLst>
            <c:ext xmlns:c16="http://schemas.microsoft.com/office/drawing/2014/chart" uri="{C3380CC4-5D6E-409C-BE32-E72D297353CC}">
              <c16:uniqueId val="{000000F0-88DC-42CC-9136-EA7D79313183}"/>
            </c:ext>
          </c:extLst>
        </c:ser>
        <c:ser>
          <c:idx val="189"/>
          <c:order val="189"/>
          <c:tx>
            <c:v>WB=8</c:v>
          </c:tx>
          <c:spPr>
            <a:ln w="3175">
              <a:solidFill>
                <a:srgbClr val="3366FF"/>
              </a:solidFill>
              <a:prstDash val="sysDash"/>
            </a:ln>
          </c:spPr>
          <c:marker>
            <c:symbol val="none"/>
          </c:marker>
          <c:dLbls>
            <c:dLbl>
              <c:idx val="0"/>
              <c:layout>
                <c:manualLayout>
                  <c:x val="-2.6166338582677164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1-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7.481091633037142</c:v>
              </c:pt>
              <c:pt idx="1">
                <c:v>24.489170236580446</c:v>
              </c:pt>
            </c:numLit>
          </c:xVal>
          <c:yVal>
            <c:numLit>
              <c:formatCode>General</c:formatCode>
              <c:ptCount val="2"/>
              <c:pt idx="0">
                <c:v>6.6823069273506883E-3</c:v>
              </c:pt>
              <c:pt idx="1">
                <c:v>0</c:v>
              </c:pt>
            </c:numLit>
          </c:yVal>
          <c:smooth val="0"/>
          <c:extLst>
            <c:ext xmlns:c16="http://schemas.microsoft.com/office/drawing/2014/chart" uri="{C3380CC4-5D6E-409C-BE32-E72D297353CC}">
              <c16:uniqueId val="{000000F2-88DC-42CC-9136-EA7D79313183}"/>
            </c:ext>
          </c:extLst>
        </c:ser>
        <c:ser>
          <c:idx val="190"/>
          <c:order val="190"/>
          <c:tx>
            <c:v>WB=9</c:v>
          </c:tx>
          <c:spPr>
            <a:ln w="3175">
              <a:solidFill>
                <a:srgbClr val="3366FF"/>
              </a:solidFill>
              <a:prstDash val="sysDash"/>
            </a:ln>
          </c:spPr>
          <c:marker>
            <c:symbol val="none"/>
          </c:marker>
          <c:dLbls>
            <c:dLbl>
              <c:idx val="0"/>
              <c:layout>
                <c:manualLayout>
                  <c:x val="-2.616633858267723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9</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3-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8.4574988517709855</c:v>
              </c:pt>
              <c:pt idx="1">
                <c:v>26.642783276734082</c:v>
              </c:pt>
            </c:numLit>
          </c:xVal>
          <c:yVal>
            <c:numLit>
              <c:formatCode>General</c:formatCode>
              <c:ptCount val="2"/>
              <c:pt idx="0">
                <c:v>7.156519212147776E-3</c:v>
              </c:pt>
              <c:pt idx="1">
                <c:v>0</c:v>
              </c:pt>
            </c:numLit>
          </c:yVal>
          <c:smooth val="0"/>
          <c:extLst>
            <c:ext xmlns:c16="http://schemas.microsoft.com/office/drawing/2014/chart" uri="{C3380CC4-5D6E-409C-BE32-E72D297353CC}">
              <c16:uniqueId val="{000000F4-88DC-42CC-9136-EA7D79313183}"/>
            </c:ext>
          </c:extLst>
        </c:ser>
        <c:ser>
          <c:idx val="191"/>
          <c:order val="191"/>
          <c:tx>
            <c:v>WB=10</c:v>
          </c:tx>
          <c:spPr>
            <a:ln w="3175">
              <a:solidFill>
                <a:srgbClr val="3366FF"/>
              </a:solidFill>
              <a:prstDash val="sysDash"/>
            </a:ln>
          </c:spPr>
          <c:marker>
            <c:symbol val="none"/>
          </c:marker>
          <c:dLbls>
            <c:dLbl>
              <c:idx val="0"/>
              <c:layout>
                <c:manualLayout>
                  <c:x val="-2.7592683727034186E-2"/>
                  <c:y val="-4.273504273504195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5-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9.4334500278774112</c:v>
              </c:pt>
              <c:pt idx="1">
                <c:v>28.867789353857855</c:v>
              </c:pt>
            </c:numLit>
          </c:xVal>
          <c:yVal>
            <c:numLit>
              <c:formatCode>General</c:formatCode>
              <c:ptCount val="2"/>
              <c:pt idx="0">
                <c:v>7.6606084940231836E-3</c:v>
              </c:pt>
              <c:pt idx="1">
                <c:v>0</c:v>
              </c:pt>
            </c:numLit>
          </c:yVal>
          <c:smooth val="0"/>
          <c:extLst>
            <c:ext xmlns:c16="http://schemas.microsoft.com/office/drawing/2014/chart" uri="{C3380CC4-5D6E-409C-BE32-E72D297353CC}">
              <c16:uniqueId val="{000000F6-88DC-42CC-9136-EA7D79313183}"/>
            </c:ext>
          </c:extLst>
        </c:ser>
        <c:ser>
          <c:idx val="192"/>
          <c:order val="192"/>
          <c:tx>
            <c:v>WB=11</c:v>
          </c:tx>
          <c:spPr>
            <a:ln w="3175">
              <a:solidFill>
                <a:srgbClr val="3366FF"/>
              </a:solidFill>
              <a:prstDash val="sysDash"/>
            </a:ln>
          </c:spPr>
          <c:marker>
            <c:symbol val="none"/>
          </c:marker>
          <c:dLbls>
            <c:dLbl>
              <c:idx val="0"/>
              <c:layout>
                <c:manualLayout>
                  <c:x val="-2.759268372703412E-2"/>
                  <c:y val="-4.273504273504352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7-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10.408979273270996</c:v>
              </c:pt>
              <c:pt idx="1">
                <c:v>31.168472308176845</c:v>
              </c:pt>
            </c:numLit>
          </c:xVal>
          <c:yVal>
            <c:numLit>
              <c:formatCode>General</c:formatCode>
              <c:ptCount val="2"/>
              <c:pt idx="0">
                <c:v>8.196399932304619E-3</c:v>
              </c:pt>
              <c:pt idx="1">
                <c:v>0</c:v>
              </c:pt>
            </c:numLit>
          </c:yVal>
          <c:smooth val="0"/>
          <c:extLst>
            <c:ext xmlns:c16="http://schemas.microsoft.com/office/drawing/2014/chart" uri="{C3380CC4-5D6E-409C-BE32-E72D297353CC}">
              <c16:uniqueId val="{000000F8-88DC-42CC-9136-EA7D79313183}"/>
            </c:ext>
          </c:extLst>
        </c:ser>
        <c:ser>
          <c:idx val="193"/>
          <c:order val="193"/>
          <c:tx>
            <c:v>WB=12</c:v>
          </c:tx>
          <c:spPr>
            <a:ln w="3175">
              <a:solidFill>
                <a:srgbClr val="3366FF"/>
              </a:solidFill>
              <a:prstDash val="sysDash"/>
            </a:ln>
          </c:spPr>
          <c:marker>
            <c:symbol val="none"/>
          </c:marker>
          <c:dLbls>
            <c:dLbl>
              <c:idx val="0"/>
              <c:layout>
                <c:manualLayout>
                  <c:x val="-2.7592683727034186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9-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11.384149975978485</c:v>
              </c:pt>
              <c:pt idx="1">
                <c:v>33.548547031795728</c:v>
              </c:pt>
            </c:numLit>
          </c:xVal>
          <c:yVal>
            <c:numLit>
              <c:formatCode>General</c:formatCode>
              <c:ptCount val="2"/>
              <c:pt idx="0">
                <c:v>8.7654941166616391E-3</c:v>
              </c:pt>
              <c:pt idx="1">
                <c:v>0</c:v>
              </c:pt>
            </c:numLit>
          </c:yVal>
          <c:smooth val="0"/>
          <c:extLst>
            <c:ext xmlns:c16="http://schemas.microsoft.com/office/drawing/2014/chart" uri="{C3380CC4-5D6E-409C-BE32-E72D297353CC}">
              <c16:uniqueId val="{000000FA-88DC-42CC-9136-EA7D79313183}"/>
            </c:ext>
          </c:extLst>
        </c:ser>
        <c:ser>
          <c:idx val="194"/>
          <c:order val="194"/>
          <c:tx>
            <c:v>WB=13</c:v>
          </c:tx>
          <c:spPr>
            <a:ln w="3175">
              <a:solidFill>
                <a:srgbClr val="3366FF"/>
              </a:solidFill>
              <a:prstDash val="sysDash"/>
            </a:ln>
          </c:spPr>
          <c:marker>
            <c:symbol val="none"/>
          </c:marker>
          <c:dLbls>
            <c:dLbl>
              <c:idx val="0"/>
              <c:layout>
                <c:manualLayout>
                  <c:x val="-2.759268372703412E-2"/>
                  <c:y val="-4.273504273504352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B-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12.359021518730225</c:v>
              </c:pt>
              <c:pt idx="1">
                <c:v>36.012282393767372</c:v>
              </c:pt>
            </c:numLit>
          </c:xVal>
          <c:yVal>
            <c:numLit>
              <c:formatCode>General</c:formatCode>
              <c:ptCount val="2"/>
              <c:pt idx="0">
                <c:v>9.3697232222812125E-3</c:v>
              </c:pt>
              <c:pt idx="1">
                <c:v>0</c:v>
              </c:pt>
            </c:numLit>
          </c:yVal>
          <c:smooth val="0"/>
          <c:extLst>
            <c:ext xmlns:c16="http://schemas.microsoft.com/office/drawing/2014/chart" uri="{C3380CC4-5D6E-409C-BE32-E72D297353CC}">
              <c16:uniqueId val="{000000FC-88DC-42CC-9136-EA7D79313183}"/>
            </c:ext>
          </c:extLst>
        </c:ser>
        <c:ser>
          <c:idx val="195"/>
          <c:order val="195"/>
          <c:tx>
            <c:v>WB=14</c:v>
          </c:tx>
          <c:spPr>
            <a:ln w="3175">
              <a:solidFill>
                <a:srgbClr val="3366FF"/>
              </a:solidFill>
              <a:prstDash val="sysDash"/>
            </a:ln>
          </c:spPr>
          <c:marker>
            <c:symbol val="none"/>
          </c:marker>
          <c:dLbls>
            <c:dLbl>
              <c:idx val="0"/>
              <c:layout>
                <c:manualLayout>
                  <c:x val="-2.759268372703412E-2"/>
                  <c:y val="-4.273504273504352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D-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13.333660721764184</c:v>
              </c:pt>
              <c:pt idx="1">
                <c:v>38.564155654290701</c:v>
              </c:pt>
            </c:numLit>
          </c:xVal>
          <c:yVal>
            <c:numLit>
              <c:formatCode>General</c:formatCode>
              <c:ptCount val="2"/>
              <c:pt idx="0">
                <c:v>1.0011011259038697E-2</c:v>
              </c:pt>
              <c:pt idx="1">
                <c:v>0</c:v>
              </c:pt>
            </c:numLit>
          </c:yVal>
          <c:smooth val="0"/>
          <c:extLst>
            <c:ext xmlns:c16="http://schemas.microsoft.com/office/drawing/2014/chart" uri="{C3380CC4-5D6E-409C-BE32-E72D297353CC}">
              <c16:uniqueId val="{000000FE-88DC-42CC-9136-EA7D79313183}"/>
            </c:ext>
          </c:extLst>
        </c:ser>
        <c:ser>
          <c:idx val="196"/>
          <c:order val="196"/>
          <c:tx>
            <c:v>WB=15</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FF-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14.308142384050468</c:v>
              </c:pt>
              <c:pt idx="1">
                <c:v>41.208863060972398</c:v>
              </c:pt>
            </c:numLit>
          </c:xVal>
          <c:yVal>
            <c:numLit>
              <c:formatCode>General</c:formatCode>
              <c:ptCount val="2"/>
              <c:pt idx="0">
                <c:v>1.0691378827115674E-2</c:v>
              </c:pt>
              <c:pt idx="1">
                <c:v>0</c:v>
              </c:pt>
            </c:numLit>
          </c:yVal>
          <c:smooth val="0"/>
          <c:extLst>
            <c:ext xmlns:c16="http://schemas.microsoft.com/office/drawing/2014/chart" uri="{C3380CC4-5D6E-409C-BE32-E72D297353CC}">
              <c16:uniqueId val="{00000100-88DC-42CC-9136-EA7D79313183}"/>
            </c:ext>
          </c:extLst>
        </c:ser>
        <c:ser>
          <c:idx val="197"/>
          <c:order val="197"/>
          <c:tx>
            <c:v>WB=16</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1-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15.28254985732468</c:v>
              </c:pt>
              <c:pt idx="1">
                <c:v>43.951331156248742</c:v>
              </c:pt>
            </c:numLit>
          </c:xVal>
          <c:yVal>
            <c:numLit>
              <c:formatCode>General</c:formatCode>
              <c:ptCount val="2"/>
              <c:pt idx="0">
                <c:v>1.1412948189933141E-2</c:v>
              </c:pt>
              <c:pt idx="1">
                <c:v>0</c:v>
              </c:pt>
            </c:numLit>
          </c:yVal>
          <c:smooth val="0"/>
          <c:extLst>
            <c:ext xmlns:c16="http://schemas.microsoft.com/office/drawing/2014/chart" uri="{C3380CC4-5D6E-409C-BE32-E72D297353CC}">
              <c16:uniqueId val="{00000102-88DC-42CC-9136-EA7D79313183}"/>
            </c:ext>
          </c:extLst>
        </c:ser>
        <c:ser>
          <c:idx val="198"/>
          <c:order val="198"/>
          <c:tx>
            <c:v>WB=17</c:v>
          </c:tx>
          <c:spPr>
            <a:ln w="3175">
              <a:solidFill>
                <a:srgbClr val="3366FF"/>
              </a:solidFill>
              <a:prstDash val="sysDash"/>
            </a:ln>
          </c:spPr>
          <c:marker>
            <c:symbol val="none"/>
          </c:marker>
          <c:dLbls>
            <c:dLbl>
              <c:idx val="0"/>
              <c:layout>
                <c:manualLayout>
                  <c:x val="-2.759268372703412E-2"/>
                  <c:y val="-4.273504273504352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3-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16.256975655314989</c:v>
              </c:pt>
              <c:pt idx="1">
                <c:v>46.796728859883913</c:v>
              </c:pt>
            </c:numLit>
          </c:xVal>
          <c:yVal>
            <c:numLit>
              <c:formatCode>General</c:formatCode>
              <c:ptCount val="2"/>
              <c:pt idx="0">
                <c:v>1.2177948692621697E-2</c:v>
              </c:pt>
              <c:pt idx="1">
                <c:v>0</c:v>
              </c:pt>
            </c:numLit>
          </c:yVal>
          <c:smooth val="0"/>
          <c:extLst>
            <c:ext xmlns:c16="http://schemas.microsoft.com/office/drawing/2014/chart" uri="{C3380CC4-5D6E-409C-BE32-E72D297353CC}">
              <c16:uniqueId val="{00000104-88DC-42CC-9136-EA7D79313183}"/>
            </c:ext>
          </c:extLst>
        </c:ser>
        <c:ser>
          <c:idx val="199"/>
          <c:order val="199"/>
          <c:tx>
            <c:v>WB=18</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5-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17.231522100796575</c:v>
              </c:pt>
              <c:pt idx="1">
                <c:v>49.750480396907207</c:v>
              </c:pt>
            </c:numLit>
          </c:xVal>
          <c:yVal>
            <c:numLit>
              <c:formatCode>General</c:formatCode>
              <c:ptCount val="2"/>
              <c:pt idx="0">
                <c:v>1.29887225571009E-2</c:v>
              </c:pt>
              <c:pt idx="1">
                <c:v>0</c:v>
              </c:pt>
            </c:numLit>
          </c:yVal>
          <c:smooth val="0"/>
          <c:extLst>
            <c:ext xmlns:c16="http://schemas.microsoft.com/office/drawing/2014/chart" uri="{C3380CC4-5D6E-409C-BE32-E72D297353CC}">
              <c16:uniqueId val="{00000106-88DC-42CC-9136-EA7D79313183}"/>
            </c:ext>
          </c:extLst>
        </c:ser>
        <c:ser>
          <c:idx val="200"/>
          <c:order val="200"/>
          <c:tx>
            <c:v>WB=19</c:v>
          </c:tx>
          <c:spPr>
            <a:ln w="3175">
              <a:solidFill>
                <a:srgbClr val="3366FF"/>
              </a:solidFill>
              <a:prstDash val="sysDash"/>
            </a:ln>
          </c:spPr>
          <c:marker>
            <c:symbol val="none"/>
          </c:marker>
          <c:dLbls>
            <c:dLbl>
              <c:idx val="0"/>
              <c:layout>
                <c:manualLayout>
                  <c:x val="-2.7592683727034186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19</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7-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18.206302013385113</c:v>
              </c:pt>
              <c:pt idx="1">
                <c:v>50.000000000000007</c:v>
              </c:pt>
            </c:numLit>
          </c:xVal>
          <c:yVal>
            <c:numLit>
              <c:formatCode>General</c:formatCode>
              <c:ptCount val="2"/>
              <c:pt idx="0">
                <c:v>1.3847731088008679E-2</c:v>
              </c:pt>
              <c:pt idx="1">
                <c:v>1.127551067863415E-3</c:v>
              </c:pt>
            </c:numLit>
          </c:yVal>
          <c:smooth val="0"/>
          <c:extLst>
            <c:ext xmlns:c16="http://schemas.microsoft.com/office/drawing/2014/chart" uri="{C3380CC4-5D6E-409C-BE32-E72D297353CC}">
              <c16:uniqueId val="{00000108-88DC-42CC-9136-EA7D79313183}"/>
            </c:ext>
          </c:extLst>
        </c:ser>
        <c:ser>
          <c:idx val="201"/>
          <c:order val="201"/>
          <c:tx>
            <c:v>WB=20</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9-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19.181439441292415</c:v>
              </c:pt>
              <c:pt idx="1">
                <c:v>50</c:v>
              </c:pt>
            </c:numLit>
          </c:xVal>
          <c:yVal>
            <c:numLit>
              <c:formatCode>General</c:formatCode>
              <c:ptCount val="2"/>
              <c:pt idx="0">
                <c:v>1.4757561327237089E-2</c:v>
              </c:pt>
              <c:pt idx="1">
                <c:v>2.4069582383148052E-3</c:v>
              </c:pt>
            </c:numLit>
          </c:yVal>
          <c:smooth val="0"/>
          <c:extLst>
            <c:ext xmlns:c16="http://schemas.microsoft.com/office/drawing/2014/chart" uri="{C3380CC4-5D6E-409C-BE32-E72D297353CC}">
              <c16:uniqueId val="{0000010A-88DC-42CC-9136-EA7D79313183}"/>
            </c:ext>
          </c:extLst>
        </c:ser>
        <c:ser>
          <c:idx val="202"/>
          <c:order val="202"/>
          <c:tx>
            <c:v>WB=21</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B-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20.157070440616</c:v>
              </c:pt>
              <c:pt idx="1">
                <c:v>50.000000000000007</c:v>
              </c:pt>
            </c:numLit>
          </c:xVal>
          <c:yVal>
            <c:numLit>
              <c:formatCode>General</c:formatCode>
              <c:ptCount val="2"/>
              <c:pt idx="0">
                <c:v>1.5720933198745006E-2</c:v>
              </c:pt>
              <c:pt idx="1">
                <c:v>3.7413398009154331E-3</c:v>
              </c:pt>
            </c:numLit>
          </c:yVal>
          <c:smooth val="0"/>
          <c:extLst>
            <c:ext xmlns:c16="http://schemas.microsoft.com/office/drawing/2014/chart" uri="{C3380CC4-5D6E-409C-BE32-E72D297353CC}">
              <c16:uniqueId val="{0000010C-88DC-42CC-9136-EA7D79313183}"/>
            </c:ext>
          </c:extLst>
        </c:ser>
        <c:ser>
          <c:idx val="203"/>
          <c:order val="203"/>
          <c:tx>
            <c:v>WB=22</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D-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21.133343906124985</c:v>
              </c:pt>
              <c:pt idx="1">
                <c:v>50</c:v>
              </c:pt>
            </c:numLit>
          </c:xVal>
          <c:yVal>
            <c:numLit>
              <c:formatCode>General</c:formatCode>
              <c:ptCount val="2"/>
              <c:pt idx="0">
                <c:v>1.6740707189674783E-2</c:v>
              </c:pt>
              <c:pt idx="1">
                <c:v>5.1336233039210857E-3</c:v>
              </c:pt>
            </c:numLit>
          </c:yVal>
          <c:smooth val="0"/>
          <c:extLst>
            <c:ext xmlns:c16="http://schemas.microsoft.com/office/drawing/2014/chart" uri="{C3380CC4-5D6E-409C-BE32-E72D297353CC}">
              <c16:uniqueId val="{0000010E-88DC-42CC-9136-EA7D79313183}"/>
            </c:ext>
          </c:extLst>
        </c:ser>
        <c:ser>
          <c:idx val="204"/>
          <c:order val="204"/>
          <c:tx>
            <c:v>湿球温度座標軸ラベル</c:v>
          </c:tx>
          <c:spPr>
            <a:ln w="3175">
              <a:solidFill>
                <a:srgbClr val="000000"/>
              </a:solidFill>
              <a:prstDash val="solid"/>
            </a:ln>
          </c:spPr>
          <c:marker>
            <c:symbol val="none"/>
          </c:marker>
          <c:dLbls>
            <c:dLbl>
              <c:idx val="0"/>
              <c:layout>
                <c:manualLayout>
                  <c:x val="-7.0025973315835516E-2"/>
                  <c:y val="-7.8346673280123027E-17"/>
                </c:manualLayout>
              </c:layout>
              <c:tx>
                <c:rich>
                  <a:bodyPr rot="174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湿球温度 </a:t>
                    </a:r>
                    <a:r>
                      <a:rPr lang="en-US"/>
                      <a:t>t' [℃]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0F-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41.627868005036369</c:v>
              </c:pt>
            </c:numLit>
          </c:xVal>
          <c:yVal>
            <c:numLit>
              <c:formatCode>General</c:formatCode>
              <c:ptCount val="1"/>
              <c:pt idx="0">
                <c:v>8.5000000000000006E-3</c:v>
              </c:pt>
            </c:numLit>
          </c:yVal>
          <c:smooth val="0"/>
          <c:extLst>
            <c:ext xmlns:c16="http://schemas.microsoft.com/office/drawing/2014/chart" uri="{C3380CC4-5D6E-409C-BE32-E72D297353CC}">
              <c16:uniqueId val="{00000110-88DC-42CC-9136-EA7D79313183}"/>
            </c:ext>
          </c:extLst>
        </c:ser>
        <c:ser>
          <c:idx val="205"/>
          <c:order val="205"/>
          <c:tx>
            <c:v>WB=23</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1-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22.110422457943038</c:v>
              </c:pt>
              <c:pt idx="1">
                <c:v>50.000000000000007</c:v>
              </c:pt>
            </c:numLit>
          </c:xVal>
          <c:yVal>
            <c:numLit>
              <c:formatCode>General</c:formatCode>
              <c:ptCount val="2"/>
              <c:pt idx="0">
                <c:v>1.7819892618663919E-2</c:v>
              </c:pt>
              <c:pt idx="1">
                <c:v>6.5868911047607297E-3</c:v>
              </c:pt>
            </c:numLit>
          </c:yVal>
          <c:smooth val="0"/>
          <c:extLst>
            <c:ext xmlns:c16="http://schemas.microsoft.com/office/drawing/2014/chart" uri="{C3380CC4-5D6E-409C-BE32-E72D297353CC}">
              <c16:uniqueId val="{00000112-88DC-42CC-9136-EA7D79313183}"/>
            </c:ext>
          </c:extLst>
        </c:ser>
        <c:ser>
          <c:idx val="206"/>
          <c:order val="206"/>
          <c:tx>
            <c:v>WB=24</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3-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23.088483389020517</c:v>
              </c:pt>
              <c:pt idx="1">
                <c:v>50</c:v>
              </c:pt>
            </c:numLit>
          </c:xVal>
          <c:yVal>
            <c:numLit>
              <c:formatCode>General</c:formatCode>
              <c:ptCount val="2"/>
              <c:pt idx="0">
                <c:v>1.8961656547670749E-2</c:v>
              </c:pt>
              <c:pt idx="1">
                <c:v>8.1043897142882119E-3</c:v>
              </c:pt>
            </c:numLit>
          </c:yVal>
          <c:smooth val="0"/>
          <c:extLst>
            <c:ext xmlns:c16="http://schemas.microsoft.com/office/drawing/2014/chart" uri="{C3380CC4-5D6E-409C-BE32-E72D297353CC}">
              <c16:uniqueId val="{00000114-88DC-42CC-9136-EA7D79313183}"/>
            </c:ext>
          </c:extLst>
        </c:ser>
        <c:ser>
          <c:idx val="207"/>
          <c:order val="207"/>
          <c:tx>
            <c:v>WB=25</c:v>
          </c:tx>
          <c:spPr>
            <a:ln w="3175">
              <a:solidFill>
                <a:srgbClr val="3366FF"/>
              </a:solidFill>
              <a:prstDash val="sysDash"/>
            </a:ln>
          </c:spPr>
          <c:marker>
            <c:symbol val="none"/>
          </c:marker>
          <c:dLbls>
            <c:dLbl>
              <c:idx val="0"/>
              <c:layout>
                <c:manualLayout>
                  <c:x val="-2.7678258967629047E-2"/>
                  <c:y val="-4.273504273504352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5-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24.067719678840426</c:v>
              </c:pt>
              <c:pt idx="1">
                <c:v>50</c:v>
              </c:pt>
            </c:numLit>
          </c:xVal>
          <c:yVal>
            <c:numLit>
              <c:formatCode>General</c:formatCode>
              <c:ptCount val="2"/>
              <c:pt idx="0">
                <c:v>2.0169333399710391E-2</c:v>
              </c:pt>
              <c:pt idx="1">
                <c:v>9.6895398780736056E-3</c:v>
              </c:pt>
            </c:numLit>
          </c:yVal>
          <c:smooth val="0"/>
          <c:extLst>
            <c:ext xmlns:c16="http://schemas.microsoft.com/office/drawing/2014/chart" uri="{C3380CC4-5D6E-409C-BE32-E72D297353CC}">
              <c16:uniqueId val="{00000116-88DC-42CC-9136-EA7D79313183}"/>
            </c:ext>
          </c:extLst>
        </c:ser>
        <c:ser>
          <c:idx val="208"/>
          <c:order val="208"/>
          <c:tx>
            <c:v>WB=26</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7-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25.048321472690553</c:v>
              </c:pt>
              <c:pt idx="1">
                <c:v>50.000000000000007</c:v>
              </c:pt>
            </c:numLit>
          </c:xVal>
          <c:yVal>
            <c:numLit>
              <c:formatCode>General</c:formatCode>
              <c:ptCount val="2"/>
              <c:pt idx="0">
                <c:v>2.1446877205943158E-2</c:v>
              </c:pt>
              <c:pt idx="1">
                <c:v>1.1346381384148981E-2</c:v>
              </c:pt>
            </c:numLit>
          </c:yVal>
          <c:smooth val="0"/>
          <c:extLst>
            <c:ext xmlns:c16="http://schemas.microsoft.com/office/drawing/2014/chart" uri="{C3380CC4-5D6E-409C-BE32-E72D297353CC}">
              <c16:uniqueId val="{00000118-88DC-42CC-9136-EA7D79313183}"/>
            </c:ext>
          </c:extLst>
        </c:ser>
        <c:ser>
          <c:idx val="209"/>
          <c:order val="209"/>
          <c:tx>
            <c:v>WB=27</c:v>
          </c:tx>
          <c:spPr>
            <a:ln w="3175">
              <a:solidFill>
                <a:srgbClr val="3366FF"/>
              </a:solidFill>
              <a:prstDash val="sysDash"/>
            </a:ln>
          </c:spPr>
          <c:marker>
            <c:symbol val="none"/>
          </c:marker>
          <c:dLbls>
            <c:dLbl>
              <c:idx val="0"/>
              <c:layout>
                <c:manualLayout>
                  <c:x val="-2.767825896762911E-2"/>
                  <c:y val="-4.273504273504313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9-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26.030535251824297</c:v>
              </c:pt>
              <c:pt idx="1">
                <c:v>50</c:v>
              </c:pt>
            </c:numLit>
          </c:xVal>
          <c:yVal>
            <c:numLit>
              <c:formatCode>General</c:formatCode>
              <c:ptCount val="2"/>
              <c:pt idx="0">
                <c:v>2.2797604877624097E-2</c:v>
              </c:pt>
              <c:pt idx="1">
                <c:v>1.3078340322813551E-2</c:v>
              </c:pt>
            </c:numLit>
          </c:yVal>
          <c:smooth val="0"/>
          <c:extLst>
            <c:ext xmlns:c16="http://schemas.microsoft.com/office/drawing/2014/chart" uri="{C3380CC4-5D6E-409C-BE32-E72D297353CC}">
              <c16:uniqueId val="{0000011A-88DC-42CC-9136-EA7D79313183}"/>
            </c:ext>
          </c:extLst>
        </c:ser>
        <c:ser>
          <c:idx val="210"/>
          <c:order val="210"/>
          <c:tx>
            <c:v>WB=28</c:v>
          </c:tx>
          <c:spPr>
            <a:ln w="3175">
              <a:solidFill>
                <a:srgbClr val="3366FF"/>
              </a:solidFill>
              <a:prstDash val="sysDash"/>
            </a:ln>
          </c:spPr>
          <c:marker>
            <c:symbol val="none"/>
          </c:marker>
          <c:dLbls>
            <c:dLbl>
              <c:idx val="0"/>
              <c:layout>
                <c:manualLayout>
                  <c:x val="-2.767825896762911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B-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27.01460799871953</c:v>
              </c:pt>
              <c:pt idx="1">
                <c:v>50.000000000000007</c:v>
              </c:pt>
            </c:numLit>
          </c:xVal>
          <c:yVal>
            <c:numLit>
              <c:formatCode>General</c:formatCode>
              <c:ptCount val="2"/>
              <c:pt idx="0">
                <c:v>2.4225424078400493E-2</c:v>
              </c:pt>
              <c:pt idx="1">
                <c:v>1.4889434478430795E-2</c:v>
              </c:pt>
            </c:numLit>
          </c:yVal>
          <c:smooth val="0"/>
          <c:extLst>
            <c:ext xmlns:c16="http://schemas.microsoft.com/office/drawing/2014/chart" uri="{C3380CC4-5D6E-409C-BE32-E72D297353CC}">
              <c16:uniqueId val="{0000011C-88DC-42CC-9136-EA7D79313183}"/>
            </c:ext>
          </c:extLst>
        </c:ser>
        <c:ser>
          <c:idx val="211"/>
          <c:order val="211"/>
          <c:tx>
            <c:v>WB=29</c:v>
          </c:tx>
          <c:spPr>
            <a:ln w="3175">
              <a:solidFill>
                <a:srgbClr val="3366FF"/>
              </a:solidFill>
              <a:prstDash val="sysDash"/>
            </a:ln>
          </c:spPr>
          <c:marker>
            <c:symbol val="none"/>
          </c:marker>
          <c:dLbls>
            <c:dLbl>
              <c:idx val="0"/>
              <c:layout>
                <c:manualLayout>
                  <c:x val="-2.7678258967629047E-2"/>
                  <c:y val="-4.273504273504313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29</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D-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28.000807254075735</c:v>
              </c:pt>
              <c:pt idx="1">
                <c:v>50.000000000000007</c:v>
              </c:pt>
            </c:numLit>
          </c:xVal>
          <c:yVal>
            <c:numLit>
              <c:formatCode>General</c:formatCode>
              <c:ptCount val="2"/>
              <c:pt idx="0">
                <c:v>2.5734457306702815E-2</c:v>
              </c:pt>
              <c:pt idx="1">
                <c:v>1.6783905580143949E-2</c:v>
              </c:pt>
            </c:numLit>
          </c:yVal>
          <c:smooth val="0"/>
          <c:extLst>
            <c:ext xmlns:c16="http://schemas.microsoft.com/office/drawing/2014/chart" uri="{C3380CC4-5D6E-409C-BE32-E72D297353CC}">
              <c16:uniqueId val="{0000011E-88DC-42CC-9136-EA7D79313183}"/>
            </c:ext>
          </c:extLst>
        </c:ser>
        <c:ser>
          <c:idx val="212"/>
          <c:order val="212"/>
          <c:tx>
            <c:v>WB=30</c:v>
          </c:tx>
          <c:spPr>
            <a:ln w="3175">
              <a:solidFill>
                <a:srgbClr val="3366FF"/>
              </a:solidFill>
              <a:prstDash val="sysDash"/>
            </a:ln>
          </c:spPr>
          <c:marker>
            <c:symbol val="none"/>
          </c:marker>
          <c:dLbls>
            <c:dLbl>
              <c:idx val="0"/>
              <c:layout>
                <c:manualLayout>
                  <c:x val="-2.7678258967629172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1F-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28.989422570672435</c:v>
              </c:pt>
              <c:pt idx="1">
                <c:v>50.000000000000007</c:v>
              </c:pt>
            </c:numLit>
          </c:xVal>
          <c:yVal>
            <c:numLit>
              <c:formatCode>General</c:formatCode>
              <c:ptCount val="2"/>
              <c:pt idx="0">
                <c:v>2.73290562877294E-2</c:v>
              </c:pt>
              <c:pt idx="1">
                <c:v>1.876623436362267E-2</c:v>
              </c:pt>
            </c:numLit>
          </c:yVal>
          <c:smooth val="0"/>
          <c:extLst>
            <c:ext xmlns:c16="http://schemas.microsoft.com/office/drawing/2014/chart" uri="{C3380CC4-5D6E-409C-BE32-E72D297353CC}">
              <c16:uniqueId val="{00000120-88DC-42CC-9136-EA7D79313183}"/>
            </c:ext>
          </c:extLst>
        </c:ser>
        <c:ser>
          <c:idx val="213"/>
          <c:order val="213"/>
          <c:tx>
            <c:v>WB=31</c:v>
          </c:tx>
          <c:spPr>
            <a:ln w="3175">
              <a:solidFill>
                <a:srgbClr val="3366FF"/>
              </a:solidFill>
              <a:prstDash val="sysDash"/>
            </a:ln>
          </c:spPr>
          <c:marker>
            <c:symbol val="none"/>
          </c:marker>
          <c:dLbls>
            <c:dLbl>
              <c:idx val="0"/>
              <c:layout>
                <c:manualLayout>
                  <c:x val="-2.7678258967629047E-2"/>
                  <c:y val="-4.273504273504293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21-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29.980767082589693</c:v>
              </c:pt>
              <c:pt idx="1">
                <c:v>50.000000000000007</c:v>
              </c:pt>
            </c:numLit>
          </c:xVal>
          <c:yVal>
            <c:numLit>
              <c:formatCode>General</c:formatCode>
              <c:ptCount val="2"/>
              <c:pt idx="0">
                <c:v>2.9013817626337573E-2</c:v>
              </c:pt>
              <c:pt idx="1">
                <c:v>2.0841156947637916E-2</c:v>
              </c:pt>
            </c:numLit>
          </c:yVal>
          <c:smooth val="0"/>
          <c:extLst>
            <c:ext xmlns:c16="http://schemas.microsoft.com/office/drawing/2014/chart" uri="{C3380CC4-5D6E-409C-BE32-E72D297353CC}">
              <c16:uniqueId val="{00000122-88DC-42CC-9136-EA7D79313183}"/>
            </c:ext>
          </c:extLst>
        </c:ser>
        <c:ser>
          <c:idx val="214"/>
          <c:order val="214"/>
          <c:tx>
            <c:v>WB=32</c:v>
          </c:tx>
          <c:spPr>
            <a:ln w="3175">
              <a:solidFill>
                <a:srgbClr val="3366FF"/>
              </a:solidFill>
              <a:prstDash val="sysDash"/>
            </a:ln>
          </c:spPr>
          <c:marker>
            <c:symbol val="none"/>
          </c:marker>
          <c:dLbls>
            <c:dLbl>
              <c:idx val="0"/>
              <c:layout>
                <c:manualLayout>
                  <c:x val="-2.7678258967629172E-2"/>
                  <c:y val="-4.273504273504293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23-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30.975179201690683</c:v>
              </c:pt>
              <c:pt idx="1">
                <c:v>50</c:v>
              </c:pt>
            </c:numLit>
          </c:xVal>
          <c:yVal>
            <c:numLit>
              <c:formatCode>General</c:formatCode>
              <c:ptCount val="2"/>
              <c:pt idx="0">
                <c:v>3.0793599853619184E-2</c:v>
              </c:pt>
              <c:pt idx="1">
                <c:v>2.3013682663751679E-2</c:v>
              </c:pt>
            </c:numLit>
          </c:yVal>
          <c:smooth val="0"/>
          <c:extLst>
            <c:ext xmlns:c16="http://schemas.microsoft.com/office/drawing/2014/chart" uri="{C3380CC4-5D6E-409C-BE32-E72D297353CC}">
              <c16:uniqueId val="{00000124-88DC-42CC-9136-EA7D79313183}"/>
            </c:ext>
          </c:extLst>
        </c:ser>
        <c:ser>
          <c:idx val="215"/>
          <c:order val="215"/>
          <c:tx>
            <c:v>WB=33</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25-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31.97302445473133</c:v>
              </c:pt>
              <c:pt idx="1">
                <c:v>50.000000000000007</c:v>
              </c:pt>
            </c:numLit>
          </c:xVal>
          <c:yVal>
            <c:numLit>
              <c:formatCode>General</c:formatCode>
              <c:ptCount val="2"/>
              <c:pt idx="0">
                <c:v>3.2673542015821677E-2</c:v>
              </c:pt>
              <c:pt idx="1">
                <c:v>2.5289113493966509E-2</c:v>
              </c:pt>
            </c:numLit>
          </c:yVal>
          <c:smooth val="0"/>
          <c:extLst>
            <c:ext xmlns:c16="http://schemas.microsoft.com/office/drawing/2014/chart" uri="{C3380CC4-5D6E-409C-BE32-E72D297353CC}">
              <c16:uniqueId val="{00000126-88DC-42CC-9136-EA7D79313183}"/>
            </c:ext>
          </c:extLst>
        </c:ser>
        <c:ser>
          <c:idx val="216"/>
          <c:order val="216"/>
          <c:tx>
            <c:v>WB=34</c:v>
          </c:tx>
          <c:spPr>
            <a:ln w="3175">
              <a:solidFill>
                <a:srgbClr val="3366FF"/>
              </a:solidFill>
              <a:prstDash val="sysDash"/>
            </a:ln>
          </c:spPr>
          <c:marker>
            <c:symbol val="none"/>
          </c:marker>
          <c:xVal>
            <c:numLit>
              <c:formatCode>General</c:formatCode>
              <c:ptCount val="2"/>
              <c:pt idx="0">
                <c:v>32.974697476126913</c:v>
              </c:pt>
              <c:pt idx="1">
                <c:v>50</c:v>
              </c:pt>
            </c:numLit>
          </c:xVal>
          <c:yVal>
            <c:numLit>
              <c:formatCode>General</c:formatCode>
              <c:ptCount val="2"/>
              <c:pt idx="0">
                <c:v>3.4659083972322924E-2</c:v>
              </c:pt>
              <c:pt idx="1">
                <c:v>2.7673065289994456E-2</c:v>
              </c:pt>
            </c:numLit>
          </c:yVal>
          <c:smooth val="0"/>
          <c:extLst>
            <c:ext xmlns:c16="http://schemas.microsoft.com/office/drawing/2014/chart" uri="{C3380CC4-5D6E-409C-BE32-E72D297353CC}">
              <c16:uniqueId val="{00000127-88DC-42CC-9136-EA7D79313183}"/>
            </c:ext>
          </c:extLst>
        </c:ser>
        <c:ser>
          <c:idx val="217"/>
          <c:order val="217"/>
          <c:tx>
            <c:v>WB=</c:v>
          </c:tx>
          <c:spPr>
            <a:ln w="3175">
              <a:solidFill>
                <a:srgbClr val="3366FF"/>
              </a:solidFill>
              <a:prstDash val="sysDash"/>
            </a:ln>
          </c:spPr>
          <c:marker>
            <c:symbol val="none"/>
          </c:marker>
          <c:xVal>
            <c:numLit>
              <c:formatCode>General</c:formatCode>
              <c:ptCount val="2"/>
              <c:pt idx="0">
                <c:v>-0.34054167287274817</c:v>
              </c:pt>
              <c:pt idx="1">
                <c:v>9.4387305875737741</c:v>
              </c:pt>
            </c:numLit>
          </c:xVal>
          <c:yVal>
            <c:numLit>
              <c:formatCode>General</c:formatCode>
              <c:ptCount val="2"/>
              <c:pt idx="0">
                <c:v>3.7926394193890894E-3</c:v>
              </c:pt>
              <c:pt idx="1">
                <c:v>0</c:v>
              </c:pt>
            </c:numLit>
          </c:yVal>
          <c:smooth val="0"/>
          <c:extLst>
            <c:ext xmlns:c16="http://schemas.microsoft.com/office/drawing/2014/chart" uri="{C3380CC4-5D6E-409C-BE32-E72D297353CC}">
              <c16:uniqueId val="{00000128-88DC-42CC-9136-EA7D79313183}"/>
            </c:ext>
          </c:extLst>
        </c:ser>
        <c:ser>
          <c:idx val="218"/>
          <c:order val="218"/>
          <c:tx>
            <c:v>３重点（水）</c:v>
          </c:tx>
          <c:spPr>
            <a:ln w="3175">
              <a:solidFill>
                <a:srgbClr val="000000"/>
              </a:solidFill>
              <a:prstDash val="solid"/>
            </a:ln>
          </c:spPr>
          <c:marker>
            <c:symbol val="none"/>
          </c:marker>
          <c:dLbls>
            <c:dLbl>
              <c:idx val="0"/>
              <c:layout>
                <c:manualLayout>
                  <c:x val="-5.8654445538057771E-2"/>
                  <c:y val="0"/>
                </c:manualLayout>
              </c:layout>
              <c:tx>
                <c:rich>
                  <a:bodyPr rot="1680000" vertOverflow="overflow" horzOverflow="overflow" vert="horz" wrap="none" lIns="0" tIns="0" rIns="0" bIns="0" anchor="ctr">
                    <a:spAutoFit/>
                  </a:bodyPr>
                  <a:lstStyle/>
                  <a:p>
                    <a:pPr algn="ctr">
                      <a:defRPr altLang="ja-JP" sz="500" b="0" i="1">
                        <a:solidFill>
                          <a:srgbClr val="000000"/>
                        </a:solidFill>
                        <a:latin typeface="ＭＳ Ｐ明朝"/>
                        <a:ea typeface="ＭＳ Ｐ明朝"/>
                        <a:cs typeface="ＭＳ Ｐ明朝"/>
                      </a:defRPr>
                    </a:pPr>
                    <a:r>
                      <a:rPr lang="en-US" altLang="ja-JP"/>
                      <a:t>0.01[℃](</a:t>
                    </a:r>
                    <a:r>
                      <a:rPr lang="ja-JP" altLang="en-US"/>
                      <a:t>水</a:t>
                    </a:r>
                    <a:r>
                      <a:rPr lang="en-US" altLang="ja-JP"/>
                      <a:t>)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129-88DC-42CC-9136-EA7D793131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8.4073357008938547</c:v>
              </c:pt>
            </c:numLit>
          </c:xVal>
          <c:yVal>
            <c:numLit>
              <c:formatCode>General</c:formatCode>
              <c:ptCount val="1"/>
              <c:pt idx="0">
                <c:v>4.0000000000000002E-4</c:v>
              </c:pt>
            </c:numLit>
          </c:yVal>
          <c:smooth val="0"/>
          <c:extLst>
            <c:ext xmlns:c16="http://schemas.microsoft.com/office/drawing/2014/chart" uri="{C3380CC4-5D6E-409C-BE32-E72D297353CC}">
              <c16:uniqueId val="{0000012A-88DC-42CC-9136-EA7D79313183}"/>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6B98-40F5-B9A6-793491A02185}"/>
            </c:ext>
          </c:extLst>
        </c:ser>
        <c:ser>
          <c:idx val="1"/>
          <c:order val="1"/>
          <c:spPr>
            <a:ln w="3175">
              <a:solidFill>
                <a:srgbClr val="000000"/>
              </a:solidFill>
              <a:prstDash val="solid"/>
            </a:ln>
          </c:spPr>
          <c:marker>
            <c:symbol val="none"/>
          </c:marker>
          <c:xVal>
            <c:numLit>
              <c:formatCode>General</c:formatCode>
              <c:ptCount val="2"/>
              <c:pt idx="0">
                <c:v>-3.758</c:v>
              </c:pt>
              <c:pt idx="1">
                <c:v>-4.3579999999999997</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01-6B98-40F5-B9A6-793491A02185}"/>
            </c:ext>
          </c:extLst>
        </c:ser>
        <c:ser>
          <c:idx val="2"/>
          <c:order val="2"/>
          <c:spPr>
            <a:ln w="3175">
              <a:solidFill>
                <a:srgbClr val="000000"/>
              </a:solidFill>
              <a:prstDash val="solid"/>
            </a:ln>
          </c:spPr>
          <c:marker>
            <c:symbol val="none"/>
          </c:marker>
          <c:dLbls>
            <c:dLbl>
              <c:idx val="0"/>
              <c:tx>
                <c:rich>
                  <a:bodyPr rot="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B98-40F5-B9A6-793491A0218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-5.1180000000000012</c:v>
              </c:pt>
            </c:numLit>
          </c:xVal>
          <c:yVal>
            <c:numLit>
              <c:formatCode>General</c:formatCode>
              <c:ptCount val="1"/>
              <c:pt idx="0">
                <c:v>2.0930000000000001E-2</c:v>
              </c:pt>
            </c:numLit>
          </c:yVal>
          <c:smooth val="0"/>
          <c:extLst>
            <c:ext xmlns:c16="http://schemas.microsoft.com/office/drawing/2014/chart" uri="{C3380CC4-5D6E-409C-BE32-E72D297353CC}">
              <c16:uniqueId val="{00000003-6B98-40F5-B9A6-793491A02185}"/>
            </c:ext>
          </c:extLst>
        </c:ser>
        <c:ser>
          <c:idx val="3"/>
          <c:order val="3"/>
          <c:spPr>
            <a:ln w="3175">
              <a:solidFill>
                <a:srgbClr val="000000"/>
              </a:solidFill>
              <a:prstDash val="solid"/>
            </a:ln>
          </c:spPr>
          <c:marker>
            <c:symbol val="none"/>
          </c:marker>
          <c:xVal>
            <c:numLit>
              <c:formatCode>General</c:formatCode>
              <c:ptCount val="2"/>
              <c:pt idx="0">
                <c:v>-3.7573164307647193</c:v>
              </c:pt>
              <c:pt idx="1">
                <c:v>-4.0572985496633294</c:v>
              </c:pt>
            </c:numLit>
          </c:xVal>
          <c:yVal>
            <c:numLit>
              <c:formatCode>General</c:formatCode>
              <c:ptCount val="2"/>
              <c:pt idx="0">
                <c:v>2.0838150344721491E-2</c:v>
              </c:pt>
              <c:pt idx="1">
                <c:v>2.0835727619644421E-2</c:v>
              </c:pt>
            </c:numLit>
          </c:yVal>
          <c:smooth val="0"/>
          <c:extLst>
            <c:ext xmlns:c16="http://schemas.microsoft.com/office/drawing/2014/chart" uri="{C3380CC4-5D6E-409C-BE32-E72D297353CC}">
              <c16:uniqueId val="{00000004-6B98-40F5-B9A6-793491A02185}"/>
            </c:ext>
          </c:extLst>
        </c:ser>
        <c:ser>
          <c:idx val="4"/>
          <c:order val="4"/>
          <c:spPr>
            <a:ln w="3175">
              <a:solidFill>
                <a:srgbClr val="000000"/>
              </a:solidFill>
              <a:prstDash val="solid"/>
            </a:ln>
          </c:spPr>
          <c:marker>
            <c:symbol val="none"/>
          </c:marker>
          <c:xVal>
            <c:numLit>
              <c:formatCode>General</c:formatCode>
              <c:ptCount val="2"/>
              <c:pt idx="0">
                <c:v>-3.7551514284703731</c:v>
              </c:pt>
              <c:pt idx="1">
                <c:v>-4.0550769139387679</c:v>
              </c:pt>
            </c:numLit>
          </c:xVal>
          <c:yVal>
            <c:numLit>
              <c:formatCode>General</c:formatCode>
              <c:ptCount val="2"/>
              <c:pt idx="0">
                <c:v>2.0742509615122581E-2</c:v>
              </c:pt>
              <c:pt idx="1">
                <c:v>2.0737564151791284E-2</c:v>
              </c:pt>
            </c:numLit>
          </c:yVal>
          <c:smooth val="0"/>
          <c:extLst>
            <c:ext xmlns:c16="http://schemas.microsoft.com/office/drawing/2014/chart" uri="{C3380CC4-5D6E-409C-BE32-E72D297353CC}">
              <c16:uniqueId val="{00000005-6B98-40F5-B9A6-793491A02185}"/>
            </c:ext>
          </c:extLst>
        </c:ser>
        <c:ser>
          <c:idx val="5"/>
          <c:order val="5"/>
          <c:spPr>
            <a:ln w="3175">
              <a:solidFill>
                <a:srgbClr val="000000"/>
              </a:solidFill>
              <a:prstDash val="solid"/>
            </a:ln>
          </c:spPr>
          <c:marker>
            <c:symbol val="none"/>
          </c:marker>
          <c:xVal>
            <c:numLit>
              <c:formatCode>General</c:formatCode>
              <c:ptCount val="2"/>
              <c:pt idx="0">
                <c:v>-3.7513184851597101</c:v>
              </c:pt>
              <c:pt idx="1">
                <c:v>-4.0511437048590233</c:v>
              </c:pt>
            </c:numLit>
          </c:xVal>
          <c:yVal>
            <c:numLit>
              <c:formatCode>General</c:formatCode>
              <c:ptCount val="2"/>
              <c:pt idx="0">
                <c:v>2.0642878308754005E-2</c:v>
              </c:pt>
              <c:pt idx="1">
                <c:v>2.0635304812162952E-2</c:v>
              </c:pt>
            </c:numLit>
          </c:yVal>
          <c:smooth val="0"/>
          <c:extLst>
            <c:ext xmlns:c16="http://schemas.microsoft.com/office/drawing/2014/chart" uri="{C3380CC4-5D6E-409C-BE32-E72D297353CC}">
              <c16:uniqueId val="{00000006-6B98-40F5-B9A6-793491A02185}"/>
            </c:ext>
          </c:extLst>
        </c:ser>
        <c:ser>
          <c:idx val="6"/>
          <c:order val="6"/>
          <c:spPr>
            <a:ln w="3175">
              <a:solidFill>
                <a:srgbClr val="000000"/>
              </a:solidFill>
              <a:prstDash val="solid"/>
            </a:ln>
          </c:spPr>
          <c:marker>
            <c:symbol val="none"/>
          </c:marker>
          <c:xVal>
            <c:numLit>
              <c:formatCode>General</c:formatCode>
              <c:ptCount val="2"/>
              <c:pt idx="0">
                <c:v>-3.7456091126033786</c:v>
              </c:pt>
              <c:pt idx="1">
                <c:v>-4.0452849779513329</c:v>
              </c:pt>
            </c:numLit>
          </c:xVal>
          <c:yVal>
            <c:numLit>
              <c:formatCode>General</c:formatCode>
              <c:ptCount val="2"/>
              <c:pt idx="0">
                <c:v>2.0539046809061261E-2</c:v>
              </c:pt>
              <c:pt idx="1">
                <c:v>2.0528734430821465E-2</c:v>
              </c:pt>
            </c:numLit>
          </c:yVal>
          <c:smooth val="0"/>
          <c:extLst>
            <c:ext xmlns:c16="http://schemas.microsoft.com/office/drawing/2014/chart" uri="{C3380CC4-5D6E-409C-BE32-E72D297353CC}">
              <c16:uniqueId val="{00000007-6B98-40F5-B9A6-793491A02185}"/>
            </c:ext>
          </c:extLst>
        </c:ser>
        <c:ser>
          <c:idx val="7"/>
          <c:order val="7"/>
          <c:spPr>
            <a:ln w="3175">
              <a:solidFill>
                <a:srgbClr val="000000"/>
              </a:solidFill>
              <a:prstDash val="solid"/>
            </a:ln>
          </c:spPr>
          <c:marker>
            <c:symbol val="none"/>
          </c:marker>
          <c:xVal>
            <c:numLit>
              <c:formatCode>General</c:formatCode>
              <c:ptCount val="2"/>
              <c:pt idx="0">
                <c:v>-3.7377902586290985</c:v>
              </c:pt>
              <c:pt idx="1">
                <c:v>-4.3367333533434707</c:v>
              </c:pt>
            </c:numLit>
          </c:xVal>
          <c:yVal>
            <c:numLit>
              <c:formatCode>General</c:formatCode>
              <c:ptCount val="2"/>
              <c:pt idx="0">
                <c:v>2.0430795350641542E-2</c:v>
              </c:pt>
              <c:pt idx="1">
                <c:v>2.0404465069727713E-2</c:v>
              </c:pt>
            </c:numLit>
          </c:yVal>
          <c:smooth val="0"/>
          <c:extLst>
            <c:ext xmlns:c16="http://schemas.microsoft.com/office/drawing/2014/chart" uri="{C3380CC4-5D6E-409C-BE32-E72D297353CC}">
              <c16:uniqueId val="{00000008-6B98-40F5-B9A6-793491A02185}"/>
            </c:ext>
          </c:extLst>
        </c:ser>
        <c:ser>
          <c:idx val="8"/>
          <c:order val="8"/>
          <c:spPr>
            <a:ln w="3175">
              <a:solidFill>
                <a:srgbClr val="000000"/>
              </a:solidFill>
              <a:prstDash val="solid"/>
            </a:ln>
          </c:spPr>
          <c:marker>
            <c:symbol val="none"/>
          </c:marker>
          <c:dLbls>
            <c:dLbl>
              <c:idx val="0"/>
              <c:tx>
                <c:rich>
                  <a:bodyPr rot="-1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0.90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B98-40F5-B9A6-793491A0218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-5.0953971933505686</c:v>
              </c:pt>
            </c:numLit>
          </c:xVal>
          <c:yVal>
            <c:numLit>
              <c:formatCode>General</c:formatCode>
              <c:ptCount val="1"/>
              <c:pt idx="0">
                <c:v>2.037114545104227E-2</c:v>
              </c:pt>
            </c:numLit>
          </c:yVal>
          <c:smooth val="0"/>
          <c:extLst>
            <c:ext xmlns:c16="http://schemas.microsoft.com/office/drawing/2014/chart" uri="{C3380CC4-5D6E-409C-BE32-E72D297353CC}">
              <c16:uniqueId val="{0000000A-6B98-40F5-B9A6-793491A02185}"/>
            </c:ext>
          </c:extLst>
        </c:ser>
        <c:ser>
          <c:idx val="9"/>
          <c:order val="9"/>
          <c:spPr>
            <a:ln w="3175">
              <a:solidFill>
                <a:srgbClr val="000000"/>
              </a:solidFill>
              <a:prstDash val="solid"/>
            </a:ln>
          </c:spPr>
          <c:marker>
            <c:symbol val="none"/>
          </c:marker>
          <c:xVal>
            <c:numLit>
              <c:formatCode>General</c:formatCode>
              <c:ptCount val="2"/>
              <c:pt idx="0">
                <c:v>-3.7276014439375182</c:v>
              </c:pt>
              <c:pt idx="1">
                <c:v>-4.0268062128221214</c:v>
              </c:pt>
            </c:numLit>
          </c:xVal>
          <c:yVal>
            <c:numLit>
              <c:formatCode>General</c:formatCode>
              <c:ptCount val="2"/>
              <c:pt idx="0">
                <c:v>2.0317894135552732E-2</c:v>
              </c:pt>
              <c:pt idx="1">
                <c:v>2.0301747870289474E-2</c:v>
              </c:pt>
            </c:numLit>
          </c:yVal>
          <c:smooth val="0"/>
          <c:extLst>
            <c:ext xmlns:c16="http://schemas.microsoft.com/office/drawing/2014/chart" uri="{C3380CC4-5D6E-409C-BE32-E72D297353CC}">
              <c16:uniqueId val="{0000000B-6B98-40F5-B9A6-793491A02185}"/>
            </c:ext>
          </c:extLst>
        </c:ser>
        <c:ser>
          <c:idx val="10"/>
          <c:order val="10"/>
          <c:spPr>
            <a:ln w="3175">
              <a:solidFill>
                <a:srgbClr val="000000"/>
              </a:solidFill>
              <a:prstDash val="solid"/>
            </a:ln>
          </c:spPr>
          <c:marker>
            <c:symbol val="none"/>
          </c:marker>
          <c:xVal>
            <c:numLit>
              <c:formatCode>General</c:formatCode>
              <c:ptCount val="2"/>
              <c:pt idx="0">
                <c:v>-3.7147516008544463</c:v>
              </c:pt>
              <c:pt idx="1">
                <c:v>-4.0136201835408292</c:v>
              </c:pt>
            </c:numLit>
          </c:xVal>
          <c:yVal>
            <c:numLit>
              <c:formatCode>General</c:formatCode>
              <c:ptCount val="2"/>
              <c:pt idx="0">
                <c:v>2.0200103644625281E-2</c:v>
              </c:pt>
              <c:pt idx="1">
                <c:v>2.0180849913089945E-2</c:v>
              </c:pt>
            </c:numLit>
          </c:yVal>
          <c:smooth val="0"/>
          <c:extLst>
            <c:ext xmlns:c16="http://schemas.microsoft.com/office/drawing/2014/chart" uri="{C3380CC4-5D6E-409C-BE32-E72D297353CC}">
              <c16:uniqueId val="{0000000C-6B98-40F5-B9A6-793491A02185}"/>
            </c:ext>
          </c:extLst>
        </c:ser>
        <c:ser>
          <c:idx val="11"/>
          <c:order val="11"/>
          <c:spPr>
            <a:ln w="3175">
              <a:solidFill>
                <a:srgbClr val="000000"/>
              </a:solidFill>
              <a:prstDash val="solid"/>
            </a:ln>
          </c:spPr>
          <c:marker>
            <c:symbol val="none"/>
          </c:marker>
          <c:xVal>
            <c:numLit>
              <c:formatCode>General</c:formatCode>
              <c:ptCount val="2"/>
              <c:pt idx="0">
                <c:v>-3.6989155989247418</c:v>
              </c:pt>
              <c:pt idx="1">
                <c:v>-3.9973698432209668</c:v>
              </c:pt>
            </c:numLit>
          </c:xVal>
          <c:yVal>
            <c:numLit>
              <c:formatCode>General</c:formatCode>
              <c:ptCount val="2"/>
              <c:pt idx="0">
                <c:v>2.0077175197246788E-2</c:v>
              </c:pt>
              <c:pt idx="1">
                <c:v>2.0054678249479638E-2</c:v>
              </c:pt>
            </c:numLit>
          </c:yVal>
          <c:smooth val="0"/>
          <c:extLst>
            <c:ext xmlns:c16="http://schemas.microsoft.com/office/drawing/2014/chart" uri="{C3380CC4-5D6E-409C-BE32-E72D297353CC}">
              <c16:uniqueId val="{0000000D-6B98-40F5-B9A6-793491A02185}"/>
            </c:ext>
          </c:extLst>
        </c:ser>
        <c:ser>
          <c:idx val="12"/>
          <c:order val="12"/>
          <c:spPr>
            <a:ln w="3175">
              <a:solidFill>
                <a:srgbClr val="000000"/>
              </a:solidFill>
              <a:prstDash val="solid"/>
            </a:ln>
          </c:spPr>
          <c:marker>
            <c:symbol val="none"/>
          </c:marker>
          <c:xVal>
            <c:numLit>
              <c:formatCode>General</c:formatCode>
              <c:ptCount val="2"/>
              <c:pt idx="0">
                <c:v>-3.6797304479524238</c:v>
              </c:pt>
              <c:pt idx="1">
                <c:v>-3.9776826867646431</c:v>
              </c:pt>
            </c:numLit>
          </c:xVal>
          <c:yVal>
            <c:numLit>
              <c:formatCode>General</c:formatCode>
              <c:ptCount val="2"/>
              <c:pt idx="0">
                <c:v>1.9948851824198272E-2</c:v>
              </c:pt>
              <c:pt idx="1">
                <c:v>1.9922969066463295E-2</c:v>
              </c:pt>
            </c:numLit>
          </c:yVal>
          <c:smooth val="0"/>
          <c:extLst>
            <c:ext xmlns:c16="http://schemas.microsoft.com/office/drawing/2014/chart" uri="{C3380CC4-5D6E-409C-BE32-E72D297353CC}">
              <c16:uniqueId val="{0000000E-6B98-40F5-B9A6-793491A02185}"/>
            </c:ext>
          </c:extLst>
        </c:ser>
        <c:ser>
          <c:idx val="13"/>
          <c:order val="13"/>
          <c:spPr>
            <a:ln w="3175">
              <a:solidFill>
                <a:srgbClr val="000000"/>
              </a:solidFill>
              <a:prstDash val="solid"/>
            </a:ln>
          </c:spPr>
          <c:marker>
            <c:symbol val="none"/>
          </c:marker>
          <c:xVal>
            <c:numLit>
              <c:formatCode>General</c:formatCode>
              <c:ptCount val="2"/>
              <c:pt idx="0">
                <c:v>-3.6567911778075404</c:v>
              </c:pt>
              <c:pt idx="1">
                <c:v>-4.2514973042485202</c:v>
              </c:pt>
            </c:numLit>
          </c:xVal>
          <c:yVal>
            <c:numLit>
              <c:formatCode>General</c:formatCode>
              <c:ptCount val="2"/>
              <c:pt idx="0">
                <c:v>1.9814869530917118E-2</c:v>
              </c:pt>
              <c:pt idx="1">
                <c:v>1.9756045431995016E-2</c:v>
              </c:pt>
            </c:numLit>
          </c:yVal>
          <c:smooth val="0"/>
          <c:extLst>
            <c:ext xmlns:c16="http://schemas.microsoft.com/office/drawing/2014/chart" uri="{C3380CC4-5D6E-409C-BE32-E72D297353CC}">
              <c16:uniqueId val="{0000000F-6B98-40F5-B9A6-793491A02185}"/>
            </c:ext>
          </c:extLst>
        </c:ser>
        <c:ser>
          <c:idx val="14"/>
          <c:order val="14"/>
          <c:spPr>
            <a:ln w="3175">
              <a:solidFill>
                <a:srgbClr val="000000"/>
              </a:solidFill>
              <a:prstDash val="solid"/>
            </a:ln>
          </c:spPr>
          <c:marker>
            <c:symbol val="none"/>
          </c:marker>
          <c:dLbls>
            <c:dLbl>
              <c:idx val="0"/>
              <c:tx>
                <c:rich>
                  <a:bodyPr rot="-4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0.80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B98-40F5-B9A6-793491A0218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-5.0048045482834356</c:v>
              </c:pt>
            </c:numLit>
          </c:xVal>
          <c:yVal>
            <c:numLit>
              <c:formatCode>General</c:formatCode>
              <c:ptCount val="1"/>
              <c:pt idx="0">
                <c:v>1.9681605533496679E-2</c:v>
              </c:pt>
            </c:numLit>
          </c:yVal>
          <c:smooth val="0"/>
          <c:extLst>
            <c:ext xmlns:c16="http://schemas.microsoft.com/office/drawing/2014/chart" uri="{C3380CC4-5D6E-409C-BE32-E72D297353CC}">
              <c16:uniqueId val="{00000011-6B98-40F5-B9A6-793491A02185}"/>
            </c:ext>
          </c:extLst>
        </c:ser>
        <c:ser>
          <c:idx val="15"/>
          <c:order val="15"/>
          <c:spPr>
            <a:ln w="3175">
              <a:solidFill>
                <a:srgbClr val="000000"/>
              </a:solidFill>
              <a:prstDash val="solid"/>
            </a:ln>
          </c:spPr>
          <c:marker>
            <c:symbol val="none"/>
          </c:marker>
          <c:xVal>
            <c:numLit>
              <c:formatCode>General</c:formatCode>
              <c:ptCount val="2"/>
              <c:pt idx="0">
                <c:v>-3.6296464070240311</c:v>
              </c:pt>
              <c:pt idx="1">
                <c:v>-3.9262879289068784</c:v>
              </c:pt>
            </c:numLit>
          </c:xVal>
          <c:yVal>
            <c:numLit>
              <c:formatCode>General</c:formatCode>
              <c:ptCount val="2"/>
              <c:pt idx="0">
                <c:v>1.9674959043059544E-2</c:v>
              </c:pt>
              <c:pt idx="1">
                <c:v>1.9641848560224669E-2</c:v>
              </c:pt>
            </c:numLit>
          </c:yVal>
          <c:smooth val="0"/>
          <c:extLst>
            <c:ext xmlns:c16="http://schemas.microsoft.com/office/drawing/2014/chart" uri="{C3380CC4-5D6E-409C-BE32-E72D297353CC}">
              <c16:uniqueId val="{00000012-6B98-40F5-B9A6-793491A02185}"/>
            </c:ext>
          </c:extLst>
        </c:ser>
        <c:ser>
          <c:idx val="16"/>
          <c:order val="16"/>
          <c:spPr>
            <a:ln w="3175">
              <a:solidFill>
                <a:srgbClr val="000000"/>
              </a:solidFill>
              <a:prstDash val="solid"/>
            </a:ln>
          </c:spPr>
          <c:marker>
            <c:symbol val="none"/>
          </c:marker>
          <c:xVal>
            <c:numLit>
              <c:formatCode>General</c:formatCode>
              <c:ptCount val="2"/>
              <c:pt idx="0">
                <c:v>-3.5977936301001021</c:v>
              </c:pt>
              <c:pt idx="1">
                <c:v>-3.8936014035493267</c:v>
              </c:pt>
            </c:numLit>
          </c:xVal>
          <c:yVal>
            <c:numLit>
              <c:formatCode>General</c:formatCode>
              <c:ptCount val="2"/>
              <c:pt idx="0">
                <c:v>1.9528848142313003E-2</c:v>
              </c:pt>
              <c:pt idx="1">
                <c:v>1.9491881254637813E-2</c:v>
              </c:pt>
            </c:numLit>
          </c:yVal>
          <c:smooth val="0"/>
          <c:extLst>
            <c:ext xmlns:c16="http://schemas.microsoft.com/office/drawing/2014/chart" uri="{C3380CC4-5D6E-409C-BE32-E72D297353CC}">
              <c16:uniqueId val="{00000013-6B98-40F5-B9A6-793491A02185}"/>
            </c:ext>
          </c:extLst>
        </c:ser>
        <c:ser>
          <c:idx val="17"/>
          <c:order val="17"/>
          <c:spPr>
            <a:ln w="3175">
              <a:solidFill>
                <a:srgbClr val="000000"/>
              </a:solidFill>
              <a:prstDash val="solid"/>
            </a:ln>
          </c:spPr>
          <c:marker>
            <c:symbol val="none"/>
          </c:marker>
          <c:xVal>
            <c:numLit>
              <c:formatCode>General</c:formatCode>
              <c:ptCount val="2"/>
              <c:pt idx="0">
                <c:v>-3.5606742779232401</c:v>
              </c:pt>
              <c:pt idx="1">
                <c:v>-3.8555103033006843</c:v>
              </c:pt>
            </c:numLit>
          </c:xVal>
          <c:yVal>
            <c:numLit>
              <c:formatCode>General</c:formatCode>
              <c:ptCount val="2"/>
              <c:pt idx="0">
                <c:v>1.9376264717732728E-2</c:v>
              </c:pt>
              <c:pt idx="1">
                <c:v>1.9335269988825475E-2</c:v>
              </c:pt>
            </c:numLit>
          </c:yVal>
          <c:smooth val="0"/>
          <c:extLst>
            <c:ext xmlns:c16="http://schemas.microsoft.com/office/drawing/2014/chart" uri="{C3380CC4-5D6E-409C-BE32-E72D297353CC}">
              <c16:uniqueId val="{00000014-6B98-40F5-B9A6-793491A02185}"/>
            </c:ext>
          </c:extLst>
        </c:ser>
        <c:ser>
          <c:idx val="18"/>
          <c:order val="18"/>
          <c:spPr>
            <a:ln w="3175">
              <a:solidFill>
                <a:srgbClr val="000000"/>
              </a:solidFill>
              <a:prstDash val="solid"/>
            </a:ln>
          </c:spPr>
          <c:marker>
            <c:symbol val="none"/>
          </c:marker>
          <c:xVal>
            <c:numLit>
              <c:formatCode>General</c:formatCode>
              <c:ptCount val="2"/>
              <c:pt idx="0">
                <c:v>-3.517668638557927</c:v>
              </c:pt>
              <c:pt idx="1">
                <c:v>-3.8113786218780392</c:v>
              </c:pt>
            </c:numLit>
          </c:xVal>
          <c:yVal>
            <c:numLit>
              <c:formatCode>General</c:formatCode>
              <c:ptCount val="2"/>
              <c:pt idx="0">
                <c:v>1.921694067579767E-2</c:v>
              </c:pt>
              <c:pt idx="1">
                <c:v>1.917173944071374E-2</c:v>
              </c:pt>
            </c:numLit>
          </c:yVal>
          <c:smooth val="0"/>
          <c:extLst>
            <c:ext xmlns:c16="http://schemas.microsoft.com/office/drawing/2014/chart" uri="{C3380CC4-5D6E-409C-BE32-E72D297353CC}">
              <c16:uniqueId val="{00000015-6B98-40F5-B9A6-793491A02185}"/>
            </c:ext>
          </c:extLst>
        </c:ser>
        <c:ser>
          <c:idx val="19"/>
          <c:order val="19"/>
          <c:spPr>
            <a:ln w="3175">
              <a:solidFill>
                <a:srgbClr val="000000"/>
              </a:solidFill>
              <a:prstDash val="solid"/>
            </a:ln>
          </c:spPr>
          <c:marker>
            <c:symbol val="none"/>
          </c:marker>
          <c:xVal>
            <c:numLit>
              <c:formatCode>General</c:formatCode>
              <c:ptCount val="2"/>
              <c:pt idx="0">
                <c:v>-3.4680907686435161</c:v>
              </c:pt>
              <c:pt idx="1">
                <c:v>-4.0529202023993429</c:v>
              </c:pt>
            </c:numLit>
          </c:xVal>
          <c:yVal>
            <c:numLit>
              <c:formatCode>General</c:formatCode>
              <c:ptCount val="2"/>
              <c:pt idx="0">
                <c:v>1.905061686979987E-2</c:v>
              </c:pt>
              <c:pt idx="1">
                <c:v>1.8951450076302702E-2</c:v>
              </c:pt>
            </c:numLit>
          </c:yVal>
          <c:smooth val="0"/>
          <c:extLst>
            <c:ext xmlns:c16="http://schemas.microsoft.com/office/drawing/2014/chart" uri="{C3380CC4-5D6E-409C-BE32-E72D297353CC}">
              <c16:uniqueId val="{00000016-6B98-40F5-B9A6-793491A02185}"/>
            </c:ext>
          </c:extLst>
        </c:ser>
        <c:ser>
          <c:idx val="20"/>
          <c:order val="20"/>
          <c:spPr>
            <a:ln w="3175">
              <a:solidFill>
                <a:srgbClr val="000000"/>
              </a:solidFill>
              <a:prstDash val="solid"/>
            </a:ln>
          </c:spPr>
          <c:marker>
            <c:symbol val="none"/>
          </c:marker>
          <c:dLbls>
            <c:dLbl>
              <c:idx val="0"/>
              <c:tx>
                <c:rich>
                  <a:bodyPr rot="-7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0.70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B98-40F5-B9A6-793491A0218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-4.7937399600325126</c:v>
              </c:pt>
            </c:numLit>
          </c:xVal>
          <c:yVal>
            <c:numLit>
              <c:formatCode>General</c:formatCode>
              <c:ptCount val="1"/>
              <c:pt idx="0">
                <c:v>1.8825953904367372E-2</c:v>
              </c:pt>
            </c:numLit>
          </c:yVal>
          <c:smooth val="0"/>
          <c:extLst>
            <c:ext xmlns:c16="http://schemas.microsoft.com/office/drawing/2014/chart" uri="{C3380CC4-5D6E-409C-BE32-E72D297353CC}">
              <c16:uniqueId val="{00000018-6B98-40F5-B9A6-793491A02185}"/>
            </c:ext>
          </c:extLst>
        </c:ser>
        <c:ser>
          <c:idx val="21"/>
          <c:order val="21"/>
          <c:spPr>
            <a:ln w="3175">
              <a:solidFill>
                <a:srgbClr val="000000"/>
              </a:solidFill>
              <a:prstDash val="solid"/>
            </a:ln>
          </c:spPr>
          <c:marker>
            <c:symbol val="none"/>
          </c:marker>
          <c:xVal>
            <c:numLit>
              <c:formatCode>General</c:formatCode>
              <c:ptCount val="2"/>
              <c:pt idx="0">
                <c:v>-3.4406035633560976</c:v>
              </c:pt>
              <c:pt idx="1">
                <c:v>-3.7322951803470819</c:v>
              </c:pt>
            </c:numLit>
          </c:xVal>
          <c:yVal>
            <c:numLit>
              <c:formatCode>General</c:formatCode>
              <c:ptCount val="2"/>
              <c:pt idx="0">
                <c:v>1.8964752998040003E-2</c:v>
              </c:pt>
              <c:pt idx="1">
                <c:v>1.891289174648661E-2</c:v>
              </c:pt>
            </c:numLit>
          </c:yVal>
          <c:smooth val="0"/>
          <c:extLst>
            <c:ext xmlns:c16="http://schemas.microsoft.com/office/drawing/2014/chart" uri="{C3380CC4-5D6E-409C-BE32-E72D297353CC}">
              <c16:uniqueId val="{00000019-6B98-40F5-B9A6-793491A02185}"/>
            </c:ext>
          </c:extLst>
        </c:ser>
        <c:ser>
          <c:idx val="22"/>
          <c:order val="22"/>
          <c:spPr>
            <a:ln w="3175">
              <a:solidFill>
                <a:srgbClr val="000000"/>
              </a:solidFill>
              <a:prstDash val="solid"/>
            </a:ln>
          </c:spPr>
          <c:marker>
            <c:symbol val="none"/>
          </c:marker>
          <c:xVal>
            <c:numLit>
              <c:formatCode>General</c:formatCode>
              <c:ptCount val="2"/>
              <c:pt idx="0">
                <c:v>-3.4111835808515791</c:v>
              </c:pt>
              <c:pt idx="1">
                <c:v>-3.7021044990194212</c:v>
              </c:pt>
            </c:numLit>
          </c:xVal>
          <c:yVal>
            <c:numLit>
              <c:formatCode>General</c:formatCode>
              <c:ptCount val="2"/>
              <c:pt idx="0">
                <c:v>1.8877049224379265E-2</c:v>
              </c:pt>
              <c:pt idx="1">
                <c:v>1.8822871269990157E-2</c:v>
              </c:pt>
            </c:numLit>
          </c:yVal>
          <c:smooth val="0"/>
          <c:extLst>
            <c:ext xmlns:c16="http://schemas.microsoft.com/office/drawing/2014/chart" uri="{C3380CC4-5D6E-409C-BE32-E72D297353CC}">
              <c16:uniqueId val="{0000001A-6B98-40F5-B9A6-793491A02185}"/>
            </c:ext>
          </c:extLst>
        </c:ser>
        <c:ser>
          <c:idx val="23"/>
          <c:order val="23"/>
          <c:spPr>
            <a:ln w="3175">
              <a:solidFill>
                <a:srgbClr val="000000"/>
              </a:solidFill>
              <a:prstDash val="solid"/>
            </a:ln>
          </c:spPr>
          <c:marker>
            <c:symbol val="none"/>
          </c:marker>
          <c:xVal>
            <c:numLit>
              <c:formatCode>General</c:formatCode>
              <c:ptCount val="2"/>
              <c:pt idx="0">
                <c:v>-3.3797243325935047</c:v>
              </c:pt>
              <c:pt idx="1">
                <c:v>-3.6698210225191046</c:v>
              </c:pt>
            </c:numLit>
          </c:xVal>
          <c:yVal>
            <c:numLit>
              <c:formatCode>General</c:formatCode>
              <c:ptCount val="2"/>
              <c:pt idx="0">
                <c:v>1.8787478625185268E-2</c:v>
              </c:pt>
              <c:pt idx="1">
                <c:v>1.8730934348336725E-2</c:v>
              </c:pt>
            </c:numLit>
          </c:yVal>
          <c:smooth val="0"/>
          <c:extLst>
            <c:ext xmlns:c16="http://schemas.microsoft.com/office/drawing/2014/chart" uri="{C3380CC4-5D6E-409C-BE32-E72D297353CC}">
              <c16:uniqueId val="{0000001B-6B98-40F5-B9A6-793491A02185}"/>
            </c:ext>
          </c:extLst>
        </c:ser>
        <c:ser>
          <c:idx val="24"/>
          <c:order val="24"/>
          <c:spPr>
            <a:ln w="3175">
              <a:solidFill>
                <a:srgbClr val="000000"/>
              </a:solidFill>
              <a:prstDash val="solid"/>
            </a:ln>
          </c:spPr>
          <c:marker>
            <c:symbol val="none"/>
          </c:marker>
          <c:xVal>
            <c:numLit>
              <c:formatCode>General</c:formatCode>
              <c:ptCount val="2"/>
              <c:pt idx="0">
                <c:v>-3.3461143621710736</c:v>
              </c:pt>
              <c:pt idx="1">
                <c:v>-3.6353303523381379</c:v>
              </c:pt>
            </c:numLit>
          </c:xVal>
          <c:yVal>
            <c:numLit>
              <c:formatCode>General</c:formatCode>
              <c:ptCount val="2"/>
              <c:pt idx="0">
                <c:v>1.8696016241449256E-2</c:v>
              </c:pt>
              <c:pt idx="1">
                <c:v>1.8637055329613312E-2</c:v>
              </c:pt>
            </c:numLit>
          </c:yVal>
          <c:smooth val="0"/>
          <c:extLst>
            <c:ext xmlns:c16="http://schemas.microsoft.com/office/drawing/2014/chart" uri="{C3380CC4-5D6E-409C-BE32-E72D297353CC}">
              <c16:uniqueId val="{0000001C-6B98-40F5-B9A6-793491A02185}"/>
            </c:ext>
          </c:extLst>
        </c:ser>
        <c:ser>
          <c:idx val="25"/>
          <c:order val="25"/>
          <c:spPr>
            <a:ln w="3175">
              <a:solidFill>
                <a:srgbClr val="000000"/>
              </a:solidFill>
              <a:prstDash val="solid"/>
            </a:ln>
          </c:spPr>
          <c:marker>
            <c:symbol val="none"/>
          </c:marker>
          <c:xVal>
            <c:numLit>
              <c:formatCode>General</c:formatCode>
              <c:ptCount val="2"/>
              <c:pt idx="0">
                <c:v>-3.3102371536754234</c:v>
              </c:pt>
              <c:pt idx="1">
                <c:v>-3.8867980751786924</c:v>
              </c:pt>
            </c:numLit>
          </c:xVal>
          <c:yVal>
            <c:numLit>
              <c:formatCode>General</c:formatCode>
              <c:ptCount val="2"/>
              <c:pt idx="0">
                <c:v>1.8602639402078635E-2</c:v>
              </c:pt>
              <c:pt idx="1">
                <c:v>1.8479806553120048E-2</c:v>
              </c:pt>
            </c:numLit>
          </c:yVal>
          <c:smooth val="0"/>
          <c:extLst>
            <c:ext xmlns:c16="http://schemas.microsoft.com/office/drawing/2014/chart" uri="{C3380CC4-5D6E-409C-BE32-E72D297353CC}">
              <c16:uniqueId val="{0000001D-6B98-40F5-B9A6-793491A02185}"/>
            </c:ext>
          </c:extLst>
        </c:ser>
        <c:ser>
          <c:idx val="26"/>
          <c:order val="26"/>
          <c:spPr>
            <a:ln w="3175">
              <a:solidFill>
                <a:srgbClr val="000000"/>
              </a:solidFill>
              <a:prstDash val="solid"/>
            </a:ln>
          </c:spPr>
          <c:marker>
            <c:symbol val="none"/>
          </c:marker>
          <c:xVal>
            <c:numLit>
              <c:formatCode>General</c:formatCode>
              <c:ptCount val="2"/>
              <c:pt idx="0">
                <c:v>-3.2719710627580656</c:v>
              </c:pt>
              <c:pt idx="1">
                <c:v>-3.5592437900382992</c:v>
              </c:pt>
            </c:numLit>
          </c:xVal>
          <c:yVal>
            <c:numLit>
              <c:formatCode>General</c:formatCode>
              <c:ptCount val="2"/>
              <c:pt idx="0">
                <c:v>1.85073280758347E-2</c:v>
              </c:pt>
              <c:pt idx="1">
                <c:v>1.8443380483584921E-2</c:v>
              </c:pt>
            </c:numLit>
          </c:yVal>
          <c:smooth val="0"/>
          <c:extLst>
            <c:ext xmlns:c16="http://schemas.microsoft.com/office/drawing/2014/chart" uri="{C3380CC4-5D6E-409C-BE32-E72D297353CC}">
              <c16:uniqueId val="{0000001E-6B98-40F5-B9A6-793491A02185}"/>
            </c:ext>
          </c:extLst>
        </c:ser>
        <c:ser>
          <c:idx val="27"/>
          <c:order val="27"/>
          <c:spPr>
            <a:ln w="3175">
              <a:solidFill>
                <a:srgbClr val="000000"/>
              </a:solidFill>
              <a:prstDash val="solid"/>
            </a:ln>
          </c:spPr>
          <c:marker>
            <c:symbol val="none"/>
          </c:marker>
          <c:xVal>
            <c:numLit>
              <c:formatCode>General</c:formatCode>
              <c:ptCount val="2"/>
              <c:pt idx="0">
                <c:v>-3.2311892749519693</c:v>
              </c:pt>
              <c:pt idx="1">
                <c:v>-3.5173928687057834</c:v>
              </c:pt>
            </c:numLit>
          </c:xVal>
          <c:yVal>
            <c:numLit>
              <c:formatCode>General</c:formatCode>
              <c:ptCount val="2"/>
              <c:pt idx="0">
                <c:v>1.8410065253019303E-2</c:v>
              </c:pt>
              <c:pt idx="1">
                <c:v>1.8343546556689797E-2</c:v>
              </c:pt>
            </c:numLit>
          </c:yVal>
          <c:smooth val="0"/>
          <c:extLst>
            <c:ext xmlns:c16="http://schemas.microsoft.com/office/drawing/2014/chart" uri="{C3380CC4-5D6E-409C-BE32-E72D297353CC}">
              <c16:uniqueId val="{0000001F-6B98-40F5-B9A6-793491A02185}"/>
            </c:ext>
          </c:extLst>
        </c:ser>
        <c:ser>
          <c:idx val="28"/>
          <c:order val="28"/>
          <c:spPr>
            <a:ln w="3175">
              <a:solidFill>
                <a:srgbClr val="000000"/>
              </a:solidFill>
              <a:prstDash val="solid"/>
            </a:ln>
          </c:spPr>
          <c:marker>
            <c:symbol val="none"/>
          </c:marker>
          <c:xVal>
            <c:numLit>
              <c:formatCode>General</c:formatCode>
              <c:ptCount val="2"/>
              <c:pt idx="0">
                <c:v>-3.1877597963437578</c:v>
              </c:pt>
              <c:pt idx="1">
                <c:v>-3.4728246421453663</c:v>
              </c:pt>
            </c:numLit>
          </c:xVal>
          <c:yVal>
            <c:numLit>
              <c:formatCode>General</c:formatCode>
              <c:ptCount val="2"/>
              <c:pt idx="0">
                <c:v>1.8310837357796605E-2</c:v>
              </c:pt>
              <c:pt idx="1">
                <c:v>1.8241695148370509E-2</c:v>
              </c:pt>
            </c:numLit>
          </c:yVal>
          <c:smooth val="0"/>
          <c:extLst>
            <c:ext xmlns:c16="http://schemas.microsoft.com/office/drawing/2014/chart" uri="{C3380CC4-5D6E-409C-BE32-E72D297353CC}">
              <c16:uniqueId val="{00000020-6B98-40F5-B9A6-793491A02185}"/>
            </c:ext>
          </c:extLst>
        </c:ser>
        <c:ser>
          <c:idx val="29"/>
          <c:order val="29"/>
          <c:spPr>
            <a:ln w="3175">
              <a:solidFill>
                <a:srgbClr val="000000"/>
              </a:solidFill>
              <a:prstDash val="solid"/>
            </a:ln>
          </c:spPr>
          <c:marker>
            <c:symbol val="none"/>
          </c:marker>
          <c:xVal>
            <c:numLit>
              <c:formatCode>General</c:formatCode>
              <c:ptCount val="2"/>
              <c:pt idx="0">
                <c:v>-3.1415454822086812</c:v>
              </c:pt>
              <c:pt idx="1">
                <c:v>-3.4253983312720453</c:v>
              </c:pt>
            </c:numLit>
          </c:xVal>
          <c:yVal>
            <c:numLit>
              <c:formatCode>General</c:formatCode>
              <c:ptCount val="2"/>
              <c:pt idx="0">
                <c:v>1.820963469175254E-2</c:v>
              </c:pt>
              <c:pt idx="1">
                <c:v>1.8137816256964326E-2</c:v>
              </c:pt>
            </c:numLit>
          </c:yVal>
          <c:smooth val="0"/>
          <c:extLst>
            <c:ext xmlns:c16="http://schemas.microsoft.com/office/drawing/2014/chart" uri="{C3380CC4-5D6E-409C-BE32-E72D297353CC}">
              <c16:uniqueId val="{00000021-6B98-40F5-B9A6-793491A02185}"/>
            </c:ext>
          </c:extLst>
        </c:ser>
        <c:ser>
          <c:idx val="30"/>
          <c:order val="30"/>
          <c:spPr>
            <a:ln w="3175">
              <a:solidFill>
                <a:srgbClr val="000000"/>
              </a:solidFill>
              <a:prstDash val="solid"/>
            </a:ln>
          </c:spPr>
          <c:marker>
            <c:symbol val="none"/>
          </c:marker>
          <c:xVal>
            <c:numLit>
              <c:formatCode>General</c:formatCode>
              <c:ptCount val="2"/>
              <c:pt idx="0">
                <c:v>-3.0924041097491268</c:v>
              </c:pt>
              <c:pt idx="1">
                <c:v>-3.6575453920736818</c:v>
              </c:pt>
            </c:numLit>
          </c:xVal>
          <c:yVal>
            <c:numLit>
              <c:formatCode>General</c:formatCode>
              <c:ptCount val="2"/>
              <c:pt idx="0">
                <c:v>1.8106451908935582E-2</c:v>
              </c:pt>
              <c:pt idx="1">
                <c:v>1.7957384915551974E-2</c:v>
              </c:pt>
            </c:numLit>
          </c:yVal>
          <c:smooth val="0"/>
          <c:extLst>
            <c:ext xmlns:c16="http://schemas.microsoft.com/office/drawing/2014/chart" uri="{C3380CC4-5D6E-409C-BE32-E72D297353CC}">
              <c16:uniqueId val="{00000022-6B98-40F5-B9A6-793491A02185}"/>
            </c:ext>
          </c:extLst>
        </c:ser>
        <c:ser>
          <c:idx val="31"/>
          <c:order val="31"/>
          <c:spPr>
            <a:ln w="3175">
              <a:solidFill>
                <a:srgbClr val="000000"/>
              </a:solidFill>
              <a:prstDash val="solid"/>
            </a:ln>
          </c:spPr>
          <c:marker>
            <c:symbol val="none"/>
          </c:marker>
          <c:dLbls>
            <c:dLbl>
              <c:idx val="0"/>
              <c:tx>
                <c:rich>
                  <a:bodyPr rot="-12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0.60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3-6B98-40F5-B9A6-793491A0218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-4.3734691487420454</c:v>
              </c:pt>
            </c:numLit>
          </c:xVal>
          <c:yVal>
            <c:numLit>
              <c:formatCode>General</c:formatCode>
              <c:ptCount val="1"/>
              <c:pt idx="0">
                <c:v>1.7768728173225303E-2</c:v>
              </c:pt>
            </c:numLit>
          </c:yVal>
          <c:smooth val="0"/>
          <c:extLst>
            <c:ext xmlns:c16="http://schemas.microsoft.com/office/drawing/2014/chart" uri="{C3380CC4-5D6E-409C-BE32-E72D297353CC}">
              <c16:uniqueId val="{00000024-6B98-40F5-B9A6-793491A02185}"/>
            </c:ext>
          </c:extLst>
        </c:ser>
        <c:ser>
          <c:idx val="32"/>
          <c:order val="32"/>
          <c:spPr>
            <a:ln w="3175">
              <a:solidFill>
                <a:srgbClr val="000000"/>
              </a:solidFill>
              <a:prstDash val="solid"/>
            </a:ln>
          </c:spPr>
          <c:marker>
            <c:symbol val="none"/>
          </c:marker>
          <c:xVal>
            <c:numLit>
              <c:formatCode>General</c:formatCode>
              <c:ptCount val="2"/>
              <c:pt idx="0">
                <c:v>-3.0401885016002286</c:v>
              </c:pt>
              <c:pt idx="1">
                <c:v>-3.3213823853739761</c:v>
              </c:pt>
            </c:numLit>
          </c:xVal>
          <c:yVal>
            <c:numLit>
              <c:formatCode>General</c:formatCode>
              <c:ptCount val="2"/>
              <c:pt idx="0">
                <c:v>1.8001288522178398E-2</c:v>
              </c:pt>
              <c:pt idx="1">
                <c:v>1.79239588608462E-2</c:v>
              </c:pt>
            </c:numLit>
          </c:yVal>
          <c:smooth val="0"/>
          <c:extLst>
            <c:ext xmlns:c16="http://schemas.microsoft.com/office/drawing/2014/chart" uri="{C3380CC4-5D6E-409C-BE32-E72D297353CC}">
              <c16:uniqueId val="{00000025-6B98-40F5-B9A6-793491A02185}"/>
            </c:ext>
          </c:extLst>
        </c:ser>
        <c:ser>
          <c:idx val="33"/>
          <c:order val="33"/>
          <c:spPr>
            <a:ln w="3175">
              <a:solidFill>
                <a:srgbClr val="000000"/>
              </a:solidFill>
              <a:prstDash val="solid"/>
            </a:ln>
          </c:spPr>
          <c:marker>
            <c:symbol val="none"/>
          </c:marker>
          <c:xVal>
            <c:numLit>
              <c:formatCode>General</c:formatCode>
              <c:ptCount val="2"/>
              <c:pt idx="0">
                <c:v>-2.9847467072668263</c:v>
              </c:pt>
              <c:pt idx="1">
                <c:v>-3.2644856755106595</c:v>
              </c:pt>
            </c:numLit>
          </c:xVal>
          <c:yVal>
            <c:numLit>
              <c:formatCode>General</c:formatCode>
              <c:ptCount val="2"/>
              <c:pt idx="0">
                <c:v>1.7894149439960622E-2</c:v>
              </c:pt>
              <c:pt idx="1">
                <c:v>1.7813984785902574E-2</c:v>
              </c:pt>
            </c:numLit>
          </c:yVal>
          <c:smooth val="0"/>
          <c:extLst>
            <c:ext xmlns:c16="http://schemas.microsoft.com/office/drawing/2014/chart" uri="{C3380CC4-5D6E-409C-BE32-E72D297353CC}">
              <c16:uniqueId val="{00000026-6B98-40F5-B9A6-793491A02185}"/>
            </c:ext>
          </c:extLst>
        </c:ser>
        <c:ser>
          <c:idx val="34"/>
          <c:order val="34"/>
          <c:spPr>
            <a:ln w="3175">
              <a:solidFill>
                <a:srgbClr val="000000"/>
              </a:solidFill>
              <a:prstDash val="solid"/>
            </a:ln>
          </c:spPr>
          <c:marker>
            <c:symbol val="none"/>
          </c:marker>
          <c:xVal>
            <c:numLit>
              <c:formatCode>General</c:formatCode>
              <c:ptCount val="2"/>
              <c:pt idx="0">
                <c:v>-2.9259222501155961</c:v>
              </c:pt>
              <c:pt idx="1">
                <c:v>-3.2041171702836717</c:v>
              </c:pt>
            </c:numLit>
          </c:xVal>
          <c:yVal>
            <c:numLit>
              <c:formatCode>General</c:formatCode>
              <c:ptCount val="2"/>
              <c:pt idx="0">
                <c:v>1.7785045532430037E-2</c:v>
              </c:pt>
              <c:pt idx="1">
                <c:v>1.7701993219551154E-2</c:v>
              </c:pt>
            </c:numLit>
          </c:yVal>
          <c:smooth val="0"/>
          <c:extLst>
            <c:ext xmlns:c16="http://schemas.microsoft.com/office/drawing/2014/chart" uri="{C3380CC4-5D6E-409C-BE32-E72D297353CC}">
              <c16:uniqueId val="{00000027-6B98-40F5-B9A6-793491A02185}"/>
            </c:ext>
          </c:extLst>
        </c:ser>
        <c:ser>
          <c:idx val="35"/>
          <c:order val="35"/>
          <c:spPr>
            <a:ln w="3175">
              <a:solidFill>
                <a:srgbClr val="000000"/>
              </a:solidFill>
              <a:prstDash val="solid"/>
            </a:ln>
          </c:spPr>
          <c:marker>
            <c:symbol val="none"/>
          </c:marker>
          <c:xVal>
            <c:numLit>
              <c:formatCode>General</c:formatCode>
              <c:ptCount val="2"/>
              <c:pt idx="0">
                <c:v>-2.8635544479409476</c:v>
              </c:pt>
              <c:pt idx="1">
                <c:v>-3.1401119058801523</c:v>
              </c:pt>
            </c:numLit>
          </c:xVal>
          <c:yVal>
            <c:numLit>
              <c:formatCode>General</c:formatCode>
              <c:ptCount val="2"/>
              <c:pt idx="0">
                <c:v>1.7673994224443108E-2</c:v>
              </c:pt>
              <c:pt idx="1">
                <c:v>1.7588001986049255E-2</c:v>
              </c:pt>
            </c:numLit>
          </c:yVal>
          <c:smooth val="0"/>
          <c:extLst>
            <c:ext xmlns:c16="http://schemas.microsoft.com/office/drawing/2014/chart" uri="{C3380CC4-5D6E-409C-BE32-E72D297353CC}">
              <c16:uniqueId val="{00000028-6B98-40F5-B9A6-793491A02185}"/>
            </c:ext>
          </c:extLst>
        </c:ser>
        <c:ser>
          <c:idx val="36"/>
          <c:order val="36"/>
          <c:spPr>
            <a:ln w="3175">
              <a:solidFill>
                <a:srgbClr val="000000"/>
              </a:solidFill>
              <a:prstDash val="solid"/>
            </a:ln>
          </c:spPr>
          <c:marker>
            <c:symbol val="none"/>
          </c:marker>
          <c:xVal>
            <c:numLit>
              <c:formatCode>General</c:formatCode>
              <c:ptCount val="2"/>
              <c:pt idx="0">
                <c:v>-2.7974788154258228</c:v>
              </c:pt>
              <c:pt idx="1">
                <c:v>-3.347142064510721</c:v>
              </c:pt>
            </c:numLit>
          </c:xVal>
          <c:yVal>
            <c:numLit>
              <c:formatCode>General</c:formatCode>
              <c:ptCount val="2"/>
              <c:pt idx="0">
                <c:v>1.7561020112610893E-2</c:v>
              </c:pt>
              <c:pt idx="1">
                <c:v>1.7383084173262529E-2</c:v>
              </c:pt>
            </c:numLit>
          </c:yVal>
          <c:smooth val="0"/>
          <c:extLst>
            <c:ext xmlns:c16="http://schemas.microsoft.com/office/drawing/2014/chart" uri="{C3380CC4-5D6E-409C-BE32-E72D297353CC}">
              <c16:uniqueId val="{00000029-6B98-40F5-B9A6-793491A02185}"/>
            </c:ext>
          </c:extLst>
        </c:ser>
        <c:ser>
          <c:idx val="37"/>
          <c:order val="37"/>
          <c:spPr>
            <a:ln w="3175">
              <a:solidFill>
                <a:srgbClr val="000000"/>
              </a:solidFill>
              <a:prstDash val="solid"/>
            </a:ln>
          </c:spPr>
          <c:marker>
            <c:symbol val="none"/>
          </c:marker>
          <c:xVal>
            <c:numLit>
              <c:formatCode>General</c:formatCode>
              <c:ptCount val="2"/>
              <c:pt idx="0">
                <c:v>-2.7275275569962796</c:v>
              </c:pt>
              <c:pt idx="1">
                <c:v>-3.000512197277649</c:v>
              </c:pt>
            </c:numLit>
          </c:xVal>
          <c:yVal>
            <c:numLit>
              <c:formatCode>General</c:formatCode>
              <c:ptCount val="2"/>
              <c:pt idx="0">
                <c:v>1.7446155602337338E-2</c:v>
              </c:pt>
              <c:pt idx="1">
                <c:v>1.7354129262755674E-2</c:v>
              </c:pt>
            </c:numLit>
          </c:yVal>
          <c:smooth val="0"/>
          <c:extLst>
            <c:ext xmlns:c16="http://schemas.microsoft.com/office/drawing/2014/chart" uri="{C3380CC4-5D6E-409C-BE32-E72D297353CC}">
              <c16:uniqueId val="{0000002A-6B98-40F5-B9A6-793491A02185}"/>
            </c:ext>
          </c:extLst>
        </c:ser>
        <c:ser>
          <c:idx val="38"/>
          <c:order val="38"/>
          <c:spPr>
            <a:ln w="3175">
              <a:solidFill>
                <a:srgbClr val="000000"/>
              </a:solidFill>
              <a:prstDash val="solid"/>
            </a:ln>
          </c:spPr>
          <c:marker>
            <c:symbol val="none"/>
          </c:marker>
          <c:xVal>
            <c:numLit>
              <c:formatCode>General</c:formatCode>
              <c:ptCount val="2"/>
              <c:pt idx="0">
                <c:v>-2.6535301585852245</c:v>
              </c:pt>
              <c:pt idx="1">
                <c:v>-2.9245703956378155</c:v>
              </c:pt>
            </c:numLit>
          </c:xVal>
          <c:yVal>
            <c:numLit>
              <c:formatCode>General</c:formatCode>
              <c:ptCount val="2"/>
              <c:pt idx="0">
                <c:v>1.7329441559713527E-2</c:v>
              </c:pt>
              <c:pt idx="1">
                <c:v>1.7234322847302124E-2</c:v>
              </c:pt>
            </c:numLit>
          </c:yVal>
          <c:smooth val="0"/>
          <c:extLst>
            <c:ext xmlns:c16="http://schemas.microsoft.com/office/drawing/2014/chart" uri="{C3380CC4-5D6E-409C-BE32-E72D297353CC}">
              <c16:uniqueId val="{0000002B-6B98-40F5-B9A6-793491A02185}"/>
            </c:ext>
          </c:extLst>
        </c:ser>
        <c:ser>
          <c:idx val="39"/>
          <c:order val="39"/>
          <c:spPr>
            <a:ln w="3175">
              <a:solidFill>
                <a:srgbClr val="000000"/>
              </a:solidFill>
              <a:prstDash val="solid"/>
            </a:ln>
          </c:spPr>
          <c:marker>
            <c:symbol val="none"/>
          </c:marker>
          <c:xVal>
            <c:numLit>
              <c:formatCode>General</c:formatCode>
              <c:ptCount val="2"/>
              <c:pt idx="0">
                <c:v>-2.575314086634803</c:v>
              </c:pt>
              <c:pt idx="1">
                <c:v>-2.8442984434997114</c:v>
              </c:pt>
            </c:numLit>
          </c:xVal>
          <c:yVal>
            <c:numLit>
              <c:formatCode>General</c:formatCode>
              <c:ptCount val="2"/>
              <c:pt idx="0">
                <c:v>1.7210927971887027E-2</c:v>
              </c:pt>
              <c:pt idx="1">
                <c:v>1.7112668261044767E-2</c:v>
              </c:pt>
            </c:numLit>
          </c:yVal>
          <c:smooth val="0"/>
          <c:extLst>
            <c:ext xmlns:c16="http://schemas.microsoft.com/office/drawing/2014/chart" uri="{C3380CC4-5D6E-409C-BE32-E72D297353CC}">
              <c16:uniqueId val="{0000002C-6B98-40F5-B9A6-793491A02185}"/>
            </c:ext>
          </c:extLst>
        </c:ser>
        <c:ser>
          <c:idx val="40"/>
          <c:order val="40"/>
          <c:spPr>
            <a:ln w="3175">
              <a:solidFill>
                <a:srgbClr val="000000"/>
              </a:solidFill>
              <a:prstDash val="solid"/>
            </a:ln>
          </c:spPr>
          <c:marker>
            <c:symbol val="none"/>
          </c:marker>
          <c:xVal>
            <c:numLit>
              <c:formatCode>General</c:formatCode>
              <c:ptCount val="2"/>
              <c:pt idx="0">
                <c:v>-2.4927056022343019</c:v>
              </c:pt>
              <c:pt idx="1">
                <c:v>-2.7595179345950451</c:v>
              </c:pt>
            </c:numLit>
          </c:xVal>
          <c:yVal>
            <c:numLit>
              <c:formatCode>General</c:formatCode>
              <c:ptCount val="2"/>
              <c:pt idx="0">
                <c:v>1.7090674608169102E-2</c:v>
              </c:pt>
              <c:pt idx="1">
                <c:v>1.6989226782600338E-2</c:v>
              </c:pt>
            </c:numLit>
          </c:yVal>
          <c:smooth val="0"/>
          <c:extLst>
            <c:ext xmlns:c16="http://schemas.microsoft.com/office/drawing/2014/chart" uri="{C3380CC4-5D6E-409C-BE32-E72D297353CC}">
              <c16:uniqueId val="{0000002D-6B98-40F5-B9A6-793491A02185}"/>
            </c:ext>
          </c:extLst>
        </c:ser>
        <c:ser>
          <c:idx val="41"/>
          <c:order val="41"/>
          <c:spPr>
            <a:ln w="3175">
              <a:solidFill>
                <a:srgbClr val="000000"/>
              </a:solidFill>
              <a:prstDash val="solid"/>
            </a:ln>
          </c:spPr>
          <c:marker>
            <c:symbol val="none"/>
          </c:marker>
          <c:xVal>
            <c:numLit>
              <c:formatCode>General</c:formatCode>
              <c:ptCount val="2"/>
              <c:pt idx="0">
                <c:v>-2.4055306975638757</c:v>
              </c:pt>
              <c:pt idx="1">
                <c:v>-2.9345947649926489</c:v>
              </c:pt>
            </c:numLit>
          </c:xVal>
          <c:yVal>
            <c:numLit>
              <c:formatCode>General</c:formatCode>
              <c:ptCount val="2"/>
              <c:pt idx="0">
                <c:v>1.6968751672690126E-2</c:v>
              </c:pt>
              <c:pt idx="1">
                <c:v>1.6759423705491334E-2</c:v>
              </c:pt>
            </c:numLit>
          </c:yVal>
          <c:smooth val="0"/>
          <c:extLst>
            <c:ext xmlns:c16="http://schemas.microsoft.com/office/drawing/2014/chart" uri="{C3380CC4-5D6E-409C-BE32-E72D297353CC}">
              <c16:uniqueId val="{0000002E-6B98-40F5-B9A6-793491A02185}"/>
            </c:ext>
          </c:extLst>
        </c:ser>
        <c:ser>
          <c:idx val="42"/>
          <c:order val="42"/>
          <c:spPr>
            <a:ln w="3175">
              <a:solidFill>
                <a:srgbClr val="000000"/>
              </a:solidFill>
              <a:prstDash val="solid"/>
            </a:ln>
          </c:spPr>
          <c:marker>
            <c:symbol val="none"/>
          </c:marker>
          <c:dLbls>
            <c:dLbl>
              <c:idx val="0"/>
              <c:tx>
                <c:rich>
                  <a:bodyPr rot="-16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0.50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F-6B98-40F5-B9A6-793491A0218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-3.6048866411471585</c:v>
              </c:pt>
            </c:numLit>
          </c:xVal>
          <c:yVal>
            <c:numLit>
              <c:formatCode>General</c:formatCode>
              <c:ptCount val="1"/>
              <c:pt idx="0">
                <c:v>1.649447339505386E-2</c:v>
              </c:pt>
            </c:numLit>
          </c:yVal>
          <c:smooth val="0"/>
          <c:extLst>
            <c:ext xmlns:c16="http://schemas.microsoft.com/office/drawing/2014/chart" uri="{C3380CC4-5D6E-409C-BE32-E72D297353CC}">
              <c16:uniqueId val="{00000030-6B98-40F5-B9A6-793491A02185}"/>
            </c:ext>
          </c:extLst>
        </c:ser>
        <c:ser>
          <c:idx val="43"/>
          <c:order val="43"/>
          <c:spPr>
            <a:ln w="3175">
              <a:solidFill>
                <a:srgbClr val="000000"/>
              </a:solidFill>
              <a:prstDash val="solid"/>
            </a:ln>
          </c:spPr>
          <c:marker>
            <c:symbol val="none"/>
          </c:marker>
          <c:xVal>
            <c:numLit>
              <c:formatCode>General</c:formatCode>
              <c:ptCount val="2"/>
              <c:pt idx="0">
                <c:v>-2.313616160746133</c:v>
              </c:pt>
              <c:pt idx="1">
                <c:v>-2.5757172835089825</c:v>
              </c:pt>
            </c:numLit>
          </c:xVal>
          <c:yVal>
            <c:numLit>
              <c:formatCode>General</c:formatCode>
              <c:ptCount val="2"/>
              <c:pt idx="0">
                <c:v>1.6845240437890034E-2</c:v>
              </c:pt>
              <c:pt idx="1">
                <c:v>1.6737282465345154E-2</c:v>
              </c:pt>
            </c:numLit>
          </c:yVal>
          <c:smooth val="0"/>
          <c:extLst>
            <c:ext xmlns:c16="http://schemas.microsoft.com/office/drawing/2014/chart" uri="{C3380CC4-5D6E-409C-BE32-E72D297353CC}">
              <c16:uniqueId val="{00000031-6B98-40F5-B9A6-793491A02185}"/>
            </c:ext>
          </c:extLst>
        </c:ser>
        <c:ser>
          <c:idx val="44"/>
          <c:order val="44"/>
          <c:spPr>
            <a:ln w="3175">
              <a:solidFill>
                <a:srgbClr val="000000"/>
              </a:solidFill>
              <a:prstDash val="solid"/>
            </a:ln>
          </c:spPr>
          <c:marker>
            <c:symbol val="none"/>
          </c:marker>
          <c:xVal>
            <c:numLit>
              <c:formatCode>General</c:formatCode>
              <c:ptCount val="2"/>
              <c:pt idx="0">
                <c:v>-2.216790773750446</c:v>
              </c:pt>
              <c:pt idx="1">
                <c:v>-2.4763434048290445</c:v>
              </c:pt>
            </c:numLit>
          </c:xVal>
          <c:yVal>
            <c:numLit>
              <c:formatCode>General</c:formatCode>
              <c:ptCount val="2"/>
              <c:pt idx="0">
                <c:v>1.6720233846569021E-2</c:v>
              </c:pt>
              <c:pt idx="1">
                <c:v>1.6608958306105915E-2</c:v>
              </c:pt>
            </c:numLit>
          </c:yVal>
          <c:smooth val="0"/>
          <c:extLst>
            <c:ext xmlns:c16="http://schemas.microsoft.com/office/drawing/2014/chart" uri="{C3380CC4-5D6E-409C-BE32-E72D297353CC}">
              <c16:uniqueId val="{00000032-6B98-40F5-B9A6-793491A02185}"/>
            </c:ext>
          </c:extLst>
        </c:ser>
        <c:ser>
          <c:idx val="45"/>
          <c:order val="45"/>
          <c:spPr>
            <a:ln w="3175">
              <a:solidFill>
                <a:srgbClr val="000000"/>
              </a:solidFill>
              <a:prstDash val="solid"/>
            </a:ln>
          </c:spPr>
          <c:marker>
            <c:symbol val="none"/>
          </c:marker>
          <c:xVal>
            <c:numLit>
              <c:formatCode>General</c:formatCode>
              <c:ptCount val="2"/>
              <c:pt idx="0">
                <c:v>-2.1148866461057976</c:v>
              </c:pt>
              <c:pt idx="1">
                <c:v>-2.3717560940296778</c:v>
              </c:pt>
            </c:numLit>
          </c:xVal>
          <c:yVal>
            <c:numLit>
              <c:formatCode>General</c:formatCode>
              <c:ptCount val="2"/>
              <c:pt idx="0">
                <c:v>1.6593837068668817E-2</c:v>
              </c:pt>
              <c:pt idx="1">
                <c:v>1.6479205804989291E-2</c:v>
              </c:pt>
            </c:numLit>
          </c:yVal>
          <c:smooth val="0"/>
          <c:extLst>
            <c:ext xmlns:c16="http://schemas.microsoft.com/office/drawing/2014/chart" uri="{C3380CC4-5D6E-409C-BE32-E72D297353CC}">
              <c16:uniqueId val="{00000033-6B98-40F5-B9A6-793491A02185}"/>
            </c:ext>
          </c:extLst>
        </c:ser>
        <c:ser>
          <c:idx val="46"/>
          <c:order val="46"/>
          <c:spPr>
            <a:ln w="3175">
              <a:solidFill>
                <a:srgbClr val="000000"/>
              </a:solidFill>
              <a:prstDash val="solid"/>
            </a:ln>
          </c:spPr>
          <c:marker>
            <c:symbol val="none"/>
          </c:marker>
          <c:xVal>
            <c:numLit>
              <c:formatCode>General</c:formatCode>
              <c:ptCount val="2"/>
              <c:pt idx="0">
                <c:v>-2.0077406848213544</c:v>
              </c:pt>
              <c:pt idx="1">
                <c:v>-2.2617878171027579</c:v>
              </c:pt>
            </c:numLit>
          </c:xVal>
          <c:yVal>
            <c:numLit>
              <c:formatCode>General</c:formatCode>
              <c:ptCount val="2"/>
              <c:pt idx="0">
                <c:v>1.6466167997462634E-2</c:v>
              </c:pt>
              <c:pt idx="1">
                <c:v>1.6348145906530984E-2</c:v>
              </c:pt>
            </c:numLit>
          </c:yVal>
          <c:smooth val="0"/>
          <c:extLst>
            <c:ext xmlns:c16="http://schemas.microsoft.com/office/drawing/2014/chart" uri="{C3380CC4-5D6E-409C-BE32-E72D297353CC}">
              <c16:uniqueId val="{00000034-6B98-40F5-B9A6-793491A02185}"/>
            </c:ext>
          </c:extLst>
        </c:ser>
        <c:ser>
          <c:idx val="47"/>
          <c:order val="47"/>
          <c:spPr>
            <a:ln w="3175">
              <a:solidFill>
                <a:srgbClr val="000000"/>
              </a:solidFill>
              <a:prstDash val="solid"/>
            </a:ln>
          </c:spPr>
          <c:marker>
            <c:symbol val="none"/>
          </c:marker>
          <c:xVal>
            <c:numLit>
              <c:formatCode>General</c:formatCode>
              <c:ptCount val="2"/>
              <c:pt idx="0">
                <c:v>-1.8951961980647147</c:v>
              </c:pt>
              <c:pt idx="1">
                <c:v>-2.3973910482134464</c:v>
              </c:pt>
            </c:numLit>
          </c:xVal>
          <c:yVal>
            <c:numLit>
              <c:formatCode>General</c:formatCode>
              <c:ptCount val="2"/>
              <c:pt idx="0">
                <c:v>1.6337357668468857E-2</c:v>
              </c:pt>
              <c:pt idx="1">
                <c:v>1.6094504538306124E-2</c:v>
              </c:pt>
            </c:numLit>
          </c:yVal>
          <c:smooth val="0"/>
          <c:extLst>
            <c:ext xmlns:c16="http://schemas.microsoft.com/office/drawing/2014/chart" uri="{C3380CC4-5D6E-409C-BE32-E72D297353CC}">
              <c16:uniqueId val="{00000035-6B98-40F5-B9A6-793491A02185}"/>
            </c:ext>
          </c:extLst>
        </c:ser>
        <c:ser>
          <c:idx val="48"/>
          <c:order val="48"/>
          <c:spPr>
            <a:ln w="3175">
              <a:solidFill>
                <a:srgbClr val="000000"/>
              </a:solidFill>
              <a:prstDash val="solid"/>
            </a:ln>
          </c:spPr>
          <c:marker>
            <c:symbol val="none"/>
          </c:marker>
          <c:xVal>
            <c:numLit>
              <c:formatCode>General</c:formatCode>
              <c:ptCount val="2"/>
              <c:pt idx="0">
                <c:v>-1.7771046267974688</c:v>
              </c:pt>
              <c:pt idx="1">
                <c:v>-2.0250727985773351</c:v>
              </c:pt>
            </c:numLit>
          </c:xVal>
          <c:yVal>
            <c:numLit>
              <c:formatCode>General</c:formatCode>
              <c:ptCount val="2"/>
              <c:pt idx="0">
                <c:v>1.6207550583249328E-2</c:v>
              </c:pt>
              <c:pt idx="1">
                <c:v>1.60826554977502E-2</c:v>
              </c:pt>
            </c:numLit>
          </c:yVal>
          <c:smooth val="0"/>
          <c:extLst>
            <c:ext xmlns:c16="http://schemas.microsoft.com/office/drawing/2014/chart" uri="{C3380CC4-5D6E-409C-BE32-E72D297353CC}">
              <c16:uniqueId val="{00000036-6B98-40F5-B9A6-793491A02185}"/>
            </c:ext>
          </c:extLst>
        </c:ser>
        <c:ser>
          <c:idx val="49"/>
          <c:order val="49"/>
          <c:spPr>
            <a:ln w="3175">
              <a:solidFill>
                <a:srgbClr val="000000"/>
              </a:solidFill>
              <a:prstDash val="solid"/>
            </a:ln>
          </c:spPr>
          <c:marker>
            <c:symbol val="none"/>
          </c:marker>
          <c:xVal>
            <c:numLit>
              <c:formatCode>General</c:formatCode>
              <c:ptCount val="2"/>
              <c:pt idx="0">
                <c:v>-1.6533273947279199</c:v>
              </c:pt>
              <c:pt idx="1">
                <c:v>-1.8980310127626514</c:v>
              </c:pt>
            </c:numLit>
          </c:xVal>
          <c:yVal>
            <c:numLit>
              <c:formatCode>General</c:formatCode>
              <c:ptCount val="2"/>
              <c:pt idx="0">
                <c:v>1.6076904919395639E-2</c:v>
              </c:pt>
              <c:pt idx="1">
                <c:v>1.5948535562537603E-2</c:v>
              </c:pt>
            </c:numLit>
          </c:yVal>
          <c:smooth val="0"/>
          <c:extLst>
            <c:ext xmlns:c16="http://schemas.microsoft.com/office/drawing/2014/chart" uri="{C3380CC4-5D6E-409C-BE32-E72D297353CC}">
              <c16:uniqueId val="{00000037-6B98-40F5-B9A6-793491A02185}"/>
            </c:ext>
          </c:extLst>
        </c:ser>
        <c:ser>
          <c:idx val="50"/>
          <c:order val="50"/>
          <c:spPr>
            <a:ln w="3175">
              <a:solidFill>
                <a:srgbClr val="000000"/>
              </a:solidFill>
              <a:prstDash val="solid"/>
            </a:ln>
          </c:spPr>
          <c:marker>
            <c:symbol val="none"/>
          </c:marker>
          <c:xVal>
            <c:numLit>
              <c:formatCode>General</c:formatCode>
              <c:ptCount val="2"/>
              <c:pt idx="0">
                <c:v>-1.5237378626491505</c:v>
              </c:pt>
              <c:pt idx="1">
                <c:v>-1.7650220780229187</c:v>
              </c:pt>
            </c:numLit>
          </c:xVal>
          <c:yVal>
            <c:numLit>
              <c:formatCode>General</c:formatCode>
              <c:ptCount val="2"/>
              <c:pt idx="0">
                <c:v>1.5945592607543146E-2</c:v>
              </c:pt>
              <c:pt idx="1">
                <c:v>1.5813729677496932E-2</c:v>
              </c:pt>
            </c:numLit>
          </c:yVal>
          <c:smooth val="0"/>
          <c:extLst>
            <c:ext xmlns:c16="http://schemas.microsoft.com/office/drawing/2014/chart" uri="{C3380CC4-5D6E-409C-BE32-E72D297353CC}">
              <c16:uniqueId val="{00000038-6B98-40F5-B9A6-793491A02185}"/>
            </c:ext>
          </c:extLst>
        </c:ser>
        <c:ser>
          <c:idx val="51"/>
          <c:order val="51"/>
          <c:spPr>
            <a:ln w="3175">
              <a:solidFill>
                <a:srgbClr val="000000"/>
              </a:solidFill>
              <a:prstDash val="solid"/>
            </a:ln>
          </c:spPr>
          <c:marker>
            <c:symbol val="none"/>
          </c:marker>
          <c:xVal>
            <c:numLit>
              <c:formatCode>General</c:formatCode>
              <c:ptCount val="2"/>
              <c:pt idx="0">
                <c:v>-1.388223368555124</c:v>
              </c:pt>
              <c:pt idx="1">
                <c:v>-1.6259301677145295</c:v>
              </c:pt>
            </c:numLit>
          </c:xVal>
          <c:yVal>
            <c:numLit>
              <c:formatCode>General</c:formatCode>
              <c:ptCount val="2"/>
              <c:pt idx="0">
                <c:v>1.5813799256283002E-2</c:v>
              </c:pt>
              <c:pt idx="1">
                <c:v>1.5678428325744984E-2</c:v>
              </c:pt>
            </c:numLit>
          </c:yVal>
          <c:smooth val="0"/>
          <c:extLst>
            <c:ext xmlns:c16="http://schemas.microsoft.com/office/drawing/2014/chart" uri="{C3380CC4-5D6E-409C-BE32-E72D297353CC}">
              <c16:uniqueId val="{00000039-6B98-40F5-B9A6-793491A02185}"/>
            </c:ext>
          </c:extLst>
        </c:ser>
        <c:ser>
          <c:idx val="52"/>
          <c:order val="52"/>
          <c:spPr>
            <a:ln w="3175">
              <a:solidFill>
                <a:srgbClr val="000000"/>
              </a:solidFill>
              <a:prstDash val="solid"/>
            </a:ln>
          </c:spPr>
          <c:marker>
            <c:symbol val="none"/>
          </c:marker>
          <c:xVal>
            <c:numLit>
              <c:formatCode>General</c:formatCode>
              <c:ptCount val="2"/>
              <c:pt idx="0">
                <c:v>-1.2466873299709398</c:v>
              </c:pt>
              <c:pt idx="1">
                <c:v>-1.7146635892116067</c:v>
              </c:pt>
            </c:numLit>
          </c:xVal>
          <c:yVal>
            <c:numLit>
              <c:formatCode>General</c:formatCode>
              <c:ptCount val="2"/>
              <c:pt idx="0">
                <c:v>1.5681723906468353E-2</c:v>
              </c:pt>
              <c:pt idx="1">
                <c:v>1.540398349013896E-2</c:v>
              </c:pt>
            </c:numLit>
          </c:yVal>
          <c:smooth val="0"/>
          <c:extLst>
            <c:ext xmlns:c16="http://schemas.microsoft.com/office/drawing/2014/chart" uri="{C3380CC4-5D6E-409C-BE32-E72D297353CC}">
              <c16:uniqueId val="{0000003A-6B98-40F5-B9A6-793491A02185}"/>
            </c:ext>
          </c:extLst>
        </c:ser>
        <c:ser>
          <c:idx val="53"/>
          <c:order val="53"/>
          <c:spPr>
            <a:ln w="3175">
              <a:solidFill>
                <a:srgbClr val="000000"/>
              </a:solidFill>
              <a:prstDash val="solid"/>
            </a:ln>
          </c:spPr>
          <c:marker>
            <c:symbol val="none"/>
          </c:marker>
          <c:dLbls>
            <c:dLbl>
              <c:idx val="0"/>
              <c:tx>
                <c:rich>
                  <a:bodyPr rot="-23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0.40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6B98-40F5-B9A6-793491A0218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-2.3076574148248494</c:v>
              </c:pt>
            </c:numLit>
          </c:xVal>
          <c:yVal>
            <c:numLit>
              <c:formatCode>General</c:formatCode>
              <c:ptCount val="1"/>
              <c:pt idx="0">
                <c:v>1.5052384582440575E-2</c:v>
              </c:pt>
            </c:numLit>
          </c:yVal>
          <c:smooth val="0"/>
          <c:extLst>
            <c:ext xmlns:c16="http://schemas.microsoft.com/office/drawing/2014/chart" uri="{C3380CC4-5D6E-409C-BE32-E72D297353CC}">
              <c16:uniqueId val="{0000003C-6B98-40F5-B9A6-793491A02185}"/>
            </c:ext>
          </c:extLst>
        </c:ser>
        <c:ser>
          <c:idx val="54"/>
          <c:order val="54"/>
          <c:spPr>
            <a:ln w="3175">
              <a:solidFill>
                <a:srgbClr val="000000"/>
              </a:solidFill>
              <a:prstDash val="solid"/>
            </a:ln>
          </c:spPr>
          <c:marker>
            <c:symbol val="none"/>
          </c:marker>
          <c:xVal>
            <c:numLit>
              <c:formatCode>General</c:formatCode>
              <c:ptCount val="2"/>
              <c:pt idx="0">
                <c:v>-1.0990513798353114</c:v>
              </c:pt>
              <c:pt idx="1">
                <c:v>-1.3291187844030128</c:v>
              </c:pt>
            </c:numLit>
          </c:xVal>
          <c:yVal>
            <c:numLit>
              <c:formatCode>General</c:formatCode>
              <c:ptCount val="2"/>
              <c:pt idx="0">
                <c:v>1.5549578597725369E-2</c:v>
              </c:pt>
              <c:pt idx="1">
                <c:v>1.5407169702183561E-2</c:v>
              </c:pt>
            </c:numLit>
          </c:yVal>
          <c:smooth val="0"/>
          <c:extLst>
            <c:ext xmlns:c16="http://schemas.microsoft.com/office/drawing/2014/chart" uri="{C3380CC4-5D6E-409C-BE32-E72D297353CC}">
              <c16:uniqueId val="{0000003D-6B98-40F5-B9A6-793491A02185}"/>
            </c:ext>
          </c:extLst>
        </c:ser>
        <c:ser>
          <c:idx val="55"/>
          <c:order val="55"/>
          <c:spPr>
            <a:ln w="3175">
              <a:solidFill>
                <a:srgbClr val="000000"/>
              </a:solidFill>
              <a:prstDash val="solid"/>
            </a:ln>
          </c:spPr>
          <c:marker>
            <c:symbol val="none"/>
          </c:marker>
          <c:xVal>
            <c:numLit>
              <c:formatCode>General</c:formatCode>
              <c:ptCount val="2"/>
              <c:pt idx="0">
                <c:v>-0.94525750221214544</c:v>
              </c:pt>
              <c:pt idx="1">
                <c:v>-1.171258910076004</c:v>
              </c:pt>
            </c:numLit>
          </c:xVal>
          <c:yVal>
            <c:numLit>
              <c:formatCode>General</c:formatCode>
              <c:ptCount val="2"/>
              <c:pt idx="0">
                <c:v>1.5417587732063727E-2</c:v>
              </c:pt>
              <c:pt idx="1">
                <c:v>1.5271660405463735E-2</c:v>
              </c:pt>
            </c:numLit>
          </c:yVal>
          <c:smooth val="0"/>
          <c:extLst>
            <c:ext xmlns:c16="http://schemas.microsoft.com/office/drawing/2014/chart" uri="{C3380CC4-5D6E-409C-BE32-E72D297353CC}">
              <c16:uniqueId val="{0000003E-6B98-40F5-B9A6-793491A02185}"/>
            </c:ext>
          </c:extLst>
        </c:ser>
        <c:ser>
          <c:idx val="56"/>
          <c:order val="56"/>
          <c:spPr>
            <a:ln w="3175">
              <a:solidFill>
                <a:srgbClr val="000000"/>
              </a:solidFill>
              <a:prstDash val="solid"/>
            </a:ln>
          </c:spPr>
          <c:marker>
            <c:symbol val="none"/>
          </c:marker>
          <c:xVal>
            <c:numLit>
              <c:formatCode>General</c:formatCode>
              <c:ptCount val="2"/>
              <c:pt idx="0">
                <c:v>-0.78527012929796181</c:v>
              </c:pt>
              <c:pt idx="1">
                <c:v>-1.0070396059342881</c:v>
              </c:pt>
            </c:numLit>
          </c:xVal>
          <c:yVal>
            <c:numLit>
              <c:formatCode>General</c:formatCode>
              <c:ptCount val="2"/>
              <c:pt idx="0">
                <c:v>1.5285987222392702E-2</c:v>
              </c:pt>
              <c:pt idx="1">
                <c:v>1.5136550067768871E-2</c:v>
              </c:pt>
            </c:numLit>
          </c:yVal>
          <c:smooth val="0"/>
          <c:extLst>
            <c:ext xmlns:c16="http://schemas.microsoft.com/office/drawing/2014/chart" uri="{C3380CC4-5D6E-409C-BE32-E72D297353CC}">
              <c16:uniqueId val="{0000003F-6B98-40F5-B9A6-793491A02185}"/>
            </c:ext>
          </c:extLst>
        </c:ser>
        <c:ser>
          <c:idx val="57"/>
          <c:order val="57"/>
          <c:spPr>
            <a:ln w="3175">
              <a:solidFill>
                <a:srgbClr val="000000"/>
              </a:solidFill>
              <a:prstDash val="solid"/>
            </a:ln>
          </c:spPr>
          <c:marker>
            <c:symbol val="none"/>
          </c:marker>
          <c:xVal>
            <c:numLit>
              <c:formatCode>General</c:formatCode>
              <c:ptCount val="2"/>
              <c:pt idx="0">
                <c:v>-0.61907815687851919</c:v>
              </c:pt>
              <c:pt idx="1">
                <c:v>-0.83644925897128908</c:v>
              </c:pt>
            </c:numLit>
          </c:xVal>
          <c:yVal>
            <c:numLit>
              <c:formatCode>General</c:formatCode>
              <c:ptCount val="2"/>
              <c:pt idx="0">
                <c:v>1.5155023417515526E-2</c:v>
              </c:pt>
              <c:pt idx="1">
                <c:v>1.5002091586488069E-2</c:v>
              </c:pt>
            </c:numLit>
          </c:yVal>
          <c:smooth val="0"/>
          <c:extLst>
            <c:ext xmlns:c16="http://schemas.microsoft.com/office/drawing/2014/chart" uri="{C3380CC4-5D6E-409C-BE32-E72D297353CC}">
              <c16:uniqueId val="{00000040-6B98-40F5-B9A6-793491A02185}"/>
            </c:ext>
          </c:extLst>
        </c:ser>
        <c:ser>
          <c:idx val="58"/>
          <c:order val="58"/>
          <c:spPr>
            <a:ln w="3175">
              <a:solidFill>
                <a:srgbClr val="000000"/>
              </a:solidFill>
              <a:prstDash val="solid"/>
            </a:ln>
          </c:spPr>
          <c:marker>
            <c:symbol val="none"/>
          </c:marker>
          <c:xVal>
            <c:numLit>
              <c:formatCode>General</c:formatCode>
              <c:ptCount val="2"/>
              <c:pt idx="0">
                <c:v>-0.44669683184065456</c:v>
              </c:pt>
              <c:pt idx="1">
                <c:v>-0.87235472792758506</c:v>
              </c:pt>
            </c:numLit>
          </c:xVal>
          <c:yVal>
            <c:numLit>
              <c:formatCode>General</c:formatCode>
              <c:ptCount val="2"/>
              <c:pt idx="0">
                <c:v>1.5024951799785189E-2</c:v>
              </c:pt>
              <c:pt idx="1">
                <c:v>1.4712176032084051E-2</c:v>
              </c:pt>
            </c:numLit>
          </c:yVal>
          <c:smooth val="0"/>
          <c:extLst>
            <c:ext xmlns:c16="http://schemas.microsoft.com/office/drawing/2014/chart" uri="{C3380CC4-5D6E-409C-BE32-E72D297353CC}">
              <c16:uniqueId val="{00000041-6B98-40F5-B9A6-793491A02185}"/>
            </c:ext>
          </c:extLst>
        </c:ser>
        <c:ser>
          <c:idx val="59"/>
          <c:order val="59"/>
          <c:spPr>
            <a:ln w="3175">
              <a:solidFill>
                <a:srgbClr val="000000"/>
              </a:solidFill>
              <a:prstDash val="solid"/>
            </a:ln>
          </c:spPr>
          <c:marker>
            <c:symbol val="none"/>
          </c:marker>
          <c:xVal>
            <c:numLit>
              <c:formatCode>General</c:formatCode>
              <c:ptCount val="2"/>
              <c:pt idx="0">
                <c:v>-0.26816946284299165</c:v>
              </c:pt>
              <c:pt idx="1">
                <c:v>-0.47624598722283679</c:v>
              </c:pt>
            </c:numLit>
          </c:xVal>
          <c:yVal>
            <c:numLit>
              <c:formatCode>General</c:formatCode>
              <c:ptCount val="2"/>
              <c:pt idx="0">
                <c:v>1.4896035457000568E-2</c:v>
              </c:pt>
              <c:pt idx="1">
                <c:v>1.4736187176696662E-2</c:v>
              </c:pt>
            </c:numLit>
          </c:yVal>
          <c:smooth val="0"/>
          <c:extLst>
            <c:ext xmlns:c16="http://schemas.microsoft.com/office/drawing/2014/chart" uri="{C3380CC4-5D6E-409C-BE32-E72D297353CC}">
              <c16:uniqueId val="{00000042-6B98-40F5-B9A6-793491A02185}"/>
            </c:ext>
          </c:extLst>
        </c:ser>
        <c:ser>
          <c:idx val="60"/>
          <c:order val="60"/>
          <c:spPr>
            <a:ln w="3175">
              <a:solidFill>
                <a:srgbClr val="000000"/>
              </a:solidFill>
              <a:prstDash val="solid"/>
            </a:ln>
          </c:spPr>
          <c:marker>
            <c:symbol val="none"/>
          </c:marker>
          <c:xVal>
            <c:numLit>
              <c:formatCode>General</c:formatCode>
              <c:ptCount val="2"/>
              <c:pt idx="0">
                <c:v>-8.3568904066706209E-2</c:v>
              </c:pt>
              <c:pt idx="1">
                <c:v>-0.28675188305885801</c:v>
              </c:pt>
            </c:numLit>
          </c:xVal>
          <c:yVal>
            <c:numLit>
              <c:formatCode>General</c:formatCode>
              <c:ptCount val="2"/>
              <c:pt idx="0">
                <c:v>1.4768543336192361E-2</c:v>
              </c:pt>
              <c:pt idx="1">
                <c:v>1.4605287509683575E-2</c:v>
              </c:pt>
            </c:numLit>
          </c:yVal>
          <c:smooth val="0"/>
          <c:extLst>
            <c:ext xmlns:c16="http://schemas.microsoft.com/office/drawing/2014/chart" uri="{C3380CC4-5D6E-409C-BE32-E72D297353CC}">
              <c16:uniqueId val="{00000043-6B98-40F5-B9A6-793491A02185}"/>
            </c:ext>
          </c:extLst>
        </c:ser>
        <c:ser>
          <c:idx val="61"/>
          <c:order val="61"/>
          <c:spPr>
            <a:ln w="3175">
              <a:solidFill>
                <a:srgbClr val="000000"/>
              </a:solidFill>
              <a:prstDash val="solid"/>
            </a:ln>
          </c:spPr>
          <c:marker>
            <c:symbol val="none"/>
          </c:marker>
          <c:xVal>
            <c:numLit>
              <c:formatCode>General</c:formatCode>
              <c:ptCount val="2"/>
              <c:pt idx="0">
                <c:v>0.10700123764518008</c:v>
              </c:pt>
              <c:pt idx="1">
                <c:v>-9.1127145974432305E-2</c:v>
              </c:pt>
            </c:numLit>
          </c:xVal>
          <c:yVal>
            <c:numLit>
              <c:formatCode>General</c:formatCode>
              <c:ptCount val="2"/>
              <c:pt idx="0">
                <c:v>1.4642748293527812E-2</c:v>
              </c:pt>
              <c:pt idx="1">
                <c:v>1.4476128428781763E-2</c:v>
              </c:pt>
            </c:numLit>
          </c:yVal>
          <c:smooth val="0"/>
          <c:extLst>
            <c:ext xmlns:c16="http://schemas.microsoft.com/office/drawing/2014/chart" uri="{C3380CC4-5D6E-409C-BE32-E72D297353CC}">
              <c16:uniqueId val="{00000044-6B98-40F5-B9A6-793491A02185}"/>
            </c:ext>
          </c:extLst>
        </c:ser>
        <c:ser>
          <c:idx val="62"/>
          <c:order val="62"/>
          <c:spPr>
            <a:ln w="3175">
              <a:solidFill>
                <a:srgbClr val="000000"/>
              </a:solidFill>
              <a:prstDash val="solid"/>
            </a:ln>
          </c:spPr>
          <c:marker>
            <c:symbol val="none"/>
          </c:marker>
          <c:xVal>
            <c:numLit>
              <c:formatCode>General</c:formatCode>
              <c:ptCount val="2"/>
              <c:pt idx="0">
                <c:v>0.30340571978893238</c:v>
              </c:pt>
              <c:pt idx="1">
                <c:v>0.11048958435157942</c:v>
              </c:pt>
            </c:numLit>
          </c:xVal>
          <c:yVal>
            <c:numLit>
              <c:formatCode>General</c:formatCode>
              <c:ptCount val="2"/>
              <c:pt idx="0">
                <c:v>1.4518924961431453E-2</c:v>
              </c:pt>
              <c:pt idx="1">
                <c:v>1.4348991954383022E-2</c:v>
              </c:pt>
            </c:numLit>
          </c:yVal>
          <c:smooth val="0"/>
          <c:extLst>
            <c:ext xmlns:c16="http://schemas.microsoft.com/office/drawing/2014/chart" uri="{C3380CC4-5D6E-409C-BE32-E72D297353CC}">
              <c16:uniqueId val="{00000045-6B98-40F5-B9A6-793491A02185}"/>
            </c:ext>
          </c:extLst>
        </c:ser>
        <c:ser>
          <c:idx val="63"/>
          <c:order val="63"/>
          <c:spPr>
            <a:ln w="3175">
              <a:solidFill>
                <a:srgbClr val="000000"/>
              </a:solidFill>
              <a:prstDash val="solid"/>
            </a:ln>
          </c:spPr>
          <c:marker>
            <c:symbol val="none"/>
          </c:marker>
          <c:xVal>
            <c:numLit>
              <c:formatCode>General</c:formatCode>
              <c:ptCount val="2"/>
              <c:pt idx="0">
                <c:v>0.5054771487943629</c:v>
              </c:pt>
              <c:pt idx="1">
                <c:v>0.13032764032617034</c:v>
              </c:pt>
            </c:numLit>
          </c:xVal>
          <c:yVal>
            <c:numLit>
              <c:formatCode>General</c:formatCode>
              <c:ptCount val="2"/>
              <c:pt idx="0">
                <c:v>1.439734746090714E-2</c:v>
              </c:pt>
              <c:pt idx="1">
                <c:v>1.4051000367389811E-2</c:v>
              </c:pt>
            </c:numLit>
          </c:yVal>
          <c:smooth val="0"/>
          <c:extLst>
            <c:ext xmlns:c16="http://schemas.microsoft.com/office/drawing/2014/chart" uri="{C3380CC4-5D6E-409C-BE32-E72D297353CC}">
              <c16:uniqueId val="{00000046-6B98-40F5-B9A6-793491A02185}"/>
            </c:ext>
          </c:extLst>
        </c:ser>
        <c:ser>
          <c:idx val="64"/>
          <c:order val="64"/>
          <c:spPr>
            <a:ln w="3175">
              <a:solidFill>
                <a:srgbClr val="000000"/>
              </a:solidFill>
              <a:prstDash val="solid"/>
            </a:ln>
          </c:spPr>
          <c:marker>
            <c:symbol val="none"/>
          </c:marker>
          <c:dLbls>
            <c:dLbl>
              <c:idx val="0"/>
              <c:tx>
                <c:rich>
                  <a:bodyPr rot="-31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0.30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7-6B98-40F5-B9A6-793491A0218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-0.34514016993581637</c:v>
              </c:pt>
            </c:numLit>
          </c:xVal>
          <c:yVal>
            <c:numLit>
              <c:formatCode>General</c:formatCode>
              <c:ptCount val="1"/>
              <c:pt idx="0">
                <c:v>1.3612458427713661E-2</c:v>
              </c:pt>
            </c:numLit>
          </c:yVal>
          <c:smooth val="0"/>
          <c:extLst>
            <c:ext xmlns:c16="http://schemas.microsoft.com/office/drawing/2014/chart" uri="{C3380CC4-5D6E-409C-BE32-E72D297353CC}">
              <c16:uniqueId val="{00000048-6B98-40F5-B9A6-793491A02185}"/>
            </c:ext>
          </c:extLst>
        </c:ser>
        <c:ser>
          <c:idx val="65"/>
          <c:order val="65"/>
          <c:spPr>
            <a:ln w="3175">
              <a:solidFill>
                <a:srgbClr val="000000"/>
              </a:solidFill>
              <a:prstDash val="solid"/>
            </a:ln>
          </c:spPr>
          <c:marker>
            <c:symbol val="none"/>
          </c:marker>
          <c:xVal>
            <c:numLit>
              <c:formatCode>General</c:formatCode>
              <c:ptCount val="56"/>
              <c:pt idx="0">
                <c:v>-3.758</c:v>
              </c:pt>
              <c:pt idx="1">
                <c:v>-3.7573164307647193</c:v>
              </c:pt>
              <c:pt idx="2">
                <c:v>-3.7551514284703731</c:v>
              </c:pt>
              <c:pt idx="3">
                <c:v>-3.7513184851597101</c:v>
              </c:pt>
              <c:pt idx="4">
                <c:v>-3.7456091126033786</c:v>
              </c:pt>
              <c:pt idx="5">
                <c:v>-3.7377902586290985</c:v>
              </c:pt>
              <c:pt idx="6">
                <c:v>-3.7276014439375182</c:v>
              </c:pt>
              <c:pt idx="7">
                <c:v>-3.7147516008544463</c:v>
              </c:pt>
              <c:pt idx="8">
                <c:v>-3.6989155989247418</c:v>
              </c:pt>
              <c:pt idx="9">
                <c:v>-3.6797304479524238</c:v>
              </c:pt>
              <c:pt idx="10">
                <c:v>-3.6567911778075404</c:v>
              </c:pt>
              <c:pt idx="11">
                <c:v>-3.6296464070240311</c:v>
              </c:pt>
              <c:pt idx="12">
                <c:v>-3.5977936301001021</c:v>
              </c:pt>
              <c:pt idx="13">
                <c:v>-3.5606742779232401</c:v>
              </c:pt>
              <c:pt idx="14">
                <c:v>-3.517668638557927</c:v>
              </c:pt>
              <c:pt idx="15">
                <c:v>-3.4680907686435161</c:v>
              </c:pt>
              <c:pt idx="16">
                <c:v>-3.4406035633560976</c:v>
              </c:pt>
              <c:pt idx="17">
                <c:v>-3.4111835808515791</c:v>
              </c:pt>
              <c:pt idx="18">
                <c:v>-3.3797243325935047</c:v>
              </c:pt>
              <c:pt idx="19">
                <c:v>-3.3461143621710736</c:v>
              </c:pt>
              <c:pt idx="20">
                <c:v>-3.3102371536754234</c:v>
              </c:pt>
              <c:pt idx="21">
                <c:v>-3.2719710627580656</c:v>
              </c:pt>
              <c:pt idx="22">
                <c:v>-3.2311892749519693</c:v>
              </c:pt>
              <c:pt idx="23">
                <c:v>-3.1877597963437578</c:v>
              </c:pt>
              <c:pt idx="24">
                <c:v>-3.1415454822086812</c:v>
              </c:pt>
              <c:pt idx="25">
                <c:v>-3.0924041097491268</c:v>
              </c:pt>
              <c:pt idx="26">
                <c:v>-3.0401885016002286</c:v>
              </c:pt>
              <c:pt idx="27">
                <c:v>-2.9847467072668263</c:v>
              </c:pt>
              <c:pt idx="28">
                <c:v>-2.9259222501155961</c:v>
              </c:pt>
              <c:pt idx="29">
                <c:v>-2.8635544479409476</c:v>
              </c:pt>
              <c:pt idx="30">
                <c:v>-2.7974788154258228</c:v>
              </c:pt>
              <c:pt idx="31">
                <c:v>-2.7275275569962796</c:v>
              </c:pt>
              <c:pt idx="32">
                <c:v>-2.6535301585852245</c:v>
              </c:pt>
              <c:pt idx="33">
                <c:v>-2.575314086634803</c:v>
              </c:pt>
              <c:pt idx="34">
                <c:v>-2.4927056022343019</c:v>
              </c:pt>
              <c:pt idx="35">
                <c:v>-2.4055306975638757</c:v>
              </c:pt>
              <c:pt idx="36">
                <c:v>-2.313616160746133</c:v>
              </c:pt>
              <c:pt idx="37">
                <c:v>-2.216790773750446</c:v>
              </c:pt>
              <c:pt idx="38">
                <c:v>-2.1148866461057976</c:v>
              </c:pt>
              <c:pt idx="39">
                <c:v>-2.0077406848213544</c:v>
              </c:pt>
              <c:pt idx="40">
                <c:v>-1.8951961980647147</c:v>
              </c:pt>
              <c:pt idx="41">
                <c:v>-1.7771046267974688</c:v>
              </c:pt>
              <c:pt idx="42">
                <c:v>-1.6533273947279199</c:v>
              </c:pt>
              <c:pt idx="43">
                <c:v>-1.5237378626491505</c:v>
              </c:pt>
              <c:pt idx="44">
                <c:v>-1.388223368555124</c:v>
              </c:pt>
              <c:pt idx="45">
                <c:v>-1.2466873299709398</c:v>
              </c:pt>
              <c:pt idx="46">
                <c:v>-1.0990513798353114</c:v>
              </c:pt>
              <c:pt idx="47">
                <c:v>-0.94525750221214544</c:v>
              </c:pt>
              <c:pt idx="48">
                <c:v>-0.78527012929796181</c:v>
              </c:pt>
              <c:pt idx="49">
                <c:v>-0.61907815687851919</c:v>
              </c:pt>
              <c:pt idx="50">
                <c:v>-0.44669683184065456</c:v>
              </c:pt>
              <c:pt idx="51">
                <c:v>-0.26816946284299165</c:v>
              </c:pt>
              <c:pt idx="52">
                <c:v>-8.3568904066706209E-2</c:v>
              </c:pt>
              <c:pt idx="53">
                <c:v>0.10700123764518008</c:v>
              </c:pt>
              <c:pt idx="54">
                <c:v>0.30340571978893238</c:v>
              </c:pt>
              <c:pt idx="55">
                <c:v>0.5054771487943629</c:v>
              </c:pt>
            </c:numLit>
          </c:xVal>
          <c:yVal>
            <c:numLit>
              <c:formatCode>General</c:formatCode>
              <c:ptCount val="56"/>
              <c:pt idx="0">
                <c:v>2.0930000000000001E-2</c:v>
              </c:pt>
              <c:pt idx="1">
                <c:v>2.0838150344721491E-2</c:v>
              </c:pt>
              <c:pt idx="2">
                <c:v>2.0742509615122581E-2</c:v>
              </c:pt>
              <c:pt idx="3">
                <c:v>2.0642878308754005E-2</c:v>
              </c:pt>
              <c:pt idx="4">
                <c:v>2.0539046809061261E-2</c:v>
              </c:pt>
              <c:pt idx="5">
                <c:v>2.0430795350641542E-2</c:v>
              </c:pt>
              <c:pt idx="6">
                <c:v>2.0317894135552732E-2</c:v>
              </c:pt>
              <c:pt idx="7">
                <c:v>2.0200103644625281E-2</c:v>
              </c:pt>
              <c:pt idx="8">
                <c:v>2.0077175197246788E-2</c:v>
              </c:pt>
              <c:pt idx="9">
                <c:v>1.9948851824198272E-2</c:v>
              </c:pt>
              <c:pt idx="10">
                <c:v>1.9814869530917118E-2</c:v>
              </c:pt>
              <c:pt idx="11">
                <c:v>1.9674959043059544E-2</c:v>
              </c:pt>
              <c:pt idx="12">
                <c:v>1.9528848142313003E-2</c:v>
              </c:pt>
              <c:pt idx="13">
                <c:v>1.9376264717732728E-2</c:v>
              </c:pt>
              <c:pt idx="14">
                <c:v>1.921694067579767E-2</c:v>
              </c:pt>
              <c:pt idx="15">
                <c:v>1.905061686979987E-2</c:v>
              </c:pt>
              <c:pt idx="16">
                <c:v>1.8964752998040003E-2</c:v>
              </c:pt>
              <c:pt idx="17">
                <c:v>1.8877049224379265E-2</c:v>
              </c:pt>
              <c:pt idx="18">
                <c:v>1.8787478625185268E-2</c:v>
              </c:pt>
              <c:pt idx="19">
                <c:v>1.8696016241449256E-2</c:v>
              </c:pt>
              <c:pt idx="20">
                <c:v>1.8602639402078635E-2</c:v>
              </c:pt>
              <c:pt idx="21">
                <c:v>1.85073280758347E-2</c:v>
              </c:pt>
              <c:pt idx="22">
                <c:v>1.8410065253019303E-2</c:v>
              </c:pt>
              <c:pt idx="23">
                <c:v>1.8310837357796605E-2</c:v>
              </c:pt>
              <c:pt idx="24">
                <c:v>1.820963469175254E-2</c:v>
              </c:pt>
              <c:pt idx="25">
                <c:v>1.8106451908935582E-2</c:v>
              </c:pt>
              <c:pt idx="26">
                <c:v>1.8001288522178398E-2</c:v>
              </c:pt>
              <c:pt idx="27">
                <c:v>1.7894149439960622E-2</c:v>
              </c:pt>
              <c:pt idx="28">
                <c:v>1.7785045532430037E-2</c:v>
              </c:pt>
              <c:pt idx="29">
                <c:v>1.7673994224443108E-2</c:v>
              </c:pt>
              <c:pt idx="30">
                <c:v>1.7561020112610893E-2</c:v>
              </c:pt>
              <c:pt idx="31">
                <c:v>1.7446155602337338E-2</c:v>
              </c:pt>
              <c:pt idx="32">
                <c:v>1.7329441559713527E-2</c:v>
              </c:pt>
              <c:pt idx="33">
                <c:v>1.7210927971887027E-2</c:v>
              </c:pt>
              <c:pt idx="34">
                <c:v>1.7090674608169102E-2</c:v>
              </c:pt>
              <c:pt idx="35">
                <c:v>1.6968751672690126E-2</c:v>
              </c:pt>
              <c:pt idx="36">
                <c:v>1.6845240437890034E-2</c:v>
              </c:pt>
              <c:pt idx="37">
                <c:v>1.6720233846569021E-2</c:v>
              </c:pt>
              <c:pt idx="38">
                <c:v>1.6593837068668817E-2</c:v>
              </c:pt>
              <c:pt idx="39">
                <c:v>1.6466167997462634E-2</c:v>
              </c:pt>
              <c:pt idx="40">
                <c:v>1.6337357668468857E-2</c:v>
              </c:pt>
              <c:pt idx="41">
                <c:v>1.6207550583249328E-2</c:v>
              </c:pt>
              <c:pt idx="42">
                <c:v>1.6076904919395639E-2</c:v>
              </c:pt>
              <c:pt idx="43">
                <c:v>1.5945592607543146E-2</c:v>
              </c:pt>
              <c:pt idx="44">
                <c:v>1.5813799256283002E-2</c:v>
              </c:pt>
              <c:pt idx="45">
                <c:v>1.5681723906468353E-2</c:v>
              </c:pt>
              <c:pt idx="46">
                <c:v>1.5549578597725369E-2</c:v>
              </c:pt>
              <c:pt idx="47">
                <c:v>1.5417587732063727E-2</c:v>
              </c:pt>
              <c:pt idx="48">
                <c:v>1.5285987222392702E-2</c:v>
              </c:pt>
              <c:pt idx="49">
                <c:v>1.5155023417515526E-2</c:v>
              </c:pt>
              <c:pt idx="50">
                <c:v>1.5024951799785189E-2</c:v>
              </c:pt>
              <c:pt idx="51">
                <c:v>1.4896035457000568E-2</c:v>
              </c:pt>
              <c:pt idx="52">
                <c:v>1.4768543336192361E-2</c:v>
              </c:pt>
              <c:pt idx="53">
                <c:v>1.4642748293527812E-2</c:v>
              </c:pt>
              <c:pt idx="54">
                <c:v>1.4518924961431453E-2</c:v>
              </c:pt>
              <c:pt idx="55">
                <c:v>1.439734746090714E-2</c:v>
              </c:pt>
            </c:numLit>
          </c:yVal>
          <c:smooth val="1"/>
          <c:extLst>
            <c:ext xmlns:c16="http://schemas.microsoft.com/office/drawing/2014/chart" uri="{C3380CC4-5D6E-409C-BE32-E72D297353CC}">
              <c16:uniqueId val="{00000049-6B98-40F5-B9A6-793491A02185}"/>
            </c:ext>
          </c:extLst>
        </c:ser>
        <c:ser>
          <c:idx val="66"/>
          <c:order val="66"/>
          <c:spPr>
            <a:ln w="3175">
              <a:solidFill>
                <a:srgbClr val="000000"/>
              </a:solidFill>
              <a:prstDash val="solid"/>
            </a:ln>
          </c:spPr>
          <c:marker>
            <c:symbol val="none"/>
          </c:marker>
          <c:xVal>
            <c:numLit>
              <c:formatCode>General</c:formatCode>
              <c:ptCount val="2"/>
              <c:pt idx="0">
                <c:v>-6.4780000000000006</c:v>
              </c:pt>
              <c:pt idx="1">
                <c:v>-5.878000000000001</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4A-6B98-40F5-B9A6-793491A02185}"/>
            </c:ext>
          </c:extLst>
        </c:ser>
        <c:ser>
          <c:idx val="67"/>
          <c:order val="67"/>
          <c:spPr>
            <a:ln w="3175">
              <a:solidFill>
                <a:srgbClr val="000000"/>
              </a:solidFill>
              <a:prstDash val="solid"/>
            </a:ln>
          </c:spPr>
          <c:marker>
            <c:symbol val="none"/>
          </c:marker>
          <c:xVal>
            <c:numLit>
              <c:formatCode>General</c:formatCode>
              <c:ptCount val="2"/>
              <c:pt idx="0">
                <c:v>-6.4771548667567451</c:v>
              </c:pt>
              <c:pt idx="1">
                <c:v>-6.1771726249136609</c:v>
              </c:pt>
            </c:numLit>
          </c:xVal>
          <c:yVal>
            <c:numLit>
              <c:formatCode>General</c:formatCode>
              <c:ptCount val="2"/>
              <c:pt idx="0">
                <c:v>2.0816221982499338E-2</c:v>
              </c:pt>
              <c:pt idx="1">
                <c:v>2.0818636402393346E-2</c:v>
              </c:pt>
            </c:numLit>
          </c:yVal>
          <c:smooth val="0"/>
          <c:extLst>
            <c:ext xmlns:c16="http://schemas.microsoft.com/office/drawing/2014/chart" uri="{C3380CC4-5D6E-409C-BE32-E72D297353CC}">
              <c16:uniqueId val="{0000004B-6B98-40F5-B9A6-793491A02185}"/>
            </c:ext>
          </c:extLst>
        </c:ser>
        <c:ser>
          <c:idx val="68"/>
          <c:order val="68"/>
          <c:spPr>
            <a:ln w="3175">
              <a:solidFill>
                <a:srgbClr val="000000"/>
              </a:solidFill>
              <a:prstDash val="solid"/>
            </a:ln>
          </c:spPr>
          <c:marker>
            <c:symbol val="none"/>
          </c:marker>
          <c:xVal>
            <c:numLit>
              <c:formatCode>General</c:formatCode>
              <c:ptCount val="2"/>
              <c:pt idx="0">
                <c:v>-6.4744781546020507</c:v>
              </c:pt>
              <c:pt idx="1">
                <c:v>-6.1745521569433741</c:v>
              </c:pt>
            </c:numLit>
          </c:xVal>
          <c:yVal>
            <c:numLit>
              <c:formatCode>General</c:formatCode>
              <c:ptCount val="2"/>
              <c:pt idx="0">
                <c:v>2.0697747630638599E-2</c:v>
              </c:pt>
              <c:pt idx="1">
                <c:v>2.0702676147209751E-2</c:v>
              </c:pt>
            </c:numLit>
          </c:yVal>
          <c:smooth val="0"/>
          <c:extLst>
            <c:ext xmlns:c16="http://schemas.microsoft.com/office/drawing/2014/chart" uri="{C3380CC4-5D6E-409C-BE32-E72D297353CC}">
              <c16:uniqueId val="{0000004C-6B98-40F5-B9A6-793491A02185}"/>
            </c:ext>
          </c:extLst>
        </c:ser>
        <c:ser>
          <c:idx val="69"/>
          <c:order val="69"/>
          <c:spPr>
            <a:ln w="3175">
              <a:solidFill>
                <a:srgbClr val="000000"/>
              </a:solidFill>
              <a:prstDash val="solid"/>
            </a:ln>
          </c:spPr>
          <c:marker>
            <c:symbol val="none"/>
          </c:marker>
          <c:xVal>
            <c:numLit>
              <c:formatCode>General</c:formatCode>
              <c:ptCount val="2"/>
              <c:pt idx="0">
                <c:v>-6.4697392601020702</c:v>
              </c:pt>
              <c:pt idx="1">
                <c:v>-6.169912839625173</c:v>
              </c:pt>
            </c:numLit>
          </c:xVal>
          <c:yVal>
            <c:numLit>
              <c:formatCode>General</c:formatCode>
              <c:ptCount val="2"/>
              <c:pt idx="0">
                <c:v>2.0574329599127333E-2</c:v>
              </c:pt>
              <c:pt idx="1">
                <c:v>2.0581877160896857E-2</c:v>
              </c:pt>
            </c:numLit>
          </c:yVal>
          <c:smooth val="0"/>
          <c:extLst>
            <c:ext xmlns:c16="http://schemas.microsoft.com/office/drawing/2014/chart" uri="{C3380CC4-5D6E-409C-BE32-E72D297353CC}">
              <c16:uniqueId val="{0000004D-6B98-40F5-B9A6-793491A02185}"/>
            </c:ext>
          </c:extLst>
        </c:ser>
        <c:ser>
          <c:idx val="70"/>
          <c:order val="70"/>
          <c:spPr>
            <a:ln w="3175">
              <a:solidFill>
                <a:srgbClr val="000000"/>
              </a:solidFill>
              <a:prstDash val="solid"/>
            </a:ln>
          </c:spPr>
          <c:marker>
            <c:symbol val="none"/>
          </c:marker>
          <c:xVal>
            <c:numLit>
              <c:formatCode>General</c:formatCode>
              <c:ptCount val="2"/>
              <c:pt idx="0">
                <c:v>-6.4626803906648105</c:v>
              </c:pt>
              <c:pt idx="1">
                <c:v>-6.163002300125668</c:v>
              </c:pt>
            </c:numLit>
          </c:xVal>
          <c:yVal>
            <c:numLit>
              <c:formatCode>General</c:formatCode>
              <c:ptCount val="2"/>
              <c:pt idx="0">
                <c:v>2.0445707961793541E-2</c:v>
              </c:pt>
              <c:pt idx="1">
                <c:v>2.0455985061604547E-2</c:v>
              </c:pt>
            </c:numLit>
          </c:yVal>
          <c:smooth val="0"/>
          <c:extLst>
            <c:ext xmlns:c16="http://schemas.microsoft.com/office/drawing/2014/chart" uri="{C3380CC4-5D6E-409C-BE32-E72D297353CC}">
              <c16:uniqueId val="{0000004E-6B98-40F5-B9A6-793491A02185}"/>
            </c:ext>
          </c:extLst>
        </c:ser>
        <c:ser>
          <c:idx val="71"/>
          <c:order val="71"/>
          <c:spPr>
            <a:ln w="3175">
              <a:solidFill>
                <a:srgbClr val="000000"/>
              </a:solidFill>
              <a:prstDash val="solid"/>
            </a:ln>
          </c:spPr>
          <c:marker>
            <c:symbol val="none"/>
          </c:marker>
          <c:xVal>
            <c:numLit>
              <c:formatCode>General</c:formatCode>
              <c:ptCount val="2"/>
              <c:pt idx="0">
                <c:v>-6.4530133649286947</c:v>
              </c:pt>
              <c:pt idx="1">
                <c:v>-5.8540639178741065</c:v>
              </c:pt>
            </c:numLit>
          </c:xVal>
          <c:yVal>
            <c:numLit>
              <c:formatCode>General</c:formatCode>
              <c:ptCount val="2"/>
              <c:pt idx="0">
                <c:v>2.0311610158401223E-2</c:v>
              </c:pt>
              <c:pt idx="1">
                <c:v>2.033786162222339E-2</c:v>
              </c:pt>
            </c:numLit>
          </c:yVal>
          <c:smooth val="0"/>
          <c:extLst>
            <c:ext xmlns:c16="http://schemas.microsoft.com/office/drawing/2014/chart" uri="{C3380CC4-5D6E-409C-BE32-E72D297353CC}">
              <c16:uniqueId val="{0000004F-6B98-40F5-B9A6-793491A02185}"/>
            </c:ext>
          </c:extLst>
        </c:ser>
        <c:ser>
          <c:idx val="72"/>
          <c:order val="72"/>
          <c:spPr>
            <a:ln w="3175">
              <a:solidFill>
                <a:srgbClr val="000000"/>
              </a:solidFill>
              <a:prstDash val="solid"/>
            </a:ln>
          </c:spPr>
          <c:marker>
            <c:symbol val="none"/>
          </c:marker>
          <c:xVal>
            <c:numLit>
              <c:formatCode>General</c:formatCode>
              <c:ptCount val="2"/>
              <c:pt idx="0">
                <c:v>-6.4404160659918741</c:v>
              </c:pt>
              <c:pt idx="1">
                <c:v>-6.1412058508383218</c:v>
              </c:pt>
            </c:numLit>
          </c:xVal>
          <c:yVal>
            <c:numLit>
              <c:formatCode>General</c:formatCode>
              <c:ptCount val="2"/>
              <c:pt idx="0">
                <c:v>2.0171751126828213E-2</c:v>
              </c:pt>
              <c:pt idx="1">
                <c:v>2.0187842331041393E-2</c:v>
              </c:pt>
            </c:numLit>
          </c:yVal>
          <c:smooth val="0"/>
          <c:extLst>
            <c:ext xmlns:c16="http://schemas.microsoft.com/office/drawing/2014/chart" uri="{C3380CC4-5D6E-409C-BE32-E72D297353CC}">
              <c16:uniqueId val="{00000050-6B98-40F5-B9A6-793491A02185}"/>
            </c:ext>
          </c:extLst>
        </c:ser>
        <c:ser>
          <c:idx val="73"/>
          <c:order val="73"/>
          <c:spPr>
            <a:ln w="3175">
              <a:solidFill>
                <a:srgbClr val="000000"/>
              </a:solidFill>
              <a:prstDash val="solid"/>
            </a:ln>
          </c:spPr>
          <c:marker>
            <c:symbol val="none"/>
          </c:marker>
          <c:xVal>
            <c:numLit>
              <c:formatCode>General</c:formatCode>
              <c:ptCount val="2"/>
              <c:pt idx="0">
                <c:v>-6.4245285241259857</c:v>
              </c:pt>
              <c:pt idx="1">
                <c:v>-6.1256522059410843</c:v>
              </c:pt>
            </c:numLit>
          </c:xVal>
          <c:yVal>
            <c:numLit>
              <c:formatCode>General</c:formatCode>
              <c:ptCount val="2"/>
              <c:pt idx="0">
                <c:v>2.0025833674800028E-2</c:v>
              </c:pt>
              <c:pt idx="1">
                <c:v>2.0045021897082967E-2</c:v>
              </c:pt>
            </c:numLit>
          </c:yVal>
          <c:smooth val="0"/>
          <c:extLst>
            <c:ext xmlns:c16="http://schemas.microsoft.com/office/drawing/2014/chart" uri="{C3380CC4-5D6E-409C-BE32-E72D297353CC}">
              <c16:uniqueId val="{00000051-6B98-40F5-B9A6-793491A02185}"/>
            </c:ext>
          </c:extLst>
        </c:ser>
        <c:ser>
          <c:idx val="74"/>
          <c:order val="74"/>
          <c:spPr>
            <a:ln w="3175">
              <a:solidFill>
                <a:srgbClr val="000000"/>
              </a:solidFill>
              <a:prstDash val="solid"/>
            </a:ln>
          </c:spPr>
          <c:marker>
            <c:symbol val="none"/>
          </c:marker>
          <c:xVal>
            <c:numLit>
              <c:formatCode>General</c:formatCode>
              <c:ptCount val="2"/>
              <c:pt idx="0">
                <c:v>-6.4049486097896127</c:v>
              </c:pt>
              <c:pt idx="1">
                <c:v>-6.1064838193638336</c:v>
              </c:pt>
            </c:numLit>
          </c:xVal>
          <c:yVal>
            <c:numLit>
              <c:formatCode>General</c:formatCode>
              <c:ptCount val="2"/>
              <c:pt idx="0">
                <c:v>1.9873549157153957E-2</c:v>
              </c:pt>
              <c:pt idx="1">
                <c:v>1.9895969774747002E-2</c:v>
              </c:pt>
            </c:numLit>
          </c:yVal>
          <c:smooth val="0"/>
          <c:extLst>
            <c:ext xmlns:c16="http://schemas.microsoft.com/office/drawing/2014/chart" uri="{C3380CC4-5D6E-409C-BE32-E72D297353CC}">
              <c16:uniqueId val="{00000052-6B98-40F5-B9A6-793491A02185}"/>
            </c:ext>
          </c:extLst>
        </c:ser>
        <c:ser>
          <c:idx val="75"/>
          <c:order val="75"/>
          <c:spPr>
            <a:ln w="3175">
              <a:solidFill>
                <a:srgbClr val="000000"/>
              </a:solidFill>
              <a:prstDash val="solid"/>
            </a:ln>
          </c:spPr>
          <c:marker>
            <c:symbol val="none"/>
          </c:marker>
          <c:xVal>
            <c:numLit>
              <c:formatCode>General</c:formatCode>
              <c:ptCount val="2"/>
              <c:pt idx="0">
                <c:v>-6.3812273246822127</c:v>
              </c:pt>
              <c:pt idx="1">
                <c:v>-6.0832611503332013</c:v>
              </c:pt>
            </c:numLit>
          </c:xVal>
          <c:yVal>
            <c:numLit>
              <c:formatCode>General</c:formatCode>
              <c:ptCount val="2"/>
              <c:pt idx="0">
                <c:v>1.9714578538365699E-2</c:v>
              </c:pt>
              <c:pt idx="1">
                <c:v>1.9740373775798421E-2</c:v>
              </c:pt>
            </c:numLit>
          </c:yVal>
          <c:smooth val="0"/>
          <c:extLst>
            <c:ext xmlns:c16="http://schemas.microsoft.com/office/drawing/2014/chart" uri="{C3380CC4-5D6E-409C-BE32-E72D297353CC}">
              <c16:uniqueId val="{00000053-6B98-40F5-B9A6-793491A02185}"/>
            </c:ext>
          </c:extLst>
        </c:ser>
        <c:ser>
          <c:idx val="76"/>
          <c:order val="76"/>
          <c:spPr>
            <a:ln w="3175">
              <a:solidFill>
                <a:srgbClr val="000000"/>
              </a:solidFill>
              <a:prstDash val="solid"/>
            </a:ln>
          </c:spPr>
          <c:marker>
            <c:symbol val="none"/>
          </c:marker>
          <c:xVal>
            <c:numLit>
              <c:formatCode>General</c:formatCode>
              <c:ptCount val="2"/>
              <c:pt idx="0">
                <c:v>-6.3528636892133203</c:v>
              </c:pt>
              <c:pt idx="1">
                <c:v>-5.7581260856691445</c:v>
              </c:pt>
            </c:numLit>
          </c:xVal>
          <c:yVal>
            <c:numLit>
              <c:formatCode>General</c:formatCode>
              <c:ptCount val="2"/>
              <c:pt idx="0">
                <c:v>1.9548593935935225E-2</c:v>
              </c:pt>
              <c:pt idx="1">
                <c:v>1.9607244455322151E-2</c:v>
              </c:pt>
            </c:numLit>
          </c:yVal>
          <c:smooth val="0"/>
          <c:extLst>
            <c:ext xmlns:c16="http://schemas.microsoft.com/office/drawing/2014/chart" uri="{C3380CC4-5D6E-409C-BE32-E72D297353CC}">
              <c16:uniqueId val="{00000054-6B98-40F5-B9A6-793491A02185}"/>
            </c:ext>
          </c:extLst>
        </c:ser>
        <c:ser>
          <c:idx val="77"/>
          <c:order val="77"/>
          <c:spPr>
            <a:ln w="3175">
              <a:solidFill>
                <a:srgbClr val="000000"/>
              </a:solidFill>
              <a:prstDash val="solid"/>
            </a:ln>
          </c:spPr>
          <c:marker>
            <c:symbol val="none"/>
          </c:marker>
          <c:xVal>
            <c:numLit>
              <c:formatCode>General</c:formatCode>
              <c:ptCount val="2"/>
              <c:pt idx="0">
                <c:v>-6.3192992403036552</c:v>
              </c:pt>
              <c:pt idx="1">
                <c:v>-6.0226350152140311</c:v>
              </c:pt>
            </c:numLit>
          </c:xVal>
          <c:yVal>
            <c:numLit>
              <c:formatCode>General</c:formatCode>
              <c:ptCount val="2"/>
              <c:pt idx="0">
                <c:v>1.9375260758225134E-2</c:v>
              </c:pt>
              <c:pt idx="1">
                <c:v>1.94082602718086E-2</c:v>
              </c:pt>
            </c:numLit>
          </c:yVal>
          <c:smooth val="0"/>
          <c:extLst>
            <c:ext xmlns:c16="http://schemas.microsoft.com/office/drawing/2014/chart" uri="{C3380CC4-5D6E-409C-BE32-E72D297353CC}">
              <c16:uniqueId val="{00000055-6B98-40F5-B9A6-793491A02185}"/>
            </c:ext>
          </c:extLst>
        </c:ser>
        <c:ser>
          <c:idx val="78"/>
          <c:order val="78"/>
          <c:spPr>
            <a:ln w="3175">
              <a:solidFill>
                <a:srgbClr val="000000"/>
              </a:solidFill>
              <a:prstDash val="solid"/>
            </a:ln>
          </c:spPr>
          <c:marker>
            <c:symbol val="none"/>
          </c:marker>
          <c:xVal>
            <c:numLit>
              <c:formatCode>General</c:formatCode>
              <c:ptCount val="2"/>
              <c:pt idx="0">
                <c:v>-6.2799121753649985</c:v>
              </c:pt>
              <c:pt idx="1">
                <c:v>-5.9840761830536753</c:v>
              </c:pt>
            </c:numLit>
          </c:xVal>
          <c:yVal>
            <c:numLit>
              <c:formatCode>General</c:formatCode>
              <c:ptCount val="2"/>
              <c:pt idx="0">
                <c:v>1.9194240570334139E-2</c:v>
              </c:pt>
              <c:pt idx="1">
                <c:v>1.9231084265235985E-2</c:v>
              </c:pt>
            </c:numLit>
          </c:yVal>
          <c:smooth val="0"/>
          <c:extLst>
            <c:ext xmlns:c16="http://schemas.microsoft.com/office/drawing/2014/chart" uri="{C3380CC4-5D6E-409C-BE32-E72D297353CC}">
              <c16:uniqueId val="{00000056-6B98-40F5-B9A6-793491A02185}"/>
            </c:ext>
          </c:extLst>
        </c:ser>
        <c:ser>
          <c:idx val="79"/>
          <c:order val="79"/>
          <c:spPr>
            <a:ln w="3175">
              <a:solidFill>
                <a:srgbClr val="000000"/>
              </a:solidFill>
              <a:prstDash val="solid"/>
            </a:ln>
          </c:spPr>
          <c:marker>
            <c:symbol val="none"/>
          </c:marker>
          <c:xVal>
            <c:numLit>
              <c:formatCode>General</c:formatCode>
              <c:ptCount val="2"/>
              <c:pt idx="0">
                <c:v>-6.2340112084088908</c:v>
              </c:pt>
              <c:pt idx="1">
                <c:v>-5.9391405956743277</c:v>
              </c:pt>
            </c:numLit>
          </c:xVal>
          <c:yVal>
            <c:numLit>
              <c:formatCode>General</c:formatCode>
              <c:ptCount val="2"/>
              <c:pt idx="0">
                <c:v>1.900519484317249E-2</c:v>
              </c:pt>
              <c:pt idx="1">
                <c:v>1.9046053859856433E-2</c:v>
              </c:pt>
            </c:numLit>
          </c:yVal>
          <c:smooth val="0"/>
          <c:extLst>
            <c:ext xmlns:c16="http://schemas.microsoft.com/office/drawing/2014/chart" uri="{C3380CC4-5D6E-409C-BE32-E72D297353CC}">
              <c16:uniqueId val="{00000057-6B98-40F5-B9A6-793491A02185}"/>
            </c:ext>
          </c:extLst>
        </c:ser>
        <c:ser>
          <c:idx val="80"/>
          <c:order val="80"/>
          <c:spPr>
            <a:ln w="3175">
              <a:solidFill>
                <a:srgbClr val="000000"/>
              </a:solidFill>
              <a:prstDash val="solid"/>
            </a:ln>
          </c:spPr>
          <c:marker>
            <c:symbol val="none"/>
          </c:marker>
          <c:xVal>
            <c:numLit>
              <c:formatCode>General</c:formatCode>
              <c:ptCount val="2"/>
              <c:pt idx="0">
                <c:v>-6.1808292446003525</c:v>
              </c:pt>
              <c:pt idx="1">
                <c:v>-5.8870773748687428</c:v>
              </c:pt>
            </c:numLit>
          </c:xVal>
          <c:yVal>
            <c:numLit>
              <c:formatCode>General</c:formatCode>
              <c:ptCount val="2"/>
              <c:pt idx="0">
                <c:v>1.8807789763299193E-2</c:v>
              </c:pt>
              <c:pt idx="1">
                <c:v>1.885284251062827E-2</c:v>
              </c:pt>
            </c:numLit>
          </c:yVal>
          <c:smooth val="0"/>
          <c:extLst>
            <c:ext xmlns:c16="http://schemas.microsoft.com/office/drawing/2014/chart" uri="{C3380CC4-5D6E-409C-BE32-E72D297353CC}">
              <c16:uniqueId val="{00000058-6B98-40F5-B9A6-793491A02185}"/>
            </c:ext>
          </c:extLst>
        </c:ser>
        <c:ser>
          <c:idx val="81"/>
          <c:order val="81"/>
          <c:spPr>
            <a:ln w="3175">
              <a:solidFill>
                <a:srgbClr val="000000"/>
              </a:solidFill>
              <a:prstDash val="solid"/>
            </a:ln>
          </c:spPr>
          <c:marker>
            <c:symbol val="none"/>
          </c:marker>
          <c:xVal>
            <c:numLit>
              <c:formatCode>General</c:formatCode>
              <c:ptCount val="2"/>
              <c:pt idx="0">
                <c:v>-6.1195170325550308</c:v>
              </c:pt>
              <c:pt idx="1">
                <c:v>-5.534599652818355</c:v>
              </c:pt>
            </c:numLit>
          </c:xVal>
          <c:yVal>
            <c:numLit>
              <c:formatCode>General</c:formatCode>
              <c:ptCount val="2"/>
              <c:pt idx="0">
                <c:v>1.86017023029456E-2</c:v>
              </c:pt>
              <c:pt idx="1">
                <c:v>1.8700586194654339E-2</c:v>
              </c:pt>
            </c:numLit>
          </c:yVal>
          <c:smooth val="0"/>
          <c:extLst>
            <c:ext xmlns:c16="http://schemas.microsoft.com/office/drawing/2014/chart" uri="{C3380CC4-5D6E-409C-BE32-E72D297353CC}">
              <c16:uniqueId val="{00000059-6B98-40F5-B9A6-793491A02185}"/>
            </c:ext>
          </c:extLst>
        </c:ser>
        <c:ser>
          <c:idx val="82"/>
          <c:order val="82"/>
          <c:spPr>
            <a:ln w="3175">
              <a:solidFill>
                <a:srgbClr val="000000"/>
              </a:solidFill>
              <a:prstDash val="solid"/>
            </a:ln>
          </c:spPr>
          <c:marker>
            <c:symbol val="none"/>
          </c:marker>
          <c:xVal>
            <c:numLit>
              <c:formatCode>General</c:formatCode>
              <c:ptCount val="2"/>
              <c:pt idx="0">
                <c:v>-6.085522707107951</c:v>
              </c:pt>
              <c:pt idx="1">
                <c:v>-5.7937763361296684</c:v>
              </c:pt>
            </c:numLit>
          </c:xVal>
          <c:yVal>
            <c:numLit>
              <c:formatCode>General</c:formatCode>
              <c:ptCount val="2"/>
              <c:pt idx="0">
                <c:v>1.8495306506800622E-2</c:v>
              </c:pt>
              <c:pt idx="1">
                <c:v>1.8546999744218709E-2</c:v>
              </c:pt>
            </c:numLit>
          </c:yVal>
          <c:smooth val="0"/>
          <c:extLst>
            <c:ext xmlns:c16="http://schemas.microsoft.com/office/drawing/2014/chart" uri="{C3380CC4-5D6E-409C-BE32-E72D297353CC}">
              <c16:uniqueId val="{0000005A-6B98-40F5-B9A6-793491A02185}"/>
            </c:ext>
          </c:extLst>
        </c:ser>
        <c:ser>
          <c:idx val="83"/>
          <c:order val="83"/>
          <c:spPr>
            <a:ln w="3175">
              <a:solidFill>
                <a:srgbClr val="000000"/>
              </a:solidFill>
              <a:prstDash val="solid"/>
            </a:ln>
          </c:spPr>
          <c:marker>
            <c:symbol val="none"/>
          </c:marker>
          <c:xVal>
            <c:numLit>
              <c:formatCode>General</c:formatCode>
              <c:ptCount val="2"/>
              <c:pt idx="0">
                <c:v>-6.0491370217777725</c:v>
              </c:pt>
              <c:pt idx="1">
                <c:v>-5.7581565088975415</c:v>
              </c:pt>
            </c:numLit>
          </c:xVal>
          <c:yVal>
            <c:numLit>
              <c:formatCode>General</c:formatCode>
              <c:ptCount val="2"/>
              <c:pt idx="0">
                <c:v>1.8386627768883546E-2</c:v>
              </c:pt>
              <c:pt idx="1">
                <c:v>1.8440631137357402E-2</c:v>
              </c:pt>
            </c:numLit>
          </c:yVal>
          <c:smooth val="0"/>
          <c:extLst>
            <c:ext xmlns:c16="http://schemas.microsoft.com/office/drawing/2014/chart" uri="{C3380CC4-5D6E-409C-BE32-E72D297353CC}">
              <c16:uniqueId val="{0000005B-6B98-40F5-B9A6-793491A02185}"/>
            </c:ext>
          </c:extLst>
        </c:ser>
        <c:ser>
          <c:idx val="84"/>
          <c:order val="84"/>
          <c:spPr>
            <a:ln w="3175">
              <a:solidFill>
                <a:srgbClr val="000000"/>
              </a:solidFill>
              <a:prstDash val="solid"/>
            </a:ln>
          </c:spPr>
          <c:marker>
            <c:symbol val="none"/>
          </c:marker>
          <c:xVal>
            <c:numLit>
              <c:formatCode>General</c:formatCode>
              <c:ptCount val="2"/>
              <c:pt idx="0">
                <c:v>-6.0102280619194612</c:v>
              </c:pt>
              <c:pt idx="1">
                <c:v>-5.7200666445882398</c:v>
              </c:pt>
            </c:numLit>
          </c:xVal>
          <c:yVal>
            <c:numLit>
              <c:formatCode>General</c:formatCode>
              <c:ptCount val="2"/>
              <c:pt idx="0">
                <c:v>1.8275632385817388E-2</c:v>
              </c:pt>
              <c:pt idx="1">
                <c:v>1.8331995490505258E-2</c:v>
              </c:pt>
            </c:numLit>
          </c:yVal>
          <c:smooth val="0"/>
          <c:extLst>
            <c:ext xmlns:c16="http://schemas.microsoft.com/office/drawing/2014/chart" uri="{C3380CC4-5D6E-409C-BE32-E72D297353CC}">
              <c16:uniqueId val="{0000005C-6B98-40F5-B9A6-793491A02185}"/>
            </c:ext>
          </c:extLst>
        </c:ser>
        <c:ser>
          <c:idx val="85"/>
          <c:order val="85"/>
          <c:spPr>
            <a:ln w="3175">
              <a:solidFill>
                <a:srgbClr val="000000"/>
              </a:solidFill>
              <a:prstDash val="solid"/>
            </a:ln>
          </c:spPr>
          <c:marker>
            <c:symbol val="none"/>
          </c:marker>
          <c:xVal>
            <c:numLit>
              <c:formatCode>General</c:formatCode>
              <c:ptCount val="2"/>
              <c:pt idx="0">
                <c:v>-5.9686577382838752</c:v>
              </c:pt>
              <c:pt idx="1">
                <c:v>-5.6793715867435788</c:v>
              </c:pt>
            </c:numLit>
          </c:xVal>
          <c:yVal>
            <c:numLit>
              <c:formatCode>General</c:formatCode>
              <c:ptCount val="2"/>
              <c:pt idx="0">
                <c:v>1.8162289062279902E-2</c:v>
              </c:pt>
              <c:pt idx="1">
                <c:v>1.8221062213132893E-2</c:v>
              </c:pt>
            </c:numLit>
          </c:yVal>
          <c:smooth val="0"/>
          <c:extLst>
            <c:ext xmlns:c16="http://schemas.microsoft.com/office/drawing/2014/chart" uri="{C3380CC4-5D6E-409C-BE32-E72D297353CC}">
              <c16:uniqueId val="{0000005D-6B98-40F5-B9A6-793491A02185}"/>
            </c:ext>
          </c:extLst>
        </c:ser>
        <c:ser>
          <c:idx val="86"/>
          <c:order val="86"/>
          <c:spPr>
            <a:ln w="3175">
              <a:solidFill>
                <a:srgbClr val="000000"/>
              </a:solidFill>
              <a:prstDash val="solid"/>
            </a:ln>
          </c:spPr>
          <c:marker>
            <c:symbol val="none"/>
          </c:marker>
          <c:xVal>
            <c:numLit>
              <c:formatCode>General</c:formatCode>
              <c:ptCount val="2"/>
              <c:pt idx="0">
                <c:v>-5.9242816702136096</c:v>
              </c:pt>
              <c:pt idx="1">
                <c:v>-5.3475877573340735</c:v>
              </c:pt>
            </c:numLit>
          </c:xVal>
          <c:yVal>
            <c:numLit>
              <c:formatCode>General</c:formatCode>
              <c:ptCount val="2"/>
              <c:pt idx="0">
                <c:v>1.8046569310441331E-2</c:v>
              </c:pt>
              <c:pt idx="1">
                <c:v>1.8169061664199238E-2</c:v>
              </c:pt>
            </c:numLit>
          </c:yVal>
          <c:smooth val="0"/>
          <c:extLst>
            <c:ext xmlns:c16="http://schemas.microsoft.com/office/drawing/2014/chart" uri="{C3380CC4-5D6E-409C-BE32-E72D297353CC}">
              <c16:uniqueId val="{0000005E-6B98-40F5-B9A6-793491A02185}"/>
            </c:ext>
          </c:extLst>
        </c:ser>
        <c:ser>
          <c:idx val="87"/>
          <c:order val="87"/>
          <c:spPr>
            <a:ln w="3175">
              <a:solidFill>
                <a:srgbClr val="000000"/>
              </a:solidFill>
              <a:prstDash val="solid"/>
            </a:ln>
          </c:spPr>
          <c:marker>
            <c:symbol val="none"/>
          </c:marker>
          <c:xVal>
            <c:numLit>
              <c:formatCode>General</c:formatCode>
              <c:ptCount val="2"/>
              <c:pt idx="0">
                <c:v>-5.8769490965930213</c:v>
              </c:pt>
              <c:pt idx="1">
                <c:v>-5.5895944012428798</c:v>
              </c:pt>
            </c:numLit>
          </c:xVal>
          <c:yVal>
            <c:numLit>
              <c:formatCode>General</c:formatCode>
              <c:ptCount val="2"/>
              <c:pt idx="0">
                <c:v>1.7928447884993152E-2</c:v>
              </c:pt>
              <c:pt idx="1">
                <c:v>1.7992194584566659E-2</c:v>
              </c:pt>
            </c:numLit>
          </c:yVal>
          <c:smooth val="0"/>
          <c:extLst>
            <c:ext xmlns:c16="http://schemas.microsoft.com/office/drawing/2014/chart" uri="{C3380CC4-5D6E-409C-BE32-E72D297353CC}">
              <c16:uniqueId val="{0000005F-6B98-40F5-B9A6-793491A02185}"/>
            </c:ext>
          </c:extLst>
        </c:ser>
        <c:ser>
          <c:idx val="88"/>
          <c:order val="88"/>
          <c:spPr>
            <a:ln w="3175">
              <a:solidFill>
                <a:srgbClr val="000000"/>
              </a:solidFill>
              <a:prstDash val="solid"/>
            </a:ln>
          </c:spPr>
          <c:marker>
            <c:symbol val="none"/>
          </c:marker>
          <c:xVal>
            <c:numLit>
              <c:formatCode>General</c:formatCode>
              <c:ptCount val="2"/>
              <c:pt idx="0">
                <c:v>-5.8265028202105924</c:v>
              </c:pt>
              <c:pt idx="1">
                <c:v>-5.5402108697385151</c:v>
              </c:pt>
            </c:numLit>
          </c:xVal>
          <c:yVal>
            <c:numLit>
              <c:formatCode>General</c:formatCode>
              <c:ptCount val="2"/>
              <c:pt idx="0">
                <c:v>1.780790325517077E-2</c:v>
              </c:pt>
              <c:pt idx="1">
                <c:v>1.7874214546059516E-2</c:v>
              </c:pt>
            </c:numLit>
          </c:yVal>
          <c:smooth val="0"/>
          <c:extLst>
            <c:ext xmlns:c16="http://schemas.microsoft.com/office/drawing/2014/chart" uri="{C3380CC4-5D6E-409C-BE32-E72D297353CC}">
              <c16:uniqueId val="{00000060-6B98-40F5-B9A6-793491A02185}"/>
            </c:ext>
          </c:extLst>
        </c:ser>
        <c:ser>
          <c:idx val="89"/>
          <c:order val="89"/>
          <c:spPr>
            <a:ln w="3175">
              <a:solidFill>
                <a:srgbClr val="000000"/>
              </a:solidFill>
              <a:prstDash val="solid"/>
            </a:ln>
          </c:spPr>
          <c:marker>
            <c:symbol val="none"/>
          </c:marker>
          <c:xVal>
            <c:numLit>
              <c:formatCode>General</c:formatCode>
              <c:ptCount val="2"/>
              <c:pt idx="0">
                <c:v>-5.7727791918245215</c:v>
              </c:pt>
              <c:pt idx="1">
                <c:v>-5.4876192678528364</c:v>
              </c:pt>
            </c:numLit>
          </c:xVal>
          <c:yVal>
            <c:numLit>
              <c:formatCode>General</c:formatCode>
              <c:ptCount val="2"/>
              <c:pt idx="0">
                <c:v>1.7684918114909066E-2</c:v>
              </c:pt>
              <c:pt idx="1">
                <c:v>1.7753846463893632E-2</c:v>
              </c:pt>
            </c:numLit>
          </c:yVal>
          <c:smooth val="0"/>
          <c:extLst>
            <c:ext xmlns:c16="http://schemas.microsoft.com/office/drawing/2014/chart" uri="{C3380CC4-5D6E-409C-BE32-E72D297353CC}">
              <c16:uniqueId val="{00000061-6B98-40F5-B9A6-793491A02185}"/>
            </c:ext>
          </c:extLst>
        </c:ser>
        <c:ser>
          <c:idx val="90"/>
          <c:order val="90"/>
          <c:spPr>
            <a:ln w="3175">
              <a:solidFill>
                <a:srgbClr val="000000"/>
              </a:solidFill>
              <a:prstDash val="solid"/>
            </a:ln>
          </c:spPr>
          <c:marker>
            <c:symbol val="none"/>
          </c:marker>
          <c:xVal>
            <c:numLit>
              <c:formatCode>General</c:formatCode>
              <c:ptCount val="2"/>
              <c:pt idx="0">
                <c:v>-5.7156081408752861</c:v>
              </c:pt>
              <c:pt idx="1">
                <c:v>-5.4316531537037873</c:v>
              </c:pt>
            </c:numLit>
          </c:xVal>
          <c:yVal>
            <c:numLit>
              <c:formatCode>General</c:formatCode>
              <c:ptCount val="2"/>
              <c:pt idx="0">
                <c:v>1.7559479931924228E-2</c:v>
              </c:pt>
              <c:pt idx="1">
                <c:v>1.7631078127631022E-2</c:v>
              </c:pt>
            </c:numLit>
          </c:yVal>
          <c:smooth val="0"/>
          <c:extLst>
            <c:ext xmlns:c16="http://schemas.microsoft.com/office/drawing/2014/chart" uri="{C3380CC4-5D6E-409C-BE32-E72D297353CC}">
              <c16:uniqueId val="{00000062-6B98-40F5-B9A6-793491A02185}"/>
            </c:ext>
          </c:extLst>
        </c:ser>
        <c:ser>
          <c:idx val="91"/>
          <c:order val="91"/>
          <c:spPr>
            <a:ln w="3175">
              <a:solidFill>
                <a:srgbClr val="000000"/>
              </a:solidFill>
              <a:prstDash val="solid"/>
            </a:ln>
          </c:spPr>
          <c:marker>
            <c:symbol val="none"/>
          </c:marker>
          <c:xVal>
            <c:numLit>
              <c:formatCode>General</c:formatCode>
              <c:ptCount val="2"/>
              <c:pt idx="0">
                <c:v>-5.6548132604507</c:v>
              </c:pt>
              <c:pt idx="1">
                <c:v>-5.0894800551960175</c:v>
              </c:pt>
            </c:numLit>
          </c:xVal>
          <c:yVal>
            <c:numLit>
              <c:formatCode>General</c:formatCode>
              <c:ptCount val="2"/>
              <c:pt idx="0">
                <c:v>1.7431581536076757E-2</c:v>
              </c:pt>
              <c:pt idx="1">
                <c:v>1.7580251649321022E-2</c:v>
              </c:pt>
            </c:numLit>
          </c:yVal>
          <c:smooth val="0"/>
          <c:extLst>
            <c:ext xmlns:c16="http://schemas.microsoft.com/office/drawing/2014/chart" uri="{C3380CC4-5D6E-409C-BE32-E72D297353CC}">
              <c16:uniqueId val="{00000063-6B98-40F5-B9A6-793491A02185}"/>
            </c:ext>
          </c:extLst>
        </c:ser>
        <c:ser>
          <c:idx val="92"/>
          <c:order val="92"/>
          <c:spPr>
            <a:ln w="3175">
              <a:solidFill>
                <a:srgbClr val="000000"/>
              </a:solidFill>
              <a:prstDash val="solid"/>
            </a:ln>
          </c:spPr>
          <c:marker>
            <c:symbol val="none"/>
          </c:marker>
          <c:xVal>
            <c:numLit>
              <c:formatCode>General</c:formatCode>
              <c:ptCount val="2"/>
              <c:pt idx="0">
                <c:v>-5.5902119547643538</c:v>
              </c:pt>
              <c:pt idx="1">
                <c:v>-5.3089007812936524</c:v>
              </c:pt>
            </c:numLit>
          </c:xVal>
          <c:yVal>
            <c:numLit>
              <c:formatCode>General</c:formatCode>
              <c:ptCount val="2"/>
              <c:pt idx="0">
                <c:v>1.730122174682644E-2</c:v>
              </c:pt>
              <c:pt idx="1">
                <c:v>1.7378318722868574E-2</c:v>
              </c:pt>
            </c:numLit>
          </c:yVal>
          <c:smooth val="0"/>
          <c:extLst>
            <c:ext xmlns:c16="http://schemas.microsoft.com/office/drawing/2014/chart" uri="{C3380CC4-5D6E-409C-BE32-E72D297353CC}">
              <c16:uniqueId val="{00000064-6B98-40F5-B9A6-793491A02185}"/>
            </c:ext>
          </c:extLst>
        </c:ser>
        <c:ser>
          <c:idx val="93"/>
          <c:order val="93"/>
          <c:spPr>
            <a:ln w="3175">
              <a:solidFill>
                <a:srgbClr val="000000"/>
              </a:solidFill>
              <a:prstDash val="solid"/>
            </a:ln>
          </c:spPr>
          <c:marker>
            <c:symbol val="none"/>
          </c:marker>
          <c:xVal>
            <c:numLit>
              <c:formatCode>General</c:formatCode>
              <c:ptCount val="2"/>
              <c:pt idx="0">
                <c:v>-5.5216156580385984</c:v>
              </c:pt>
              <c:pt idx="1">
                <c:v>-5.2417513042334738</c:v>
              </c:pt>
            </c:numLit>
          </c:xVal>
          <c:yVal>
            <c:numLit>
              <c:formatCode>General</c:formatCode>
              <c:ptCount val="2"/>
              <c:pt idx="0">
                <c:v>1.7168406038928632E-2</c:v>
              </c:pt>
              <c:pt idx="1">
                <c:v>1.7248331985026011E-2</c:v>
              </c:pt>
            </c:numLit>
          </c:yVal>
          <c:smooth val="0"/>
          <c:extLst>
            <c:ext xmlns:c16="http://schemas.microsoft.com/office/drawing/2014/chart" uri="{C3380CC4-5D6E-409C-BE32-E72D297353CC}">
              <c16:uniqueId val="{00000065-6B98-40F5-B9A6-793491A02185}"/>
            </c:ext>
          </c:extLst>
        </c:ser>
        <c:ser>
          <c:idx val="94"/>
          <c:order val="94"/>
          <c:spPr>
            <a:ln w="3175">
              <a:solidFill>
                <a:srgbClr val="000000"/>
              </a:solidFill>
              <a:prstDash val="solid"/>
            </a:ln>
          </c:spPr>
          <c:marker>
            <c:symbol val="none"/>
          </c:marker>
          <c:xVal>
            <c:numLit>
              <c:formatCode>General</c:formatCode>
              <c:ptCount val="2"/>
              <c:pt idx="0">
                <c:v>-5.4488301342643446</c:v>
              </c:pt>
              <c:pt idx="1">
                <c:v>-5.1705013862512814</c:v>
              </c:pt>
            </c:numLit>
          </c:xVal>
          <c:yVal>
            <c:numLit>
              <c:formatCode>General</c:formatCode>
              <c:ptCount val="2"/>
              <c:pt idx="0">
                <c:v>1.7033147244730054E-2</c:v>
              </c:pt>
              <c:pt idx="1">
                <c:v>1.7115954993172641E-2</c:v>
              </c:pt>
            </c:numLit>
          </c:yVal>
          <c:smooth val="0"/>
          <c:extLst>
            <c:ext xmlns:c16="http://schemas.microsoft.com/office/drawing/2014/chart" uri="{C3380CC4-5D6E-409C-BE32-E72D297353CC}">
              <c16:uniqueId val="{00000066-6B98-40F5-B9A6-793491A02185}"/>
            </c:ext>
          </c:extLst>
        </c:ser>
        <c:ser>
          <c:idx val="95"/>
          <c:order val="95"/>
          <c:spPr>
            <a:ln w="3175">
              <a:solidFill>
                <a:srgbClr val="000000"/>
              </a:solidFill>
              <a:prstDash val="solid"/>
            </a:ln>
          </c:spPr>
          <c:marker>
            <c:symbol val="none"/>
          </c:marker>
          <c:xVal>
            <c:numLit>
              <c:formatCode>General</c:formatCode>
              <c:ptCount val="2"/>
              <c:pt idx="0">
                <c:v>-5.3716558678134341</c:v>
              </c:pt>
              <c:pt idx="1">
                <c:v>-5.0949557962763974</c:v>
              </c:pt>
            </c:numLit>
          </c:xVal>
          <c:yVal>
            <c:numLit>
              <c:formatCode>General</c:formatCode>
              <c:ptCount val="2"/>
              <c:pt idx="0">
                <c:v>1.6895466290491552E-2</c:v>
              </c:pt>
              <c:pt idx="1">
                <c:v>1.6981208300576808E-2</c:v>
              </c:pt>
            </c:numLit>
          </c:yVal>
          <c:smooth val="0"/>
          <c:extLst>
            <c:ext xmlns:c16="http://schemas.microsoft.com/office/drawing/2014/chart" uri="{C3380CC4-5D6E-409C-BE32-E72D297353CC}">
              <c16:uniqueId val="{00000067-6B98-40F5-B9A6-793491A02185}"/>
            </c:ext>
          </c:extLst>
        </c:ser>
        <c:ser>
          <c:idx val="96"/>
          <c:order val="96"/>
          <c:spPr>
            <a:ln w="3175">
              <a:solidFill>
                <a:srgbClr val="000000"/>
              </a:solidFill>
              <a:prstDash val="solid"/>
            </a:ln>
          </c:spPr>
          <c:marker>
            <c:symbol val="none"/>
          </c:marker>
          <c:xVal>
            <c:numLit>
              <c:formatCode>General</c:formatCode>
              <c:ptCount val="2"/>
              <c:pt idx="0">
                <c:v>-5.2898885552707755</c:v>
              </c:pt>
              <c:pt idx="1">
                <c:v>-4.7399594524317035</c:v>
              </c:pt>
            </c:numLit>
          </c:xVal>
          <c:yVal>
            <c:numLit>
              <c:formatCode>General</c:formatCode>
              <c:ptCount val="2"/>
              <c:pt idx="0">
                <c:v>1.6755392963085362E-2</c:v>
              </c:pt>
              <c:pt idx="1">
                <c:v>1.6932880948920096E-2</c:v>
              </c:pt>
            </c:numLit>
          </c:yVal>
          <c:smooth val="0"/>
          <c:extLst>
            <c:ext xmlns:c16="http://schemas.microsoft.com/office/drawing/2014/chart" uri="{C3380CC4-5D6E-409C-BE32-E72D297353CC}">
              <c16:uniqueId val="{00000068-6B98-40F5-B9A6-793491A02185}"/>
            </c:ext>
          </c:extLst>
        </c:ser>
        <c:ser>
          <c:idx val="97"/>
          <c:order val="97"/>
          <c:spPr>
            <a:ln w="3175">
              <a:solidFill>
                <a:srgbClr val="000000"/>
              </a:solidFill>
              <a:prstDash val="solid"/>
            </a:ln>
          </c:spPr>
          <c:marker>
            <c:symbol val="none"/>
          </c:marker>
          <c:xVal>
            <c:numLit>
              <c:formatCode>General</c:formatCode>
              <c:ptCount val="2"/>
              <c:pt idx="0">
                <c:v>-5.2033197090931331</c:v>
              </c:pt>
              <c:pt idx="1">
                <c:v>-4.930173878055025</c:v>
              </c:pt>
            </c:numLit>
          </c:xVal>
          <c:yVal>
            <c:numLit>
              <c:formatCode>General</c:formatCode>
              <c:ptCount val="2"/>
              <c:pt idx="0">
                <c:v>1.6612966702180775E-2</c:v>
              </c:pt>
              <c:pt idx="1">
                <c:v>1.6704732176865585E-2</c:v>
              </c:pt>
            </c:numLit>
          </c:yVal>
          <c:smooth val="0"/>
          <c:extLst>
            <c:ext xmlns:c16="http://schemas.microsoft.com/office/drawing/2014/chart" uri="{C3380CC4-5D6E-409C-BE32-E72D297353CC}">
              <c16:uniqueId val="{00000069-6B98-40F5-B9A6-793491A02185}"/>
            </c:ext>
          </c:extLst>
        </c:ser>
        <c:ser>
          <c:idx val="98"/>
          <c:order val="98"/>
          <c:spPr>
            <a:ln w="3175">
              <a:solidFill>
                <a:srgbClr val="000000"/>
              </a:solidFill>
              <a:prstDash val="solid"/>
            </a:ln>
          </c:spPr>
          <c:marker>
            <c:symbol val="none"/>
          </c:marker>
          <c:xVal>
            <c:numLit>
              <c:formatCode>General</c:formatCode>
              <c:ptCount val="2"/>
              <c:pt idx="0">
                <c:v>-5.1117373837437654</c:v>
              </c:pt>
              <c:pt idx="1">
                <c:v>-4.8405261843098577</c:v>
              </c:pt>
            </c:numLit>
          </c:xVal>
          <c:yVal>
            <c:numLit>
              <c:formatCode>General</c:formatCode>
              <c:ptCount val="2"/>
              <c:pt idx="0">
                <c:v>1.6468237411641461E-2</c:v>
              </c:pt>
              <c:pt idx="1">
                <c:v>1.6563090346779514E-2</c:v>
              </c:pt>
            </c:numLit>
          </c:yVal>
          <c:smooth val="0"/>
          <c:extLst>
            <c:ext xmlns:c16="http://schemas.microsoft.com/office/drawing/2014/chart" uri="{C3380CC4-5D6E-409C-BE32-E72D297353CC}">
              <c16:uniqueId val="{0000006A-6B98-40F5-B9A6-793491A02185}"/>
            </c:ext>
          </c:extLst>
        </c:ser>
        <c:ser>
          <c:idx val="99"/>
          <c:order val="99"/>
          <c:spPr>
            <a:ln w="3175">
              <a:solidFill>
                <a:srgbClr val="000000"/>
              </a:solidFill>
              <a:prstDash val="solid"/>
            </a:ln>
          </c:spPr>
          <c:marker>
            <c:symbol val="none"/>
          </c:marker>
          <c:xVal>
            <c:numLit>
              <c:formatCode>General</c:formatCode>
              <c:ptCount val="2"/>
              <c:pt idx="0">
                <c:v>-5.0149270347463339</c:v>
              </c:pt>
              <c:pt idx="1">
                <c:v>-4.7457616406108887</c:v>
              </c:pt>
            </c:numLit>
          </c:xVal>
          <c:yVal>
            <c:numLit>
              <c:formatCode>General</c:formatCode>
              <c:ptCount val="2"/>
              <c:pt idx="0">
                <c:v>1.6321266282315831E-2</c:v>
              </c:pt>
              <c:pt idx="1">
                <c:v>1.6419255616592431E-2</c:v>
              </c:pt>
            </c:numLit>
          </c:yVal>
          <c:smooth val="0"/>
          <c:extLst>
            <c:ext xmlns:c16="http://schemas.microsoft.com/office/drawing/2014/chart" uri="{C3380CC4-5D6E-409C-BE32-E72D297353CC}">
              <c16:uniqueId val="{0000006B-6B98-40F5-B9A6-793491A02185}"/>
            </c:ext>
          </c:extLst>
        </c:ser>
        <c:ser>
          <c:idx val="100"/>
          <c:order val="100"/>
          <c:spPr>
            <a:ln w="3175">
              <a:solidFill>
                <a:srgbClr val="000000"/>
              </a:solidFill>
              <a:prstDash val="solid"/>
            </a:ln>
          </c:spPr>
          <c:marker>
            <c:symbol val="none"/>
          </c:marker>
          <c:xVal>
            <c:numLit>
              <c:formatCode>General</c:formatCode>
              <c:ptCount val="2"/>
              <c:pt idx="0">
                <c:v>-4.9126725205921735</c:v>
              </c:pt>
              <c:pt idx="1">
                <c:v>-4.6456687915541259</c:v>
              </c:pt>
            </c:numLit>
          </c:xVal>
          <c:yVal>
            <c:numLit>
              <c:formatCode>General</c:formatCode>
              <c:ptCount val="2"/>
              <c:pt idx="0">
                <c:v>1.6172126616717374E-2</c:v>
              </c:pt>
              <c:pt idx="1">
                <c:v>1.6273299812841348E-2</c:v>
              </c:pt>
            </c:numLit>
          </c:yVal>
          <c:smooth val="0"/>
          <c:extLst>
            <c:ext xmlns:c16="http://schemas.microsoft.com/office/drawing/2014/chart" uri="{C3380CC4-5D6E-409C-BE32-E72D297353CC}">
              <c16:uniqueId val="{0000006C-6B98-40F5-B9A6-793491A02185}"/>
            </c:ext>
          </c:extLst>
        </c:ser>
        <c:ser>
          <c:idx val="101"/>
          <c:order val="101"/>
          <c:spPr>
            <a:ln w="3175">
              <a:solidFill>
                <a:srgbClr val="000000"/>
              </a:solidFill>
              <a:prstDash val="solid"/>
            </a:ln>
          </c:spPr>
          <c:marker>
            <c:symbol val="none"/>
          </c:marker>
          <c:xVal>
            <c:numLit>
              <c:formatCode>General</c:formatCode>
              <c:ptCount val="2"/>
              <c:pt idx="0">
                <c:v>-4.8047572565634464</c:v>
              </c:pt>
              <c:pt idx="1">
                <c:v>-4.2753392408300135</c:v>
              </c:pt>
            </c:numLit>
          </c:xVal>
          <c:yVal>
            <c:numLit>
              <c:formatCode>General</c:formatCode>
              <c:ptCount val="2"/>
              <c:pt idx="0">
                <c:v>1.602090464428578E-2</c:v>
              </c:pt>
              <c:pt idx="1">
                <c:v>1.6229744658270026E-2</c:v>
              </c:pt>
            </c:numLit>
          </c:yVal>
          <c:smooth val="0"/>
          <c:extLst>
            <c:ext xmlns:c16="http://schemas.microsoft.com/office/drawing/2014/chart" uri="{C3380CC4-5D6E-409C-BE32-E72D297353CC}">
              <c16:uniqueId val="{0000006D-6B98-40F5-B9A6-793491A02185}"/>
            </c:ext>
          </c:extLst>
        </c:ser>
        <c:ser>
          <c:idx val="102"/>
          <c:order val="102"/>
          <c:spPr>
            <a:ln w="3175">
              <a:solidFill>
                <a:srgbClr val="000000"/>
              </a:solidFill>
              <a:prstDash val="solid"/>
            </a:ln>
          </c:spPr>
          <c:marker>
            <c:symbol val="none"/>
          </c:marker>
          <c:xVal>
            <c:numLit>
              <c:formatCode>General</c:formatCode>
              <c:ptCount val="2"/>
              <c:pt idx="0">
                <c:v>-4.6909655282406417</c:v>
              </c:pt>
              <c:pt idx="1">
                <c:v>-4.4286515323763824</c:v>
              </c:pt>
            </c:numLit>
          </c:xVal>
          <c:yVal>
            <c:numLit>
              <c:formatCode>General</c:formatCode>
              <c:ptCount val="2"/>
              <c:pt idx="0">
                <c:v>1.5867700314020336E-2</c:v>
              </c:pt>
              <c:pt idx="1">
                <c:v>1.5975376328465341E-2</c:v>
              </c:pt>
            </c:numLit>
          </c:yVal>
          <c:smooth val="0"/>
          <c:extLst>
            <c:ext xmlns:c16="http://schemas.microsoft.com/office/drawing/2014/chart" uri="{C3380CC4-5D6E-409C-BE32-E72D297353CC}">
              <c16:uniqueId val="{0000006E-6B98-40F5-B9A6-793491A02185}"/>
            </c:ext>
          </c:extLst>
        </c:ser>
        <c:ser>
          <c:idx val="103"/>
          <c:order val="103"/>
          <c:spPr>
            <a:ln w="3175">
              <a:solidFill>
                <a:srgbClr val="000000"/>
              </a:solidFill>
              <a:prstDash val="solid"/>
            </a:ln>
          </c:spPr>
          <c:marker>
            <c:symbol val="none"/>
          </c:marker>
          <c:xVal>
            <c:numLit>
              <c:formatCode>General</c:formatCode>
              <c:ptCount val="2"/>
              <c:pt idx="0">
                <c:v>-4.5710839706874209</c:v>
              </c:pt>
              <c:pt idx="1">
                <c:v>-4.3113074088595988</c:v>
              </c:pt>
            </c:numLit>
          </c:xVal>
          <c:yVal>
            <c:numLit>
              <c:formatCode>General</c:formatCode>
              <c:ptCount val="2"/>
              <c:pt idx="0">
                <c:v>1.5712628049326046E-2</c:v>
              </c:pt>
              <c:pt idx="1">
                <c:v>1.5823618626362695E-2</c:v>
              </c:pt>
            </c:numLit>
          </c:yVal>
          <c:smooth val="0"/>
          <c:extLst>
            <c:ext xmlns:c16="http://schemas.microsoft.com/office/drawing/2014/chart" uri="{C3380CC4-5D6E-409C-BE32-E72D297353CC}">
              <c16:uniqueId val="{0000006F-6B98-40F5-B9A6-793491A02185}"/>
            </c:ext>
          </c:extLst>
        </c:ser>
        <c:ser>
          <c:idx val="104"/>
          <c:order val="104"/>
          <c:spPr>
            <a:ln w="3175">
              <a:solidFill>
                <a:srgbClr val="000000"/>
              </a:solidFill>
              <a:prstDash val="solid"/>
            </a:ln>
          </c:spPr>
          <c:marker>
            <c:symbol val="none"/>
          </c:marker>
          <c:xVal>
            <c:numLit>
              <c:formatCode>General</c:formatCode>
              <c:ptCount val="2"/>
              <c:pt idx="0">
                <c:v>-4.4449032169939464</c:v>
              </c:pt>
              <c:pt idx="1">
                <c:v>-4.1877986154546427</c:v>
              </c:pt>
            </c:numLit>
          </c:xVal>
          <c:yVal>
            <c:numLit>
              <c:formatCode>General</c:formatCode>
              <c:ptCount val="2"/>
              <c:pt idx="0">
                <c:v>1.5555817447964507E-2</c:v>
              </c:pt>
              <c:pt idx="1">
                <c:v>1.5670161229587115E-2</c:v>
              </c:pt>
            </c:numLit>
          </c:yVal>
          <c:smooth val="0"/>
          <c:extLst>
            <c:ext xmlns:c16="http://schemas.microsoft.com/office/drawing/2014/chart" uri="{C3380CC4-5D6E-409C-BE32-E72D297353CC}">
              <c16:uniqueId val="{00000070-6B98-40F5-B9A6-793491A02185}"/>
            </c:ext>
          </c:extLst>
        </c:ser>
        <c:ser>
          <c:idx val="105"/>
          <c:order val="105"/>
          <c:spPr>
            <a:ln w="3175">
              <a:solidFill>
                <a:srgbClr val="000000"/>
              </a:solidFill>
              <a:prstDash val="solid"/>
            </a:ln>
          </c:spPr>
          <c:marker>
            <c:symbol val="none"/>
          </c:marker>
          <c:xVal>
            <c:numLit>
              <c:formatCode>General</c:formatCode>
              <c:ptCount val="2"/>
              <c:pt idx="0">
                <c:v>-4.312219716966025</c:v>
              </c:pt>
              <c:pt idx="1">
                <c:v>-4.0579260852665504</c:v>
              </c:pt>
            </c:numLit>
          </c:xVal>
          <c:yVal>
            <c:numLit>
              <c:formatCode>General</c:formatCode>
              <c:ptCount val="2"/>
              <c:pt idx="0">
                <c:v>1.5397413908124226E-2</c:v>
              </c:pt>
              <c:pt idx="1">
                <c:v>1.5515146520333783E-2</c:v>
              </c:pt>
            </c:numLit>
          </c:yVal>
          <c:smooth val="0"/>
          <c:extLst>
            <c:ext xmlns:c16="http://schemas.microsoft.com/office/drawing/2014/chart" uri="{C3380CC4-5D6E-409C-BE32-E72D297353CC}">
              <c16:uniqueId val="{00000071-6B98-40F5-B9A6-793491A02185}"/>
            </c:ext>
          </c:extLst>
        </c:ser>
        <c:ser>
          <c:idx val="106"/>
          <c:order val="106"/>
          <c:spPr>
            <a:ln w="3175">
              <a:solidFill>
                <a:srgbClr val="000000"/>
              </a:solidFill>
              <a:prstDash val="solid"/>
            </a:ln>
          </c:spPr>
          <c:marker>
            <c:symbol val="none"/>
          </c:marker>
          <c:xVal>
            <c:numLit>
              <c:formatCode>General</c:formatCode>
              <c:ptCount val="2"/>
              <c:pt idx="0">
                <c:v>-4.1728377232389242</c:v>
              </c:pt>
              <c:pt idx="1">
                <c:v>-3.6701909794749938</c:v>
              </c:pt>
            </c:numLit>
          </c:xVal>
          <c:yVal>
            <c:numLit>
              <c:formatCode>General</c:formatCode>
              <c:ptCount val="2"/>
              <c:pt idx="0">
                <c:v>1.5237579159901987E-2</c:v>
              </c:pt>
              <c:pt idx="1">
                <c:v>1.5479922581002253E-2</c:v>
              </c:pt>
            </c:numLit>
          </c:yVal>
          <c:smooth val="0"/>
          <c:extLst>
            <c:ext xmlns:c16="http://schemas.microsoft.com/office/drawing/2014/chart" uri="{C3380CC4-5D6E-409C-BE32-E72D297353CC}">
              <c16:uniqueId val="{00000072-6B98-40F5-B9A6-793491A02185}"/>
            </c:ext>
          </c:extLst>
        </c:ser>
        <c:ser>
          <c:idx val="107"/>
          <c:order val="107"/>
          <c:spPr>
            <a:ln w="3175">
              <a:solidFill>
                <a:srgbClr val="000000"/>
              </a:solidFill>
              <a:prstDash val="solid"/>
            </a:ln>
          </c:spPr>
          <c:marker>
            <c:symbol val="none"/>
          </c:marker>
          <c:xVal>
            <c:numLit>
              <c:formatCode>General</c:formatCode>
              <c:ptCount val="2"/>
              <c:pt idx="0">
                <c:v>-4.026571437958375</c:v>
              </c:pt>
              <c:pt idx="1">
                <c:v>-3.778333902587538</c:v>
              </c:pt>
            </c:numLit>
          </c:xVal>
          <c:yVal>
            <c:numLit>
              <c:formatCode>General</c:formatCode>
              <c:ptCount val="2"/>
              <c:pt idx="0">
                <c:v>1.5076491680015076E-2</c:v>
              </c:pt>
              <c:pt idx="1">
                <c:v>1.5201094996387811E-2</c:v>
              </c:pt>
            </c:numLit>
          </c:yVal>
          <c:smooth val="0"/>
          <c:extLst>
            <c:ext xmlns:c16="http://schemas.microsoft.com/office/drawing/2014/chart" uri="{C3380CC4-5D6E-409C-BE32-E72D297353CC}">
              <c16:uniqueId val="{00000073-6B98-40F5-B9A6-793491A02185}"/>
            </c:ext>
          </c:extLst>
        </c:ser>
        <c:ser>
          <c:idx val="108"/>
          <c:order val="108"/>
          <c:spPr>
            <a:ln w="3175">
              <a:solidFill>
                <a:srgbClr val="000000"/>
              </a:solidFill>
              <a:prstDash val="solid"/>
            </a:ln>
          </c:spPr>
          <c:marker>
            <c:symbol val="none"/>
          </c:marker>
          <c:xVal>
            <c:numLit>
              <c:formatCode>General</c:formatCode>
              <c:ptCount val="2"/>
              <c:pt idx="0">
                <c:v>-3.8732473084196117</c:v>
              </c:pt>
              <c:pt idx="1">
                <c:v>-3.6282629203486501</c:v>
              </c:pt>
            </c:numLit>
          </c:xVal>
          <c:yVal>
            <c:numLit>
              <c:formatCode>General</c:formatCode>
              <c:ptCount val="2"/>
              <c:pt idx="0">
                <c:v>1.4914346966454389E-2</c:v>
              </c:pt>
              <c:pt idx="1">
                <c:v>1.5042424325441343E-2</c:v>
              </c:pt>
            </c:numLit>
          </c:yVal>
          <c:smooth val="0"/>
          <c:extLst>
            <c:ext xmlns:c16="http://schemas.microsoft.com/office/drawing/2014/chart" uri="{C3380CC4-5D6E-409C-BE32-E72D297353CC}">
              <c16:uniqueId val="{00000074-6B98-40F5-B9A6-793491A02185}"/>
            </c:ext>
          </c:extLst>
        </c:ser>
        <c:ser>
          <c:idx val="109"/>
          <c:order val="109"/>
          <c:spPr>
            <a:ln w="3175">
              <a:solidFill>
                <a:srgbClr val="000000"/>
              </a:solidFill>
              <a:prstDash val="solid"/>
            </a:ln>
          </c:spPr>
          <c:marker>
            <c:symbol val="none"/>
          </c:marker>
          <c:xVal>
            <c:numLit>
              <c:formatCode>General</c:formatCode>
              <c:ptCount val="2"/>
              <c:pt idx="0">
                <c:v>-3.7127064547319453</c:v>
              </c:pt>
              <c:pt idx="1">
                <c:v>-3.4711301637575316</c:v>
              </c:pt>
            </c:numLit>
          </c:xVal>
          <c:yVal>
            <c:numLit>
              <c:formatCode>General</c:formatCode>
              <c:ptCount val="2"/>
              <c:pt idx="0">
                <c:v>1.4751357649160357E-2</c:v>
              </c:pt>
              <c:pt idx="1">
                <c:v>1.4882929003442607E-2</c:v>
              </c:pt>
            </c:numLit>
          </c:yVal>
          <c:smooth val="0"/>
          <c:extLst>
            <c:ext xmlns:c16="http://schemas.microsoft.com/office/drawing/2014/chart" uri="{C3380CC4-5D6E-409C-BE32-E72D297353CC}">
              <c16:uniqueId val="{00000075-6B98-40F5-B9A6-793491A02185}"/>
            </c:ext>
          </c:extLst>
        </c:ser>
        <c:ser>
          <c:idx val="110"/>
          <c:order val="110"/>
          <c:spPr>
            <a:ln w="3175">
              <a:solidFill>
                <a:srgbClr val="000000"/>
              </a:solidFill>
              <a:prstDash val="solid"/>
            </a:ln>
          </c:spPr>
          <c:marker>
            <c:symbol val="none"/>
          </c:marker>
          <c:xVal>
            <c:numLit>
              <c:formatCode>General</c:formatCode>
              <c:ptCount val="2"/>
              <c:pt idx="0">
                <c:v>-3.5448072067633123</c:v>
              </c:pt>
              <c:pt idx="1">
                <c:v>-3.3067971968373073</c:v>
              </c:pt>
            </c:numLit>
          </c:xVal>
          <c:yVal>
            <c:numLit>
              <c:formatCode>General</c:formatCode>
              <c:ptCount val="2"/>
              <c:pt idx="0">
                <c:v>1.458775341278396E-2</c:v>
              </c:pt>
              <c:pt idx="1">
                <c:v>1.4722833866947267E-2</c:v>
              </c:pt>
            </c:numLit>
          </c:yVal>
          <c:smooth val="0"/>
          <c:extLst>
            <c:ext xmlns:c16="http://schemas.microsoft.com/office/drawing/2014/chart" uri="{C3380CC4-5D6E-409C-BE32-E72D297353CC}">
              <c16:uniqueId val="{00000076-6B98-40F5-B9A6-793491A02185}"/>
            </c:ext>
          </c:extLst>
        </c:ser>
        <c:ser>
          <c:idx val="111"/>
          <c:order val="111"/>
          <c:spPr>
            <a:ln w="3175">
              <a:solidFill>
                <a:srgbClr val="000000"/>
              </a:solidFill>
              <a:prstDash val="solid"/>
            </a:ln>
          </c:spPr>
          <c:marker>
            <c:symbol val="none"/>
          </c:marker>
          <c:xVal>
            <c:numLit>
              <c:formatCode>General</c:formatCode>
              <c:ptCount val="2"/>
              <c:pt idx="0">
                <c:v>-3.3694277214410562</c:v>
              </c:pt>
              <c:pt idx="1">
                <c:v>-2.9009011365821324</c:v>
              </c:pt>
            </c:numLit>
          </c:xVal>
          <c:yVal>
            <c:numLit>
              <c:formatCode>General</c:formatCode>
              <c:ptCount val="2"/>
              <c:pt idx="0">
                <c:v>1.4423780708309812E-2</c:v>
              </c:pt>
              <c:pt idx="1">
                <c:v>1.4701015343783125E-2</c:v>
              </c:pt>
            </c:numLit>
          </c:yVal>
          <c:smooth val="0"/>
          <c:extLst>
            <c:ext xmlns:c16="http://schemas.microsoft.com/office/drawing/2014/chart" uri="{C3380CC4-5D6E-409C-BE32-E72D297353CC}">
              <c16:uniqueId val="{00000077-6B98-40F5-B9A6-793491A02185}"/>
            </c:ext>
          </c:extLst>
        </c:ser>
        <c:ser>
          <c:idx val="112"/>
          <c:order val="112"/>
          <c:spPr>
            <a:ln w="3175">
              <a:solidFill>
                <a:srgbClr val="000000"/>
              </a:solidFill>
              <a:prstDash val="solid"/>
            </a:ln>
          </c:spPr>
          <c:marker>
            <c:symbol val="none"/>
          </c:marker>
          <c:xVal>
            <c:numLit>
              <c:formatCode>General</c:formatCode>
              <c:ptCount val="2"/>
              <c:pt idx="0">
                <c:v>-3.1864686451132647</c:v>
              </c:pt>
              <c:pt idx="1">
                <c:v>-2.9560765734004115</c:v>
              </c:pt>
            </c:numLit>
          </c:xVal>
          <c:yVal>
            <c:numLit>
              <c:formatCode>General</c:formatCode>
              <c:ptCount val="2"/>
              <c:pt idx="0">
                <c:v>1.4259702231886499E-2</c:v>
              </c:pt>
              <c:pt idx="1">
                <c:v>1.4401824969069376E-2</c:v>
              </c:pt>
            </c:numLit>
          </c:yVal>
          <c:smooth val="0"/>
          <c:extLst>
            <c:ext xmlns:c16="http://schemas.microsoft.com/office/drawing/2014/chart" uri="{C3380CC4-5D6E-409C-BE32-E72D297353CC}">
              <c16:uniqueId val="{00000078-6B98-40F5-B9A6-793491A02185}"/>
            </c:ext>
          </c:extLst>
        </c:ser>
        <c:ser>
          <c:idx val="113"/>
          <c:order val="113"/>
          <c:spPr>
            <a:ln w="3175">
              <a:solidFill>
                <a:srgbClr val="000000"/>
              </a:solidFill>
              <a:prstDash val="solid"/>
            </a:ln>
          </c:spPr>
          <c:marker>
            <c:symbol val="none"/>
          </c:marker>
          <c:xVal>
            <c:numLit>
              <c:formatCode>General</c:formatCode>
              <c:ptCount val="2"/>
              <c:pt idx="0">
                <c:v>-2.995855779328612</c:v>
              </c:pt>
              <c:pt idx="1">
                <c:v>-2.7695195454399149</c:v>
              </c:pt>
            </c:numLit>
          </c:xVal>
          <c:yVal>
            <c:numLit>
              <c:formatCode>General</c:formatCode>
              <c:ptCount val="2"/>
              <c:pt idx="0">
                <c:v>1.4095796151733538E-2</c:v>
              </c:pt>
              <c:pt idx="1">
                <c:v>1.4241440571197172E-2</c:v>
              </c:pt>
            </c:numLit>
          </c:yVal>
          <c:smooth val="0"/>
          <c:extLst>
            <c:ext xmlns:c16="http://schemas.microsoft.com/office/drawing/2014/chart" uri="{C3380CC4-5D6E-409C-BE32-E72D297353CC}">
              <c16:uniqueId val="{00000079-6B98-40F5-B9A6-793491A02185}"/>
            </c:ext>
          </c:extLst>
        </c:ser>
        <c:ser>
          <c:idx val="114"/>
          <c:order val="114"/>
          <c:spPr>
            <a:ln w="3175">
              <a:solidFill>
                <a:srgbClr val="000000"/>
              </a:solidFill>
              <a:prstDash val="solid"/>
            </a:ln>
          </c:spPr>
          <c:marker>
            <c:symbol val="none"/>
          </c:marker>
          <c:xVal>
            <c:numLit>
              <c:formatCode>General</c:formatCode>
              <c:ptCount val="2"/>
              <c:pt idx="0">
                <c:v>-2.797542702336508</c:v>
              </c:pt>
              <c:pt idx="1">
                <c:v>-2.5754287346047877</c:v>
              </c:pt>
            </c:numLit>
          </c:xVal>
          <c:yVal>
            <c:numLit>
              <c:formatCode>General</c:formatCode>
              <c:ptCount val="2"/>
              <c:pt idx="0">
                <c:v>1.3932355067550029E-2</c:v>
              </c:pt>
              <c:pt idx="1">
                <c:v>1.4081513307464042E-2</c:v>
              </c:pt>
            </c:numLit>
          </c:yVal>
          <c:smooth val="0"/>
          <c:extLst>
            <c:ext xmlns:c16="http://schemas.microsoft.com/office/drawing/2014/chart" uri="{C3380CC4-5D6E-409C-BE32-E72D297353CC}">
              <c16:uniqueId val="{0000007A-6B98-40F5-B9A6-793491A02185}"/>
            </c:ext>
          </c:extLst>
        </c:ser>
        <c:ser>
          <c:idx val="115"/>
          <c:order val="115"/>
          <c:spPr>
            <a:ln w="3175">
              <a:solidFill>
                <a:srgbClr val="000000"/>
              </a:solidFill>
              <a:prstDash val="solid"/>
            </a:ln>
          </c:spPr>
          <c:marker>
            <c:symbol val="none"/>
          </c:marker>
          <c:xVal>
            <c:numLit>
              <c:formatCode>General</c:formatCode>
              <c:ptCount val="2"/>
              <c:pt idx="0">
                <c:v>-2.5915132931495299</c:v>
              </c:pt>
              <c:pt idx="1">
                <c:v>-2.3737886177428424</c:v>
              </c:pt>
            </c:numLit>
          </c:xVal>
          <c:yVal>
            <c:numLit>
              <c:formatCode>General</c:formatCode>
              <c:ptCount val="2"/>
              <c:pt idx="0">
                <c:v>1.3769684691476037E-2</c:v>
              </c:pt>
              <c:pt idx="1">
                <c:v>1.3922342343814391E-2</c:v>
              </c:pt>
            </c:numLit>
          </c:yVal>
          <c:smooth val="0"/>
          <c:extLst>
            <c:ext xmlns:c16="http://schemas.microsoft.com/office/drawing/2014/chart" uri="{C3380CC4-5D6E-409C-BE32-E72D297353CC}">
              <c16:uniqueId val="{0000007B-6B98-40F5-B9A6-793491A02185}"/>
            </c:ext>
          </c:extLst>
        </c:ser>
        <c:ser>
          <c:idx val="116"/>
          <c:order val="116"/>
          <c:spPr>
            <a:ln w="3175">
              <a:solidFill>
                <a:srgbClr val="000000"/>
              </a:solidFill>
              <a:prstDash val="solid"/>
            </a:ln>
          </c:spPr>
          <c:marker>
            <c:symbol val="none"/>
          </c:marker>
          <c:xVal>
            <c:numLit>
              <c:formatCode>General</c:formatCode>
              <c:ptCount val="2"/>
              <c:pt idx="0">
                <c:v>-2.3777841004811022</c:v>
              </c:pt>
              <c:pt idx="1">
                <c:v>-1.9514919878507884</c:v>
              </c:pt>
            </c:numLit>
          </c:xVal>
          <c:yVal>
            <c:numLit>
              <c:formatCode>General</c:formatCode>
              <c:ptCount val="2"/>
              <c:pt idx="0">
                <c:v>1.3608102245343555E-2</c:v>
              </c:pt>
              <c:pt idx="1">
                <c:v>1.3920407227151928E-2</c:v>
              </c:pt>
            </c:numLit>
          </c:yVal>
          <c:smooth val="0"/>
          <c:extLst>
            <c:ext xmlns:c16="http://schemas.microsoft.com/office/drawing/2014/chart" uri="{C3380CC4-5D6E-409C-BE32-E72D297353CC}">
              <c16:uniqueId val="{0000007C-6B98-40F5-B9A6-793491A02185}"/>
            </c:ext>
          </c:extLst>
        </c:ser>
        <c:ser>
          <c:idx val="117"/>
          <c:order val="117"/>
          <c:spPr>
            <a:ln w="3175">
              <a:solidFill>
                <a:srgbClr val="000000"/>
              </a:solidFill>
              <a:prstDash val="solid"/>
            </a:ln>
          </c:spPr>
          <c:marker>
            <c:symbol val="none"/>
          </c:marker>
          <c:xVal>
            <c:numLit>
              <c:formatCode>General</c:formatCode>
              <c:ptCount val="2"/>
              <c:pt idx="0">
                <c:v>-2.156406495623691</c:v>
              </c:pt>
              <c:pt idx="1">
                <c:v>-1.9479603446816371</c:v>
              </c:pt>
            </c:numLit>
          </c:xVal>
          <c:yVal>
            <c:numLit>
              <c:formatCode>General</c:formatCode>
              <c:ptCount val="2"/>
              <c:pt idx="0">
                <c:v>1.3447934575631624E-2</c:v>
              </c:pt>
              <c:pt idx="1">
                <c:v>1.3607520356295923E-2</c:v>
              </c:pt>
            </c:numLit>
          </c:yVal>
          <c:smooth val="0"/>
          <c:extLst>
            <c:ext xmlns:c16="http://schemas.microsoft.com/office/drawing/2014/chart" uri="{C3380CC4-5D6E-409C-BE32-E72D297353CC}">
              <c16:uniqueId val="{0000007D-6B98-40F5-B9A6-793491A02185}"/>
            </c:ext>
          </c:extLst>
        </c:ser>
        <c:ser>
          <c:idx val="118"/>
          <c:order val="118"/>
          <c:spPr>
            <a:ln w="3175">
              <a:solidFill>
                <a:srgbClr val="000000"/>
              </a:solidFill>
              <a:prstDash val="solid"/>
            </a:ln>
          </c:spPr>
          <c:marker>
            <c:symbol val="none"/>
          </c:marker>
          <c:xVal>
            <c:numLit>
              <c:formatCode>General</c:formatCode>
              <c:ptCount val="2"/>
              <c:pt idx="0">
                <c:v>-1.9274685467120087</c:v>
              </c:pt>
              <c:pt idx="1">
                <c:v>-1.723909151193072</c:v>
              </c:pt>
            </c:numLit>
          </c:xVal>
          <c:yVal>
            <c:numLit>
              <c:formatCode>General</c:formatCode>
              <c:ptCount val="2"/>
              <c:pt idx="0">
                <c:v>1.3289515995076896E-2</c:v>
              </c:pt>
              <c:pt idx="1">
                <c:v>1.3452516235149875E-2</c:v>
              </c:pt>
            </c:numLit>
          </c:yVal>
          <c:smooth val="0"/>
          <c:extLst>
            <c:ext xmlns:c16="http://schemas.microsoft.com/office/drawing/2014/chart" uri="{C3380CC4-5D6E-409C-BE32-E72D297353CC}">
              <c16:uniqueId val="{0000007E-6B98-40F5-B9A6-793491A02185}"/>
            </c:ext>
          </c:extLst>
        </c:ser>
        <c:ser>
          <c:idx val="119"/>
          <c:order val="119"/>
          <c:spPr>
            <a:ln w="3175">
              <a:solidFill>
                <a:srgbClr val="000000"/>
              </a:solidFill>
              <a:prstDash val="solid"/>
            </a:ln>
          </c:spPr>
          <c:marker>
            <c:symbol val="none"/>
          </c:marker>
          <c:xVal>
            <c:numLit>
              <c:formatCode>General</c:formatCode>
              <c:ptCount val="2"/>
              <c:pt idx="0">
                <c:v>-1.6910965521384105</c:v>
              </c:pt>
              <c:pt idx="1">
                <c:v>-1.4925859044313796</c:v>
              </c:pt>
            </c:numLit>
          </c:xVal>
          <c:yVal>
            <c:numLit>
              <c:formatCode>General</c:formatCode>
              <c:ptCount val="2"/>
              <c:pt idx="0">
                <c:v>1.313318586808335E-2</c:v>
              </c:pt>
              <c:pt idx="1">
                <c:v>1.3299557742944548E-2</c:v>
              </c:pt>
            </c:numLit>
          </c:yVal>
          <c:smooth val="0"/>
          <c:extLst>
            <c:ext xmlns:c16="http://schemas.microsoft.com/office/drawing/2014/chart" uri="{C3380CC4-5D6E-409C-BE32-E72D297353CC}">
              <c16:uniqueId val="{0000007F-6B98-40F5-B9A6-793491A02185}"/>
            </c:ext>
          </c:extLst>
        </c:ser>
        <c:ser>
          <c:idx val="120"/>
          <c:order val="120"/>
          <c:spPr>
            <a:ln w="3175">
              <a:solidFill>
                <a:srgbClr val="000000"/>
              </a:solidFill>
              <a:prstDash val="solid"/>
            </a:ln>
          </c:spPr>
          <c:marker>
            <c:symbol val="none"/>
          </c:marker>
          <c:xVal>
            <c:numLit>
              <c:formatCode>General</c:formatCode>
              <c:ptCount val="2"/>
              <c:pt idx="0">
                <c:v>-1.4474561734172946</c:v>
              </c:pt>
              <c:pt idx="1">
                <c:v>-1.2541529530699185</c:v>
              </c:pt>
            </c:numLit>
          </c:xVal>
          <c:yVal>
            <c:numLit>
              <c:formatCode>General</c:formatCode>
              <c:ptCount val="2"/>
              <c:pt idx="0">
                <c:v>1.2979285965653065E-2</c:v>
              </c:pt>
              <c:pt idx="1">
                <c:v>1.3148979228746737E-2</c:v>
              </c:pt>
            </c:numLit>
          </c:yVal>
          <c:smooth val="0"/>
          <c:extLst>
            <c:ext xmlns:c16="http://schemas.microsoft.com/office/drawing/2014/chart" uri="{C3380CC4-5D6E-409C-BE32-E72D297353CC}">
              <c16:uniqueId val="{00000080-6B98-40F5-B9A6-793491A02185}"/>
            </c:ext>
          </c:extLst>
        </c:ser>
        <c:ser>
          <c:idx val="121"/>
          <c:order val="121"/>
          <c:spPr>
            <a:ln w="3175">
              <a:solidFill>
                <a:srgbClr val="000000"/>
              </a:solidFill>
              <a:prstDash val="solid"/>
            </a:ln>
          </c:spPr>
          <c:marker>
            <c:symbol val="none"/>
          </c:marker>
          <c:xVal>
            <c:numLit>
              <c:formatCode>General</c:formatCode>
              <c:ptCount val="2"/>
              <c:pt idx="0">
                <c:v>-1.1967531127124049</c:v>
              </c:pt>
              <c:pt idx="1">
                <c:v>-0.82091889735930601</c:v>
              </c:pt>
            </c:numLit>
          </c:xVal>
          <c:yVal>
            <c:numLit>
              <c:formatCode>General</c:formatCode>
              <c:ptCount val="2"/>
              <c:pt idx="0">
                <c:v>1.2828157624189995E-2</c:v>
              </c:pt>
              <c:pt idx="1">
                <c:v>1.3174100182621095E-2</c:v>
              </c:pt>
            </c:numLit>
          </c:yVal>
          <c:smooth val="0"/>
          <c:extLst>
            <c:ext xmlns:c16="http://schemas.microsoft.com/office/drawing/2014/chart" uri="{C3380CC4-5D6E-409C-BE32-E72D297353CC}">
              <c16:uniqueId val="{00000081-6B98-40F5-B9A6-793491A02185}"/>
            </c:ext>
          </c:extLst>
        </c:ser>
        <c:ser>
          <c:idx val="122"/>
          <c:order val="122"/>
          <c:spPr>
            <a:ln w="3175">
              <a:solidFill>
                <a:srgbClr val="000000"/>
              </a:solidFill>
              <a:prstDash val="solid"/>
            </a:ln>
          </c:spPr>
          <c:marker>
            <c:symbol val="none"/>
          </c:marker>
          <c:xVal>
            <c:numLit>
              <c:formatCode>General</c:formatCode>
              <c:ptCount val="56"/>
              <c:pt idx="0">
                <c:v>-6.4780000000000006</c:v>
              </c:pt>
              <c:pt idx="1">
                <c:v>-6.4771548667567451</c:v>
              </c:pt>
              <c:pt idx="2">
                <c:v>-6.4744781546020507</c:v>
              </c:pt>
              <c:pt idx="3">
                <c:v>-6.4697392601020702</c:v>
              </c:pt>
              <c:pt idx="4">
                <c:v>-6.4626803906648105</c:v>
              </c:pt>
              <c:pt idx="5">
                <c:v>-6.4530133649286947</c:v>
              </c:pt>
              <c:pt idx="6">
                <c:v>-6.4404160659918741</c:v>
              </c:pt>
              <c:pt idx="7">
                <c:v>-6.4245285241259857</c:v>
              </c:pt>
              <c:pt idx="8">
                <c:v>-6.4049486097896127</c:v>
              </c:pt>
              <c:pt idx="9">
                <c:v>-6.3812273246822127</c:v>
              </c:pt>
              <c:pt idx="10">
                <c:v>-6.3528636892133203</c:v>
              </c:pt>
              <c:pt idx="11">
                <c:v>-6.3192992403036552</c:v>
              </c:pt>
              <c:pt idx="12">
                <c:v>-6.2799121753649985</c:v>
              </c:pt>
              <c:pt idx="13">
                <c:v>-6.2340112084088908</c:v>
              </c:pt>
              <c:pt idx="14">
                <c:v>-6.1808292446003525</c:v>
              </c:pt>
              <c:pt idx="15">
                <c:v>-6.1195170325550308</c:v>
              </c:pt>
              <c:pt idx="16">
                <c:v>-6.085522707107951</c:v>
              </c:pt>
              <c:pt idx="17">
                <c:v>-6.0491370217777725</c:v>
              </c:pt>
              <c:pt idx="18">
                <c:v>-6.0102280619194612</c:v>
              </c:pt>
              <c:pt idx="19">
                <c:v>-5.9686577382838752</c:v>
              </c:pt>
              <c:pt idx="20">
                <c:v>-5.9242816702136096</c:v>
              </c:pt>
              <c:pt idx="21">
                <c:v>-5.8769490965930213</c:v>
              </c:pt>
              <c:pt idx="22">
                <c:v>-5.8265028202105924</c:v>
              </c:pt>
              <c:pt idx="23">
                <c:v>-5.7727791918245215</c:v>
              </c:pt>
              <c:pt idx="24">
                <c:v>-5.7156081408752861</c:v>
              </c:pt>
              <c:pt idx="25">
                <c:v>-5.6548132604507</c:v>
              </c:pt>
              <c:pt idx="26">
                <c:v>-5.5902119547643538</c:v>
              </c:pt>
              <c:pt idx="27">
                <c:v>-5.5216156580385984</c:v>
              </c:pt>
              <c:pt idx="28">
                <c:v>-5.4488301342643446</c:v>
              </c:pt>
              <c:pt idx="29">
                <c:v>-5.3716558678134341</c:v>
              </c:pt>
              <c:pt idx="30">
                <c:v>-5.2898885552707755</c:v>
              </c:pt>
              <c:pt idx="31">
                <c:v>-5.2033197090931331</c:v>
              </c:pt>
              <c:pt idx="32">
                <c:v>-5.1117373837437654</c:v>
              </c:pt>
              <c:pt idx="33">
                <c:v>-5.0149270347463339</c:v>
              </c:pt>
              <c:pt idx="34">
                <c:v>-4.9126725205921735</c:v>
              </c:pt>
              <c:pt idx="35">
                <c:v>-4.8047572565634464</c:v>
              </c:pt>
              <c:pt idx="36">
                <c:v>-4.6909655282406417</c:v>
              </c:pt>
              <c:pt idx="37">
                <c:v>-4.5710839706874209</c:v>
              </c:pt>
              <c:pt idx="38">
                <c:v>-4.4449032169939464</c:v>
              </c:pt>
              <c:pt idx="39">
                <c:v>-4.312219716966025</c:v>
              </c:pt>
              <c:pt idx="40">
                <c:v>-4.1728377232389242</c:v>
              </c:pt>
              <c:pt idx="41">
                <c:v>-4.026571437958375</c:v>
              </c:pt>
              <c:pt idx="42">
                <c:v>-3.8732473084196117</c:v>
              </c:pt>
              <c:pt idx="43">
                <c:v>-3.7127064547319453</c:v>
              </c:pt>
              <c:pt idx="44">
                <c:v>-3.5448072067633123</c:v>
              </c:pt>
              <c:pt idx="45">
                <c:v>-3.3694277214410562</c:v>
              </c:pt>
              <c:pt idx="46">
                <c:v>-3.1864686451132647</c:v>
              </c:pt>
              <c:pt idx="47">
                <c:v>-2.995855779328612</c:v>
              </c:pt>
              <c:pt idx="48">
                <c:v>-2.797542702336508</c:v>
              </c:pt>
              <c:pt idx="49">
                <c:v>-2.5915132931495299</c:v>
              </c:pt>
              <c:pt idx="50">
                <c:v>-2.3777841004811022</c:v>
              </c:pt>
              <c:pt idx="51">
                <c:v>-2.156406495623691</c:v>
              </c:pt>
              <c:pt idx="52">
                <c:v>-1.9274685467120087</c:v>
              </c:pt>
              <c:pt idx="53">
                <c:v>-1.6910965521384105</c:v>
              </c:pt>
              <c:pt idx="54">
                <c:v>-1.4474561734172946</c:v>
              </c:pt>
              <c:pt idx="55">
                <c:v>-1.1967531127124049</c:v>
              </c:pt>
            </c:numLit>
          </c:xVal>
          <c:yVal>
            <c:numLit>
              <c:formatCode>General</c:formatCode>
              <c:ptCount val="56"/>
              <c:pt idx="0">
                <c:v>2.0930000000000001E-2</c:v>
              </c:pt>
              <c:pt idx="1">
                <c:v>2.0816221982499338E-2</c:v>
              </c:pt>
              <c:pt idx="2">
                <c:v>2.0697747630638599E-2</c:v>
              </c:pt>
              <c:pt idx="3">
                <c:v>2.0574329599127333E-2</c:v>
              </c:pt>
              <c:pt idx="4">
                <c:v>2.0445707961793541E-2</c:v>
              </c:pt>
              <c:pt idx="5">
                <c:v>2.0311610158401223E-2</c:v>
              </c:pt>
              <c:pt idx="6">
                <c:v>2.0171751126828213E-2</c:v>
              </c:pt>
              <c:pt idx="7">
                <c:v>2.0025833674800028E-2</c:v>
              </c:pt>
              <c:pt idx="8">
                <c:v>1.9873549157153957E-2</c:v>
              </c:pt>
              <c:pt idx="9">
                <c:v>1.9714578538365699E-2</c:v>
              </c:pt>
              <c:pt idx="10">
                <c:v>1.9548593935935225E-2</c:v>
              </c:pt>
              <c:pt idx="11">
                <c:v>1.9375260758225134E-2</c:v>
              </c:pt>
              <c:pt idx="12">
                <c:v>1.9194240570334139E-2</c:v>
              </c:pt>
              <c:pt idx="13">
                <c:v>1.900519484317249E-2</c:v>
              </c:pt>
              <c:pt idx="14">
                <c:v>1.8807789763299193E-2</c:v>
              </c:pt>
              <c:pt idx="15">
                <c:v>1.86017023029456E-2</c:v>
              </c:pt>
              <c:pt idx="16">
                <c:v>1.8495306506800622E-2</c:v>
              </c:pt>
              <c:pt idx="17">
                <c:v>1.8386627768883546E-2</c:v>
              </c:pt>
              <c:pt idx="18">
                <c:v>1.8275632385817388E-2</c:v>
              </c:pt>
              <c:pt idx="19">
                <c:v>1.8162289062279902E-2</c:v>
              </c:pt>
              <c:pt idx="20">
                <c:v>1.8046569310441331E-2</c:v>
              </c:pt>
              <c:pt idx="21">
                <c:v>1.7928447884993152E-2</c:v>
              </c:pt>
              <c:pt idx="22">
                <c:v>1.780790325517077E-2</c:v>
              </c:pt>
              <c:pt idx="23">
                <c:v>1.7684918114909066E-2</c:v>
              </c:pt>
              <c:pt idx="24">
                <c:v>1.7559479931924228E-2</c:v>
              </c:pt>
              <c:pt idx="25">
                <c:v>1.7431581536076757E-2</c:v>
              </c:pt>
              <c:pt idx="26">
                <c:v>1.730122174682644E-2</c:v>
              </c:pt>
              <c:pt idx="27">
                <c:v>1.7168406038928632E-2</c:v>
              </c:pt>
              <c:pt idx="28">
                <c:v>1.7033147244730054E-2</c:v>
              </c:pt>
              <c:pt idx="29">
                <c:v>1.6895466290491552E-2</c:v>
              </c:pt>
              <c:pt idx="30">
                <c:v>1.6755392963085362E-2</c:v>
              </c:pt>
              <c:pt idx="31">
                <c:v>1.6612966702180775E-2</c:v>
              </c:pt>
              <c:pt idx="32">
                <c:v>1.6468237411641461E-2</c:v>
              </c:pt>
              <c:pt idx="33">
                <c:v>1.6321266282315831E-2</c:v>
              </c:pt>
              <c:pt idx="34">
                <c:v>1.6172126616717374E-2</c:v>
              </c:pt>
              <c:pt idx="35">
                <c:v>1.602090464428578E-2</c:v>
              </c:pt>
              <c:pt idx="36">
                <c:v>1.5867700314020336E-2</c:v>
              </c:pt>
              <c:pt idx="37">
                <c:v>1.5712628049326046E-2</c:v>
              </c:pt>
              <c:pt idx="38">
                <c:v>1.5555817447964507E-2</c:v>
              </c:pt>
              <c:pt idx="39">
                <c:v>1.5397413908124226E-2</c:v>
              </c:pt>
              <c:pt idx="40">
                <c:v>1.5237579159901987E-2</c:v>
              </c:pt>
              <c:pt idx="41">
                <c:v>1.5076491680015076E-2</c:v>
              </c:pt>
              <c:pt idx="42">
                <c:v>1.4914346966454389E-2</c:v>
              </c:pt>
              <c:pt idx="43">
                <c:v>1.4751357649160357E-2</c:v>
              </c:pt>
              <c:pt idx="44">
                <c:v>1.458775341278396E-2</c:v>
              </c:pt>
              <c:pt idx="45">
                <c:v>1.4423780708309812E-2</c:v>
              </c:pt>
              <c:pt idx="46">
                <c:v>1.4259702231886499E-2</c:v>
              </c:pt>
              <c:pt idx="47">
                <c:v>1.4095796151733538E-2</c:v>
              </c:pt>
              <c:pt idx="48">
                <c:v>1.3932355067550029E-2</c:v>
              </c:pt>
              <c:pt idx="49">
                <c:v>1.3769684691476037E-2</c:v>
              </c:pt>
              <c:pt idx="50">
                <c:v>1.3608102245343555E-2</c:v>
              </c:pt>
              <c:pt idx="51">
                <c:v>1.3447934575631624E-2</c:v>
              </c:pt>
              <c:pt idx="52">
                <c:v>1.3289515995076896E-2</c:v>
              </c:pt>
              <c:pt idx="53">
                <c:v>1.313318586808335E-2</c:v>
              </c:pt>
              <c:pt idx="54">
                <c:v>1.2979285965653065E-2</c:v>
              </c:pt>
              <c:pt idx="55">
                <c:v>1.2828157624189995E-2</c:v>
              </c:pt>
            </c:numLit>
          </c:yVal>
          <c:smooth val="1"/>
          <c:extLst>
            <c:ext xmlns:c16="http://schemas.microsoft.com/office/drawing/2014/chart" uri="{C3380CC4-5D6E-409C-BE32-E72D297353CC}">
              <c16:uniqueId val="{00000082-6B98-40F5-B9A6-793491A02185}"/>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D000-47AA-A0C0-9824653CFAE9}"/>
            </c:ext>
          </c:extLst>
        </c:ser>
        <c:ser>
          <c:idx val="1"/>
          <c:order val="1"/>
          <c:spPr>
            <a:ln w="3175">
              <a:solidFill>
                <a:srgbClr val="000000"/>
              </a:solidFill>
              <a:prstDash val="solid"/>
            </a:ln>
          </c:spPr>
          <c:marker>
            <c:symbol val="none"/>
          </c:marker>
          <c:xVal>
            <c:numLit>
              <c:formatCode>General</c:formatCode>
              <c:ptCount val="2"/>
              <c:pt idx="0">
                <c:v>19.065942353411515</c:v>
              </c:pt>
              <c:pt idx="1">
                <c:v>18.66787537570767</c:v>
              </c:pt>
            </c:numLit>
          </c:xVal>
          <c:yVal>
            <c:numLit>
              <c:formatCode>General</c:formatCode>
              <c:ptCount val="2"/>
              <c:pt idx="0">
                <c:v>3.0559524052679921E-2</c:v>
              </c:pt>
              <c:pt idx="1">
                <c:v>3.0227471499139232E-2</c:v>
              </c:pt>
            </c:numLit>
          </c:yVal>
          <c:smooth val="0"/>
          <c:extLst>
            <c:ext xmlns:c16="http://schemas.microsoft.com/office/drawing/2014/chart" uri="{C3380CC4-5D6E-409C-BE32-E72D297353CC}">
              <c16:uniqueId val="{00000001-D000-47AA-A0C0-9824653CFAE9}"/>
            </c:ext>
          </c:extLst>
        </c:ser>
        <c:ser>
          <c:idx val="2"/>
          <c:order val="2"/>
          <c:spPr>
            <a:ln w="3175">
              <a:solidFill>
                <a:srgbClr val="000000"/>
              </a:solidFill>
              <a:prstDash val="solid"/>
            </a:ln>
          </c:spPr>
          <c:marker>
            <c:symbol val="none"/>
          </c:marker>
          <c:xVal>
            <c:numLit>
              <c:formatCode>General</c:formatCode>
              <c:ptCount val="2"/>
              <c:pt idx="0">
                <c:v>18.790543749866966</c:v>
              </c:pt>
              <c:pt idx="1">
                <c:v>18.596258512800294</c:v>
              </c:pt>
            </c:numLit>
          </c:xVal>
          <c:yVal>
            <c:numLit>
              <c:formatCode>General</c:formatCode>
              <c:ptCount val="2"/>
              <c:pt idx="0">
                <c:v>3.0736362467444784E-2</c:v>
              </c:pt>
              <c:pt idx="1">
                <c:v>3.0567287252488837E-2</c:v>
              </c:pt>
            </c:numLit>
          </c:yVal>
          <c:smooth val="0"/>
          <c:extLst>
            <c:ext xmlns:c16="http://schemas.microsoft.com/office/drawing/2014/chart" uri="{C3380CC4-5D6E-409C-BE32-E72D297353CC}">
              <c16:uniqueId val="{00000002-D000-47AA-A0C0-9824653CFAE9}"/>
            </c:ext>
          </c:extLst>
        </c:ser>
        <c:ser>
          <c:idx val="3"/>
          <c:order val="3"/>
          <c:spPr>
            <a:ln w="3175">
              <a:solidFill>
                <a:srgbClr val="000000"/>
              </a:solidFill>
              <a:prstDash val="solid"/>
            </a:ln>
          </c:spPr>
          <c:marker>
            <c:symbol val="none"/>
          </c:marker>
          <c:xVal>
            <c:numLit>
              <c:formatCode>General</c:formatCode>
              <c:ptCount val="2"/>
              <c:pt idx="0">
                <c:v>18.499745455246352</c:v>
              </c:pt>
              <c:pt idx="1">
                <c:v>18.121202508513718</c:v>
              </c:pt>
            </c:numLit>
          </c:xVal>
          <c:yVal>
            <c:numLit>
              <c:formatCode>General</c:formatCode>
              <c:ptCount val="2"/>
              <c:pt idx="0">
                <c:v>3.0915182575025162E-2</c:v>
              </c:pt>
              <c:pt idx="1">
                <c:v>3.0570865934507054E-2</c:v>
              </c:pt>
            </c:numLit>
          </c:yVal>
          <c:smooth val="0"/>
          <c:extLst>
            <c:ext xmlns:c16="http://schemas.microsoft.com/office/drawing/2014/chart" uri="{C3380CC4-5D6E-409C-BE32-E72D297353CC}">
              <c16:uniqueId val="{00000003-D000-47AA-A0C0-9824653CFAE9}"/>
            </c:ext>
          </c:extLst>
        </c:ser>
        <c:ser>
          <c:idx val="4"/>
          <c:order val="4"/>
          <c:spPr>
            <a:ln w="3175">
              <a:solidFill>
                <a:srgbClr val="000000"/>
              </a:solidFill>
              <a:prstDash val="solid"/>
            </a:ln>
          </c:spPr>
          <c:marker>
            <c:symbol val="none"/>
          </c:marker>
          <c:xVal>
            <c:numLit>
              <c:formatCode>General</c:formatCode>
              <c:ptCount val="2"/>
              <c:pt idx="0">
                <c:v>18.192821137276322</c:v>
              </c:pt>
              <c:pt idx="1">
                <c:v>18.008841462495695</c:v>
              </c:pt>
            </c:numLit>
          </c:xVal>
          <c:yVal>
            <c:numLit>
              <c:formatCode>General</c:formatCode>
              <c:ptCount val="2"/>
              <c:pt idx="0">
                <c:v>3.1095573924337105E-2</c:v>
              </c:pt>
              <c:pt idx="1">
                <c:v>3.092030540840026E-2</c:v>
              </c:pt>
            </c:numLit>
          </c:yVal>
          <c:smooth val="0"/>
          <c:extLst>
            <c:ext xmlns:c16="http://schemas.microsoft.com/office/drawing/2014/chart" uri="{C3380CC4-5D6E-409C-BE32-E72D297353CC}">
              <c16:uniqueId val="{00000004-D000-47AA-A0C0-9824653CFAE9}"/>
            </c:ext>
          </c:extLst>
        </c:ser>
        <c:ser>
          <c:idx val="5"/>
          <c:order val="5"/>
          <c:spPr>
            <a:ln w="3175">
              <a:solidFill>
                <a:srgbClr val="000000"/>
              </a:solidFill>
              <a:prstDash val="solid"/>
            </a:ln>
          </c:spPr>
          <c:marker>
            <c:symbol val="none"/>
          </c:marker>
          <c:xVal>
            <c:numLit>
              <c:formatCode>General</c:formatCode>
              <c:ptCount val="2"/>
              <c:pt idx="0">
                <c:v>17.869058802111013</c:v>
              </c:pt>
              <c:pt idx="1">
                <c:v>17.512263671003737</c:v>
              </c:pt>
            </c:numLit>
          </c:xVal>
          <c:yVal>
            <c:numLit>
              <c:formatCode>General</c:formatCode>
              <c:ptCount val="2"/>
              <c:pt idx="0">
                <c:v>3.1277058802111013E-2</c:v>
              </c:pt>
              <c:pt idx="1">
                <c:v>3.0920263671003735E-2</c:v>
              </c:pt>
            </c:numLit>
          </c:yVal>
          <c:smooth val="0"/>
          <c:extLst>
            <c:ext xmlns:c16="http://schemas.microsoft.com/office/drawing/2014/chart" uri="{C3380CC4-5D6E-409C-BE32-E72D297353CC}">
              <c16:uniqueId val="{00000005-D000-47AA-A0C0-9824653CFAE9}"/>
            </c:ext>
          </c:extLst>
        </c:ser>
        <c:ser>
          <c:idx val="6"/>
          <c:order val="6"/>
          <c:spPr>
            <a:ln w="3175">
              <a:solidFill>
                <a:srgbClr val="000000"/>
              </a:solidFill>
              <a:prstDash val="solid"/>
            </a:ln>
          </c:spPr>
          <c:marker>
            <c:symbol val="none"/>
          </c:marker>
          <c:xVal>
            <c:numLit>
              <c:formatCode>General</c:formatCode>
              <c:ptCount val="2"/>
              <c:pt idx="0">
                <c:v>17.527772872567621</c:v>
              </c:pt>
              <c:pt idx="1">
                <c:v>17.355259547178523</c:v>
              </c:pt>
            </c:numLit>
          </c:xVal>
          <c:yVal>
            <c:numLit>
              <c:formatCode>General</c:formatCode>
              <c:ptCount val="2"/>
              <c:pt idx="0">
                <c:v>3.145908735335045E-2</c:v>
              </c:pt>
              <c:pt idx="1">
                <c:v>3.1277551364499577E-2</c:v>
              </c:pt>
            </c:numLit>
          </c:yVal>
          <c:smooth val="0"/>
          <c:extLst>
            <c:ext xmlns:c16="http://schemas.microsoft.com/office/drawing/2014/chart" uri="{C3380CC4-5D6E-409C-BE32-E72D297353CC}">
              <c16:uniqueId val="{00000006-D000-47AA-A0C0-9824653CFAE9}"/>
            </c:ext>
          </c:extLst>
        </c:ser>
        <c:ser>
          <c:idx val="7"/>
          <c:order val="7"/>
          <c:spPr>
            <a:ln w="3175">
              <a:solidFill>
                <a:srgbClr val="000000"/>
              </a:solidFill>
              <a:prstDash val="solid"/>
            </a:ln>
          </c:spPr>
          <c:marker>
            <c:symbol val="none"/>
          </c:marker>
          <c:xVal>
            <c:numLit>
              <c:formatCode>General</c:formatCode>
              <c:ptCount val="2"/>
              <c:pt idx="0">
                <c:v>17.168318281619168</c:v>
              </c:pt>
              <c:pt idx="1">
                <c:v>16.83568661673575</c:v>
              </c:pt>
            </c:numLit>
          </c:xVal>
          <c:yVal>
            <c:numLit>
              <c:formatCode>General</c:formatCode>
              <c:ptCount val="2"/>
              <c:pt idx="0">
                <c:v>3.1641033323740492E-2</c:v>
              </c:pt>
              <c:pt idx="1">
                <c:v>3.1271687347059783E-2</c:v>
              </c:pt>
            </c:numLit>
          </c:yVal>
          <c:smooth val="0"/>
          <c:extLst>
            <c:ext xmlns:c16="http://schemas.microsoft.com/office/drawing/2014/chart" uri="{C3380CC4-5D6E-409C-BE32-E72D297353CC}">
              <c16:uniqueId val="{00000007-D000-47AA-A0C0-9824653CFAE9}"/>
            </c:ext>
          </c:extLst>
        </c:ser>
        <c:ser>
          <c:idx val="8"/>
          <c:order val="8"/>
          <c:spPr>
            <a:ln w="3175">
              <a:solidFill>
                <a:srgbClr val="000000"/>
              </a:solidFill>
              <a:prstDash val="solid"/>
            </a:ln>
          </c:spPr>
          <c:marker>
            <c:symbol val="none"/>
          </c:marker>
          <c:xVal>
            <c:numLit>
              <c:formatCode>General</c:formatCode>
              <c:ptCount val="2"/>
              <c:pt idx="0">
                <c:v>16.790106626063352</c:v>
              </c:pt>
              <c:pt idx="1">
                <c:v>16.630311684234673</c:v>
              </c:pt>
            </c:numLit>
          </c:xVal>
          <c:yVal>
            <c:numLit>
              <c:formatCode>General</c:formatCode>
              <c:ptCount val="2"/>
              <c:pt idx="0">
                <c:v>3.1822190731097821E-2</c:v>
              </c:pt>
              <c:pt idx="1">
                <c:v>3.1634394339182338E-2</c:v>
              </c:pt>
            </c:numLit>
          </c:yVal>
          <c:smooth val="0"/>
          <c:extLst>
            <c:ext xmlns:c16="http://schemas.microsoft.com/office/drawing/2014/chart" uri="{C3380CC4-5D6E-409C-BE32-E72D297353CC}">
              <c16:uniqueId val="{00000008-D000-47AA-A0C0-9824653CFAE9}"/>
            </c:ext>
          </c:extLst>
        </c:ser>
        <c:ser>
          <c:idx val="9"/>
          <c:order val="9"/>
          <c:spPr>
            <a:ln w="3175">
              <a:solidFill>
                <a:srgbClr val="000000"/>
              </a:solidFill>
              <a:prstDash val="solid"/>
            </a:ln>
          </c:spPr>
          <c:marker>
            <c:symbol val="none"/>
          </c:marker>
          <c:xVal>
            <c:numLit>
              <c:formatCode>General</c:formatCode>
              <c:ptCount val="2"/>
              <c:pt idx="0">
                <c:v>16.392624340635372</c:v>
              </c:pt>
              <c:pt idx="1">
                <c:v>16.086740742682426</c:v>
              </c:pt>
            </c:numLit>
          </c:xVal>
          <c:yVal>
            <c:numLit>
              <c:formatCode>General</c:formatCode>
              <c:ptCount val="2"/>
              <c:pt idx="0">
                <c:v>3.2001771819701222E-2</c:v>
              </c:pt>
              <c:pt idx="1">
                <c:v>3.1619986584539107E-2</c:v>
              </c:pt>
            </c:numLit>
          </c:yVal>
          <c:smooth val="0"/>
          <c:extLst>
            <c:ext xmlns:c16="http://schemas.microsoft.com/office/drawing/2014/chart" uri="{C3380CC4-5D6E-409C-BE32-E72D297353CC}">
              <c16:uniqueId val="{00000009-D000-47AA-A0C0-9824653CFAE9}"/>
            </c:ext>
          </c:extLst>
        </c:ser>
        <c:ser>
          <c:idx val="10"/>
          <c:order val="10"/>
          <c:spPr>
            <a:ln w="3175">
              <a:solidFill>
                <a:srgbClr val="000000"/>
              </a:solidFill>
              <a:prstDash val="solid"/>
            </a:ln>
          </c:spPr>
          <c:marker>
            <c:symbol val="none"/>
          </c:marker>
          <c:xVal>
            <c:numLit>
              <c:formatCode>General</c:formatCode>
              <c:ptCount val="2"/>
              <c:pt idx="0">
                <c:v>15.9754527418382</c:v>
              </c:pt>
              <c:pt idx="1">
                <c:v>15.829703556634092</c:v>
              </c:pt>
            </c:numLit>
          </c:xVal>
          <c:yVal>
            <c:numLit>
              <c:formatCode>General</c:formatCode>
              <c:ptCount val="2"/>
              <c:pt idx="0">
                <c:v>3.2178906690858773E-2</c:v>
              </c:pt>
              <c:pt idx="1">
                <c:v>3.1984960023775003E-2</c:v>
              </c:pt>
            </c:numLit>
          </c:yVal>
          <c:smooth val="0"/>
          <c:extLst>
            <c:ext xmlns:c16="http://schemas.microsoft.com/office/drawing/2014/chart" uri="{C3380CC4-5D6E-409C-BE32-E72D297353CC}">
              <c16:uniqueId val="{0000000A-D000-47AA-A0C0-9824653CFAE9}"/>
            </c:ext>
          </c:extLst>
        </c:ser>
        <c:ser>
          <c:idx val="11"/>
          <c:order val="11"/>
          <c:spPr>
            <a:ln w="3175">
              <a:solidFill>
                <a:srgbClr val="000000"/>
              </a:solidFill>
              <a:prstDash val="solid"/>
            </a:ln>
          </c:spPr>
          <c:marker>
            <c:symbol val="none"/>
          </c:marker>
          <c:xVal>
            <c:numLit>
              <c:formatCode>General</c:formatCode>
              <c:ptCount val="2"/>
              <c:pt idx="0">
                <c:v>15.538289652700842</c:v>
              </c:pt>
              <c:pt idx="1">
                <c:v>15.261865871573226</c:v>
              </c:pt>
            </c:numLit>
          </c:xVal>
          <c:yVal>
            <c:numLit>
              <c:formatCode>General</c:formatCode>
              <c:ptCount val="2"/>
              <c:pt idx="0">
                <c:v>3.2352645029202619E-2</c:v>
              </c:pt>
              <c:pt idx="1">
                <c:v>3.1958760717850802E-2</c:v>
              </c:pt>
            </c:numLit>
          </c:yVal>
          <c:smooth val="0"/>
          <c:extLst>
            <c:ext xmlns:c16="http://schemas.microsoft.com/office/drawing/2014/chart" uri="{C3380CC4-5D6E-409C-BE32-E72D297353CC}">
              <c16:uniqueId val="{0000000B-D000-47AA-A0C0-9824653CFAE9}"/>
            </c:ext>
          </c:extLst>
        </c:ser>
        <c:ser>
          <c:idx val="12"/>
          <c:order val="12"/>
          <c:spPr>
            <a:ln w="3175">
              <a:solidFill>
                <a:srgbClr val="000000"/>
              </a:solidFill>
              <a:prstDash val="solid"/>
            </a:ln>
          </c:spPr>
          <c:marker>
            <c:symbol val="none"/>
          </c:marker>
          <c:xVal>
            <c:numLit>
              <c:formatCode>General</c:formatCode>
              <c:ptCount val="2"/>
              <c:pt idx="0">
                <c:v>15.08097215642557</c:v>
              </c:pt>
              <c:pt idx="1">
                <c:v>14.950645050280301</c:v>
              </c:pt>
            </c:numLit>
          </c:xVal>
          <c:yVal>
            <c:numLit>
              <c:formatCode>General</c:formatCode>
              <c:ptCount val="2"/>
              <c:pt idx="0">
                <c:v>3.2521960349640437E-2</c:v>
              </c:pt>
              <c:pt idx="1">
                <c:v>3.2322098964301806E-2</c:v>
              </c:pt>
            </c:numLit>
          </c:yVal>
          <c:smooth val="0"/>
          <c:extLst>
            <c:ext xmlns:c16="http://schemas.microsoft.com/office/drawing/2014/chart" uri="{C3380CC4-5D6E-409C-BE32-E72D297353CC}">
              <c16:uniqueId val="{0000000C-D000-47AA-A0C0-9824653CFAE9}"/>
            </c:ext>
          </c:extLst>
        </c:ser>
        <c:ser>
          <c:idx val="13"/>
          <c:order val="13"/>
          <c:spPr>
            <a:ln w="3175">
              <a:solidFill>
                <a:srgbClr val="000000"/>
              </a:solidFill>
              <a:prstDash val="solid"/>
            </a:ln>
          </c:spPr>
          <c:marker>
            <c:symbol val="none"/>
          </c:marker>
          <c:xVal>
            <c:numLit>
              <c:formatCode>General</c:formatCode>
              <c:ptCount val="2"/>
              <c:pt idx="0">
                <c:v>14.603499843901423</c:v>
              </c:pt>
              <c:pt idx="1">
                <c:v>14.359310194111718</c:v>
              </c:pt>
            </c:numLit>
          </c:xVal>
          <c:yVal>
            <c:numLit>
              <c:formatCode>General</c:formatCode>
              <c:ptCount val="2"/>
              <c:pt idx="0">
                <c:v>3.2685757166608632E-2</c:v>
              </c:pt>
              <c:pt idx="1">
                <c:v>3.2280386229829018E-2</c:v>
              </c:pt>
            </c:numLit>
          </c:yVal>
          <c:smooth val="0"/>
          <c:extLst>
            <c:ext xmlns:c16="http://schemas.microsoft.com/office/drawing/2014/chart" uri="{C3380CC4-5D6E-409C-BE32-E72D297353CC}">
              <c16:uniqueId val="{0000000D-D000-47AA-A0C0-9824653CFAE9}"/>
            </c:ext>
          </c:extLst>
        </c:ser>
        <c:ser>
          <c:idx val="14"/>
          <c:order val="14"/>
          <c:spPr>
            <a:ln w="3175">
              <a:solidFill>
                <a:srgbClr val="000000"/>
              </a:solidFill>
              <a:prstDash val="solid"/>
            </a:ln>
          </c:spPr>
          <c:marker>
            <c:symbol val="none"/>
          </c:marker>
          <c:xVal>
            <c:numLit>
              <c:formatCode>General</c:formatCode>
              <c:ptCount val="2"/>
              <c:pt idx="0">
                <c:v>14.106057727229052</c:v>
              </c:pt>
              <c:pt idx="1">
                <c:v>13.992539490552689</c:v>
              </c:pt>
            </c:numLit>
          </c:xVal>
          <c:yVal>
            <c:numLit>
              <c:formatCode>General</c:formatCode>
              <c:ptCount val="2"/>
              <c:pt idx="0">
                <c:v>3.2842881427324513E-2</c:v>
              </c:pt>
              <c:pt idx="1">
                <c:v>3.2637486919956847E-2</c:v>
              </c:pt>
            </c:numLit>
          </c:yVal>
          <c:smooth val="0"/>
          <c:extLst>
            <c:ext xmlns:c16="http://schemas.microsoft.com/office/drawing/2014/chart" uri="{C3380CC4-5D6E-409C-BE32-E72D297353CC}">
              <c16:uniqueId val="{0000000E-D000-47AA-A0C0-9824653CFAE9}"/>
            </c:ext>
          </c:extLst>
        </c:ser>
        <c:ser>
          <c:idx val="15"/>
          <c:order val="15"/>
          <c:spPr>
            <a:ln w="3175">
              <a:solidFill>
                <a:srgbClr val="000000"/>
              </a:solidFill>
              <a:prstDash val="solid"/>
            </a:ln>
          </c:spPr>
          <c:marker>
            <c:symbol val="none"/>
          </c:marker>
          <c:xVal>
            <c:numLit>
              <c:formatCode>General</c:formatCode>
              <c:ptCount val="2"/>
              <c:pt idx="0">
                <c:v>13.589037803579986</c:v>
              </c:pt>
              <c:pt idx="1">
                <c:v>13.379829603456537</c:v>
              </c:pt>
            </c:numLit>
          </c:xVal>
          <c:yVal>
            <c:numLit>
              <c:formatCode>General</c:formatCode>
              <c:ptCount val="2"/>
              <c:pt idx="0">
                <c:v>3.2992134447433728E-2</c:v>
              </c:pt>
              <c:pt idx="1">
                <c:v>3.2576198776832564E-2</c:v>
              </c:pt>
            </c:numLit>
          </c:yVal>
          <c:smooth val="0"/>
          <c:extLst>
            <c:ext xmlns:c16="http://schemas.microsoft.com/office/drawing/2014/chart" uri="{C3380CC4-5D6E-409C-BE32-E72D297353CC}">
              <c16:uniqueId val="{0000000F-D000-47AA-A0C0-9824653CFAE9}"/>
            </c:ext>
          </c:extLst>
        </c:ser>
        <c:ser>
          <c:idx val="16"/>
          <c:order val="16"/>
          <c:spPr>
            <a:ln w="3175">
              <a:solidFill>
                <a:srgbClr val="000000"/>
              </a:solidFill>
              <a:prstDash val="solid"/>
            </a:ln>
          </c:spPr>
          <c:marker>
            <c:symbol val="none"/>
          </c:marker>
          <c:xVal>
            <c:numLit>
              <c:formatCode>General</c:formatCode>
              <c:ptCount val="2"/>
              <c:pt idx="0">
                <c:v>13.053058090665036</c:v>
              </c:pt>
              <c:pt idx="1">
                <c:v>12.957695020136329</c:v>
              </c:pt>
            </c:numLit>
          </c:xVal>
          <c:yVal>
            <c:numLit>
              <c:formatCode>General</c:formatCode>
              <c:ptCount val="2"/>
              <c:pt idx="0">
                <c:v>3.3132290436861909E-2</c:v>
              </c:pt>
              <c:pt idx="1">
                <c:v>3.2921906118984975E-2</c:v>
              </c:pt>
            </c:numLit>
          </c:yVal>
          <c:smooth val="0"/>
          <c:extLst>
            <c:ext xmlns:c16="http://schemas.microsoft.com/office/drawing/2014/chart" uri="{C3380CC4-5D6E-409C-BE32-E72D297353CC}">
              <c16:uniqueId val="{00000010-D000-47AA-A0C0-9824653CFAE9}"/>
            </c:ext>
          </c:extLst>
        </c:ser>
        <c:ser>
          <c:idx val="17"/>
          <c:order val="17"/>
          <c:spPr>
            <a:ln w="3175">
              <a:solidFill>
                <a:srgbClr val="000000"/>
              </a:solidFill>
              <a:prstDash val="solid"/>
            </a:ln>
          </c:spPr>
          <c:marker>
            <c:symbol val="none"/>
          </c:marker>
          <c:xVal>
            <c:numLit>
              <c:formatCode>General</c:formatCode>
              <c:ptCount val="2"/>
              <c:pt idx="0">
                <c:v>12.498977840522226</c:v>
              </c:pt>
              <c:pt idx="1">
                <c:v>12.327357914986976</c:v>
              </c:pt>
            </c:numLit>
          </c:xVal>
          <c:yVal>
            <c:numLit>
              <c:formatCode>General</c:formatCode>
              <c:ptCount val="2"/>
              <c:pt idx="0">
                <c:v>3.3262117506318627E-2</c:v>
              </c:pt>
              <c:pt idx="1">
                <c:v>3.2836872075066262E-2</c:v>
              </c:pt>
            </c:numLit>
          </c:yVal>
          <c:smooth val="0"/>
          <c:extLst>
            <c:ext xmlns:c16="http://schemas.microsoft.com/office/drawing/2014/chart" uri="{C3380CC4-5D6E-409C-BE32-E72D297353CC}">
              <c16:uniqueId val="{00000011-D000-47AA-A0C0-9824653CFAE9}"/>
            </c:ext>
          </c:extLst>
        </c:ser>
        <c:ser>
          <c:idx val="18"/>
          <c:order val="18"/>
          <c:spPr>
            <a:ln w="3175">
              <a:solidFill>
                <a:srgbClr val="000000"/>
              </a:solidFill>
              <a:prstDash val="solid"/>
            </a:ln>
          </c:spPr>
          <c:marker>
            <c:symbol val="none"/>
          </c:marker>
          <c:xVal>
            <c:numLit>
              <c:formatCode>General</c:formatCode>
              <c:ptCount val="2"/>
              <c:pt idx="0">
                <c:v>11.927907597824111</c:v>
              </c:pt>
              <c:pt idx="1">
                <c:v>11.851943673723694</c:v>
              </c:pt>
            </c:numLit>
          </c:xVal>
          <c:yVal>
            <c:numLit>
              <c:formatCode>General</c:formatCode>
              <c:ptCount val="2"/>
              <c:pt idx="0">
                <c:v>3.3380401807334426E-2</c:v>
              </c:pt>
              <c:pt idx="1">
                <c:v>3.3165739707207965E-2</c:v>
              </c:pt>
            </c:numLit>
          </c:yVal>
          <c:smooth val="0"/>
          <c:extLst>
            <c:ext xmlns:c16="http://schemas.microsoft.com/office/drawing/2014/chart" uri="{C3380CC4-5D6E-409C-BE32-E72D297353CC}">
              <c16:uniqueId val="{00000012-D000-47AA-A0C0-9824653CFAE9}"/>
            </c:ext>
          </c:extLst>
        </c:ser>
        <c:ser>
          <c:idx val="19"/>
          <c:order val="19"/>
          <c:spPr>
            <a:ln w="3175">
              <a:solidFill>
                <a:srgbClr val="000000"/>
              </a:solidFill>
              <a:prstDash val="solid"/>
            </a:ln>
          </c:spPr>
          <c:marker>
            <c:symbol val="none"/>
          </c:marker>
          <c:xVal>
            <c:numLit>
              <c:formatCode>General</c:formatCode>
              <c:ptCount val="2"/>
              <c:pt idx="0">
                <c:v>11.341212826619152</c:v>
              </c:pt>
              <c:pt idx="1">
                <c:v>11.209515832597802</c:v>
              </c:pt>
            </c:numLit>
          </c:xVal>
          <c:yVal>
            <c:numLit>
              <c:formatCode>General</c:formatCode>
              <c:ptCount val="2"/>
              <c:pt idx="0">
                <c:v>3.348597419470218E-2</c:v>
              </c:pt>
              <c:pt idx="1">
                <c:v>3.3053009567298661E-2</c:v>
              </c:pt>
            </c:numLit>
          </c:yVal>
          <c:smooth val="0"/>
          <c:extLst>
            <c:ext xmlns:c16="http://schemas.microsoft.com/office/drawing/2014/chart" uri="{C3380CC4-5D6E-409C-BE32-E72D297353CC}">
              <c16:uniqueId val="{00000013-D000-47AA-A0C0-9824653CFAE9}"/>
            </c:ext>
          </c:extLst>
        </c:ser>
        <c:ser>
          <c:idx val="20"/>
          <c:order val="20"/>
          <c:spPr>
            <a:ln w="3175">
              <a:solidFill>
                <a:srgbClr val="000000"/>
              </a:solidFill>
              <a:prstDash val="solid"/>
            </a:ln>
          </c:spPr>
          <c:marker>
            <c:symbol val="none"/>
          </c:marker>
          <c:xVal>
            <c:numLit>
              <c:formatCode>General</c:formatCode>
              <c:ptCount val="2"/>
              <c:pt idx="0">
                <c:v>10.740510003894533</c:v>
              </c:pt>
              <c:pt idx="1">
                <c:v>10.685018452103247</c:v>
              </c:pt>
            </c:numLit>
          </c:xVal>
          <c:yVal>
            <c:numLit>
              <c:formatCode>General</c:formatCode>
              <c:ptCount val="2"/>
              <c:pt idx="0">
                <c:v>3.3577738530929296E-2</c:v>
              </c:pt>
              <c:pt idx="1">
                <c:v>3.3359674073499483E-2</c:v>
              </c:pt>
            </c:numLit>
          </c:yVal>
          <c:smooth val="0"/>
          <c:extLst>
            <c:ext xmlns:c16="http://schemas.microsoft.com/office/drawing/2014/chart" uri="{C3380CC4-5D6E-409C-BE32-E72D297353CC}">
              <c16:uniqueId val="{00000014-D000-47AA-A0C0-9824653CFAE9}"/>
            </c:ext>
          </c:extLst>
        </c:ser>
        <c:ser>
          <c:idx val="21"/>
          <c:order val="21"/>
          <c:spPr>
            <a:ln w="3175">
              <a:solidFill>
                <a:srgbClr val="000000"/>
              </a:solidFill>
              <a:prstDash val="solid"/>
            </a:ln>
          </c:spPr>
          <c:marker>
            <c:symbol val="none"/>
          </c:marker>
          <c:xVal>
            <c:numLit>
              <c:formatCode>General</c:formatCode>
              <c:ptCount val="2"/>
              <c:pt idx="0">
                <c:v>10.127654377823859</c:v>
              </c:pt>
              <c:pt idx="1">
                <c:v>10.037804226864415</c:v>
              </c:pt>
            </c:numLit>
          </c:xVal>
          <c:yVal>
            <c:numLit>
              <c:formatCode>General</c:formatCode>
              <c:ptCount val="2"/>
              <c:pt idx="0">
                <c:v>3.3654700505295149E-2</c:v>
              </c:pt>
              <c:pt idx="1">
                <c:v>3.3215917729250491E-2</c:v>
              </c:pt>
            </c:numLit>
          </c:yVal>
          <c:smooth val="0"/>
          <c:extLst>
            <c:ext xmlns:c16="http://schemas.microsoft.com/office/drawing/2014/chart" uri="{C3380CC4-5D6E-409C-BE32-E72D297353CC}">
              <c16:uniqueId val="{00000015-D000-47AA-A0C0-9824653CFAE9}"/>
            </c:ext>
          </c:extLst>
        </c:ser>
        <c:ser>
          <c:idx val="22"/>
          <c:order val="22"/>
          <c:spPr>
            <a:ln w="3175">
              <a:solidFill>
                <a:srgbClr val="000000"/>
              </a:solidFill>
              <a:prstDash val="solid"/>
            </a:ln>
          </c:spPr>
          <c:marker>
            <c:symbol val="none"/>
          </c:marker>
          <c:xVal>
            <c:numLit>
              <c:formatCode>General</c:formatCode>
              <c:ptCount val="2"/>
              <c:pt idx="0">
                <c:v>9.5047190068155949</c:v>
              </c:pt>
              <c:pt idx="1">
                <c:v>9.4705341963532561</c:v>
              </c:pt>
            </c:numLit>
          </c:xVal>
          <c:yVal>
            <c:numLit>
              <c:formatCode>General</c:formatCode>
              <c:ptCount val="2"/>
              <c:pt idx="0">
                <c:v>3.3715995646515944E-2</c:v>
              </c:pt>
              <c:pt idx="1">
                <c:v>3.3495547445713945E-2</c:v>
              </c:pt>
            </c:numLit>
          </c:yVal>
          <c:smooth val="0"/>
          <c:extLst>
            <c:ext xmlns:c16="http://schemas.microsoft.com/office/drawing/2014/chart" uri="{C3380CC4-5D6E-409C-BE32-E72D297353CC}">
              <c16:uniqueId val="{00000016-D000-47AA-A0C0-9824653CFAE9}"/>
            </c:ext>
          </c:extLst>
        </c:ser>
        <c:ser>
          <c:idx val="23"/>
          <c:order val="23"/>
          <c:spPr>
            <a:ln w="3175">
              <a:solidFill>
                <a:srgbClr val="000000"/>
              </a:solidFill>
              <a:prstDash val="solid"/>
            </a:ln>
          </c:spPr>
          <c:marker>
            <c:symbol val="none"/>
          </c:marker>
          <c:xVal>
            <c:numLit>
              <c:formatCode>General</c:formatCode>
              <c:ptCount val="2"/>
              <c:pt idx="0">
                <c:v>8.8739652091894179</c:v>
              </c:pt>
              <c:pt idx="1">
                <c:v>8.8273457192173677</c:v>
              </c:pt>
            </c:numLit>
          </c:xVal>
          <c:yVal>
            <c:numLit>
              <c:formatCode>General</c:formatCode>
              <c:ptCount val="2"/>
              <c:pt idx="0">
                <c:v>3.3760915098533552E-2</c:v>
              </c:pt>
              <c:pt idx="1">
                <c:v>3.3318469750308249E-2</c:v>
              </c:pt>
            </c:numLit>
          </c:yVal>
          <c:smooth val="0"/>
          <c:extLst>
            <c:ext xmlns:c16="http://schemas.microsoft.com/office/drawing/2014/chart" uri="{C3380CC4-5D6E-409C-BE32-E72D297353CC}">
              <c16:uniqueId val="{00000017-D000-47AA-A0C0-9824653CFAE9}"/>
            </c:ext>
          </c:extLst>
        </c:ser>
        <c:ser>
          <c:idx val="24"/>
          <c:order val="24"/>
          <c:spPr>
            <a:ln w="3175">
              <a:solidFill>
                <a:srgbClr val="000000"/>
              </a:solidFill>
              <a:prstDash val="solid"/>
            </a:ln>
          </c:spPr>
          <c:marker>
            <c:symbol val="none"/>
          </c:marker>
          <c:xVal>
            <c:numLit>
              <c:formatCode>General</c:formatCode>
              <c:ptCount val="2"/>
              <c:pt idx="0">
                <c:v>8.2378051220730821</c:v>
              </c:pt>
              <c:pt idx="1">
                <c:v>8.225463654451131</c:v>
              </c:pt>
            </c:numLit>
          </c:xVal>
          <c:yVal>
            <c:numLit>
              <c:formatCode>General</c:formatCode>
              <c:ptCount val="2"/>
              <c:pt idx="0">
                <c:v>3.378892772867001E-2</c:v>
              </c:pt>
              <c:pt idx="1">
                <c:v>3.3567222078175703E-2</c:v>
              </c:pt>
            </c:numLit>
          </c:yVal>
          <c:smooth val="0"/>
          <c:extLst>
            <c:ext xmlns:c16="http://schemas.microsoft.com/office/drawing/2014/chart" uri="{C3380CC4-5D6E-409C-BE32-E72D297353CC}">
              <c16:uniqueId val="{00000018-D000-47AA-A0C0-9824653CFAE9}"/>
            </c:ext>
          </c:extLst>
        </c:ser>
        <c:ser>
          <c:idx val="25"/>
          <c:order val="25"/>
          <c:spPr>
            <a:ln w="3175">
              <a:solidFill>
                <a:srgbClr val="000000"/>
              </a:solidFill>
              <a:prstDash val="solid"/>
            </a:ln>
          </c:spPr>
          <c:marker>
            <c:symbol val="none"/>
          </c:marker>
          <c:xVal>
            <c:numLit>
              <c:formatCode>General</c:formatCode>
              <c:ptCount val="2"/>
              <c:pt idx="0">
                <c:v>7.5987576377376911</c:v>
              </c:pt>
              <c:pt idx="1">
                <c:v>7.5961108226432881</c:v>
              </c:pt>
            </c:numLit>
          </c:xVal>
          <c:yVal>
            <c:numLit>
              <c:formatCode>General</c:formatCode>
              <c:ptCount val="2"/>
              <c:pt idx="0">
                <c:v>3.3799697260686282E-2</c:v>
              </c:pt>
              <c:pt idx="1">
                <c:v>3.3355914596524684E-2</c:v>
              </c:pt>
            </c:numLit>
          </c:yVal>
          <c:smooth val="0"/>
          <c:extLst>
            <c:ext xmlns:c16="http://schemas.microsoft.com/office/drawing/2014/chart" uri="{C3380CC4-5D6E-409C-BE32-E72D297353CC}">
              <c16:uniqueId val="{00000019-D000-47AA-A0C0-9824653CFAE9}"/>
            </c:ext>
          </c:extLst>
        </c:ser>
        <c:ser>
          <c:idx val="26"/>
          <c:order val="26"/>
          <c:spPr>
            <a:ln w="3175">
              <a:solidFill>
                <a:srgbClr val="000000"/>
              </a:solidFill>
              <a:prstDash val="solid"/>
            </a:ln>
          </c:spPr>
          <c:marker>
            <c:symbol val="none"/>
          </c:marker>
          <c:xVal>
            <c:numLit>
              <c:formatCode>General</c:formatCode>
              <c:ptCount val="2"/>
              <c:pt idx="0">
                <c:v>6.9593994946761999</c:v>
              </c:pt>
              <c:pt idx="1">
                <c:v>6.9690995033886791</c:v>
              </c:pt>
            </c:numLit>
          </c:xVal>
          <c:yVal>
            <c:numLit>
              <c:formatCode>General</c:formatCode>
              <c:ptCount val="2"/>
              <c:pt idx="0">
                <c:v>3.3793093371721462E-2</c:v>
              </c:pt>
              <c:pt idx="1">
                <c:v>3.3571315899795236E-2</c:v>
              </c:pt>
            </c:numLit>
          </c:yVal>
          <c:smooth val="0"/>
          <c:extLst>
            <c:ext xmlns:c16="http://schemas.microsoft.com/office/drawing/2014/chart" uri="{C3380CC4-5D6E-409C-BE32-E72D297353CC}">
              <c16:uniqueId val="{0000001A-D000-47AA-A0C0-9824653CFAE9}"/>
            </c:ext>
          </c:extLst>
        </c:ser>
        <c:ser>
          <c:idx val="27"/>
          <c:order val="27"/>
          <c:spPr>
            <a:ln w="3175">
              <a:solidFill>
                <a:srgbClr val="000000"/>
              </a:solidFill>
              <a:prstDash val="solid"/>
            </a:ln>
          </c:spPr>
          <c:marker>
            <c:symbol val="none"/>
          </c:marker>
          <c:xVal>
            <c:numLit>
              <c:formatCode>General</c:formatCode>
              <c:ptCount val="2"/>
              <c:pt idx="0">
                <c:v>6.3223136896666619</c:v>
              </c:pt>
              <c:pt idx="1">
                <c:v>6.363682183126433</c:v>
              </c:pt>
            </c:numLit>
          </c:xVal>
          <c:yVal>
            <c:numLit>
              <c:formatCode>General</c:formatCode>
              <c:ptCount val="2"/>
              <c:pt idx="0">
                <c:v>3.3769196044631293E-2</c:v>
              </c:pt>
              <c:pt idx="1">
                <c:v>3.3326465146540557E-2</c:v>
              </c:pt>
            </c:numLit>
          </c:yVal>
          <c:smooth val="0"/>
          <c:extLst>
            <c:ext xmlns:c16="http://schemas.microsoft.com/office/drawing/2014/chart" uri="{C3380CC4-5D6E-409C-BE32-E72D297353CC}">
              <c16:uniqueId val="{0000001B-D000-47AA-A0C0-9824653CFAE9}"/>
            </c:ext>
          </c:extLst>
        </c:ser>
        <c:ser>
          <c:idx val="28"/>
          <c:order val="28"/>
          <c:spPr>
            <a:ln w="3175">
              <a:solidFill>
                <a:srgbClr val="000000"/>
              </a:solidFill>
              <a:prstDash val="solid"/>
            </a:ln>
          </c:spPr>
          <c:marker>
            <c:symbol val="none"/>
          </c:marker>
          <c:xVal>
            <c:numLit>
              <c:formatCode>General</c:formatCode>
              <c:ptCount val="2"/>
              <c:pt idx="0">
                <c:v>5.690037597761866</c:v>
              </c:pt>
              <c:pt idx="1">
                <c:v>5.7216231564211437</c:v>
              </c:pt>
            </c:numLit>
          </c:xVal>
          <c:yVal>
            <c:numLit>
              <c:formatCode>General</c:formatCode>
              <c:ptCount val="2"/>
              <c:pt idx="0">
                <c:v>3.3728292893413635E-2</c:v>
              </c:pt>
              <c:pt idx="1">
                <c:v>3.3507632671113403E-2</c:v>
              </c:pt>
            </c:numLit>
          </c:yVal>
          <c:smooth val="0"/>
          <c:extLst>
            <c:ext xmlns:c16="http://schemas.microsoft.com/office/drawing/2014/chart" uri="{C3380CC4-5D6E-409C-BE32-E72D297353CC}">
              <c16:uniqueId val="{0000001C-D000-47AA-A0C0-9824653CFAE9}"/>
            </c:ext>
          </c:extLst>
        </c:ser>
        <c:ser>
          <c:idx val="29"/>
          <c:order val="29"/>
          <c:spPr>
            <a:ln w="3175">
              <a:solidFill>
                <a:srgbClr val="000000"/>
              </a:solidFill>
              <a:prstDash val="solid"/>
            </a:ln>
          </c:spPr>
          <c:marker>
            <c:symbol val="none"/>
          </c:marker>
          <c:xVal>
            <c:numLit>
              <c:formatCode>General</c:formatCode>
              <c:ptCount val="2"/>
              <c:pt idx="0">
                <c:v>5.0650132114445139</c:v>
              </c:pt>
              <c:pt idx="1">
                <c:v>5.1497368938084964</c:v>
              </c:pt>
            </c:numLit>
          </c:xVal>
          <c:yVal>
            <c:numLit>
              <c:formatCode>General</c:formatCode>
              <c:ptCount val="2"/>
              <c:pt idx="0">
                <c:v>3.3670869635499083E-2</c:v>
              </c:pt>
              <c:pt idx="1">
                <c:v>3.3231529303240491E-2</c:v>
              </c:pt>
            </c:numLit>
          </c:yVal>
          <c:smooth val="0"/>
          <c:extLst>
            <c:ext xmlns:c16="http://schemas.microsoft.com/office/drawing/2014/chart" uri="{C3380CC4-5D6E-409C-BE32-E72D297353CC}">
              <c16:uniqueId val="{0000001D-D000-47AA-A0C0-9824653CFAE9}"/>
            </c:ext>
          </c:extLst>
        </c:ser>
        <c:ser>
          <c:idx val="30"/>
          <c:order val="30"/>
          <c:spPr>
            <a:ln w="3175">
              <a:solidFill>
                <a:srgbClr val="000000"/>
              </a:solidFill>
              <a:prstDash val="solid"/>
            </a:ln>
          </c:spPr>
          <c:marker>
            <c:symbol val="none"/>
          </c:marker>
          <c:xVal>
            <c:numLit>
              <c:formatCode>General</c:formatCode>
              <c:ptCount val="2"/>
              <c:pt idx="0">
                <c:v>4.4495417349447202</c:v>
              </c:pt>
              <c:pt idx="1">
                <c:v>4.5025151533077423</c:v>
              </c:pt>
            </c:numLit>
          </c:xVal>
          <c:yVal>
            <c:numLit>
              <c:formatCode>General</c:formatCode>
              <c:ptCount val="2"/>
              <c:pt idx="0">
                <c:v>3.3597594322318097E-2</c:v>
              </c:pt>
              <c:pt idx="1">
                <c:v>3.3379187523657441E-2</c:v>
              </c:pt>
            </c:numLit>
          </c:yVal>
          <c:smooth val="0"/>
          <c:extLst>
            <c:ext xmlns:c16="http://schemas.microsoft.com/office/drawing/2014/chart" uri="{C3380CC4-5D6E-409C-BE32-E72D297353CC}">
              <c16:uniqueId val="{0000001E-D000-47AA-A0C0-9824653CFAE9}"/>
            </c:ext>
          </c:extLst>
        </c:ser>
        <c:ser>
          <c:idx val="31"/>
          <c:order val="31"/>
          <c:spPr>
            <a:ln w="3175">
              <a:solidFill>
                <a:srgbClr val="000000"/>
              </a:solidFill>
              <a:prstDash val="solid"/>
            </a:ln>
          </c:spPr>
          <c:marker>
            <c:symbol val="none"/>
          </c:marker>
          <c:xVal>
            <c:numLit>
              <c:formatCode>General</c:formatCode>
              <c:ptCount val="2"/>
              <c:pt idx="0">
                <c:v>3.8457444174013791</c:v>
              </c:pt>
              <c:pt idx="1">
                <c:v>3.9725118512840907</c:v>
              </c:pt>
            </c:numLit>
          </c:xVal>
          <c:yVal>
            <c:numLit>
              <c:formatCode>General</c:formatCode>
              <c:ptCount val="2"/>
              <c:pt idx="0">
                <c:v>3.3509296313245625E-2</c:v>
              </c:pt>
              <c:pt idx="1">
                <c:v>3.3075527474857841E-2</c:v>
              </c:pt>
            </c:numLit>
          </c:yVal>
          <c:smooth val="0"/>
          <c:extLst>
            <c:ext xmlns:c16="http://schemas.microsoft.com/office/drawing/2014/chart" uri="{C3380CC4-5D6E-409C-BE32-E72D297353CC}">
              <c16:uniqueId val="{0000001F-D000-47AA-A0C0-9824653CFAE9}"/>
            </c:ext>
          </c:extLst>
        </c:ser>
        <c:ser>
          <c:idx val="32"/>
          <c:order val="32"/>
          <c:spPr>
            <a:ln w="3175">
              <a:solidFill>
                <a:srgbClr val="000000"/>
              </a:solidFill>
              <a:prstDash val="solid"/>
            </a:ln>
          </c:spPr>
          <c:marker>
            <c:symbol val="none"/>
          </c:marker>
          <c:xVal>
            <c:numLit>
              <c:formatCode>General</c:formatCode>
              <c:ptCount val="2"/>
              <c:pt idx="0">
                <c:v>3.255531023136959</c:v>
              </c:pt>
              <c:pt idx="1">
                <c:v>3.3290908330828737</c:v>
              </c:pt>
            </c:numLit>
          </c:xVal>
          <c:yVal>
            <c:numLit>
              <c:formatCode>General</c:formatCode>
              <c:ptCount val="2"/>
              <c:pt idx="0">
                <c:v>3.3406941252105297E-2</c:v>
              </c:pt>
              <c:pt idx="1">
                <c:v>3.3191821575344858E-2</c:v>
              </c:pt>
            </c:numLit>
          </c:yVal>
          <c:smooth val="0"/>
          <c:extLst>
            <c:ext xmlns:c16="http://schemas.microsoft.com/office/drawing/2014/chart" uri="{C3380CC4-5D6E-409C-BE32-E72D297353CC}">
              <c16:uniqueId val="{00000020-D000-47AA-A0C0-9824653CFAE9}"/>
            </c:ext>
          </c:extLst>
        </c:ser>
        <c:ser>
          <c:idx val="33"/>
          <c:order val="33"/>
          <c:spPr>
            <a:ln w="3175">
              <a:solidFill>
                <a:srgbClr val="000000"/>
              </a:solidFill>
              <a:prstDash val="solid"/>
            </a:ln>
          </c:spPr>
          <c:marker>
            <c:symbol val="none"/>
          </c:marker>
          <c:xVal>
            <c:numLit>
              <c:formatCode>General</c:formatCode>
              <c:ptCount val="2"/>
              <c:pt idx="0">
                <c:v>2.6805767765256308</c:v>
              </c:pt>
              <c:pt idx="1">
                <c:v>2.8475224049212988</c:v>
              </c:pt>
            </c:numLit>
          </c:xVal>
          <c:yVal>
            <c:numLit>
              <c:formatCode>General</c:formatCode>
              <c:ptCount val="2"/>
              <c:pt idx="0">
                <c:v>3.3291603458921876E-2</c:v>
              </c:pt>
              <c:pt idx="1">
                <c:v>3.286534127068319E-2</c:v>
              </c:pt>
            </c:numLit>
          </c:yVal>
          <c:smooth val="0"/>
          <c:extLst>
            <c:ext xmlns:c16="http://schemas.microsoft.com/office/drawing/2014/chart" uri="{C3380CC4-5D6E-409C-BE32-E72D297353CC}">
              <c16:uniqueId val="{00000021-D000-47AA-A0C0-9824653CFAE9}"/>
            </c:ext>
          </c:extLst>
        </c:ser>
        <c:ser>
          <c:idx val="34"/>
          <c:order val="34"/>
          <c:spPr>
            <a:ln w="3175">
              <a:solidFill>
                <a:srgbClr val="000000"/>
              </a:solidFill>
              <a:prstDash val="solid"/>
            </a:ln>
          </c:spPr>
          <c:marker>
            <c:symbol val="none"/>
          </c:marker>
          <c:xVal>
            <c:numLit>
              <c:formatCode>General</c:formatCode>
              <c:ptCount val="2"/>
              <c:pt idx="0">
                <c:v>2.1223080446173976</c:v>
              </c:pt>
              <c:pt idx="1">
                <c:v>2.215406181779167</c:v>
              </c:pt>
            </c:numLit>
          </c:xVal>
          <c:yVal>
            <c:numLit>
              <c:formatCode>General</c:formatCode>
              <c:ptCount val="2"/>
              <c:pt idx="0">
                <c:v>3.3164437178186706E-2</c:v>
              </c:pt>
              <c:pt idx="1">
                <c:v>3.2953498606149004E-2</c:v>
              </c:pt>
            </c:numLit>
          </c:yVal>
          <c:smooth val="0"/>
          <c:extLst>
            <c:ext xmlns:c16="http://schemas.microsoft.com/office/drawing/2014/chart" uri="{C3380CC4-5D6E-409C-BE32-E72D297353CC}">
              <c16:uniqueId val="{00000022-D000-47AA-A0C0-9824653CFAE9}"/>
            </c:ext>
          </c:extLst>
        </c:ser>
        <c:ser>
          <c:idx val="35"/>
          <c:order val="35"/>
          <c:spPr>
            <a:ln w="3175">
              <a:solidFill>
                <a:srgbClr val="000000"/>
              </a:solidFill>
              <a:prstDash val="solid"/>
            </a:ln>
          </c:spPr>
          <c:marker>
            <c:symbol val="none"/>
          </c:marker>
          <c:xVal>
            <c:numLit>
              <c:formatCode>General</c:formatCode>
              <c:ptCount val="2"/>
              <c:pt idx="0">
                <c:v>1.5818964894711631</c:v>
              </c:pt>
              <c:pt idx="1">
                <c:v>1.7867276450066407</c:v>
              </c:pt>
            </c:numLit>
          </c:xVal>
          <c:yVal>
            <c:numLit>
              <c:formatCode>General</c:formatCode>
              <c:ptCount val="2"/>
              <c:pt idx="0">
                <c:v>3.3026648039659948E-2</c:v>
              </c:pt>
              <c:pt idx="1">
                <c:v>3.2609522245188913E-2</c:v>
              </c:pt>
            </c:numLit>
          </c:yVal>
          <c:smooth val="0"/>
          <c:extLst>
            <c:ext xmlns:c16="http://schemas.microsoft.com/office/drawing/2014/chart" uri="{C3380CC4-5D6E-409C-BE32-E72D297353CC}">
              <c16:uniqueId val="{00000023-D000-47AA-A0C0-9824653CFAE9}"/>
            </c:ext>
          </c:extLst>
        </c:ser>
        <c:ser>
          <c:idx val="36"/>
          <c:order val="36"/>
          <c:spPr>
            <a:ln w="3175">
              <a:solidFill>
                <a:srgbClr val="000000"/>
              </a:solidFill>
              <a:prstDash val="solid"/>
            </a:ln>
          </c:spPr>
          <c:marker>
            <c:symbol val="none"/>
          </c:marker>
          <c:xVal>
            <c:numLit>
              <c:formatCode>General</c:formatCode>
              <c:ptCount val="2"/>
              <c:pt idx="0">
                <c:v>1.0602609781934789</c:v>
              </c:pt>
              <c:pt idx="1">
                <c:v>1.1716702716729019</c:v>
              </c:pt>
            </c:numLit>
          </c:xVal>
          <c:yVal>
            <c:numLit>
              <c:formatCode>General</c:formatCode>
              <c:ptCount val="2"/>
              <c:pt idx="0">
                <c:v>3.2879465911649565E-2</c:v>
              </c:pt>
              <c:pt idx="1">
                <c:v>3.2673440637310779E-2</c:v>
              </c:pt>
            </c:numLit>
          </c:yVal>
          <c:smooth val="0"/>
          <c:extLst>
            <c:ext xmlns:c16="http://schemas.microsoft.com/office/drawing/2014/chart" uri="{C3380CC4-5D6E-409C-BE32-E72D297353CC}">
              <c16:uniqueId val="{00000024-D000-47AA-A0C0-9824653CFAE9}"/>
            </c:ext>
          </c:extLst>
        </c:ser>
        <c:ser>
          <c:idx val="37"/>
          <c:order val="37"/>
          <c:spPr>
            <a:ln w="3175">
              <a:solidFill>
                <a:srgbClr val="000000"/>
              </a:solidFill>
              <a:prstDash val="solid"/>
            </a:ln>
          </c:spPr>
          <c:marker>
            <c:symbol val="none"/>
          </c:marker>
          <c:xVal>
            <c:numLit>
              <c:formatCode>General</c:formatCode>
              <c:ptCount val="2"/>
              <c:pt idx="0">
                <c:v>0.55807620951249115</c:v>
              </c:pt>
              <c:pt idx="1">
                <c:v>0.79821151263275059</c:v>
              </c:pt>
            </c:numLit>
          </c:xVal>
          <c:yVal>
            <c:numLit>
              <c:formatCode>General</c:formatCode>
              <c:ptCount val="2"/>
              <c:pt idx="0">
                <c:v>3.2724120089613527E-2</c:v>
              </c:pt>
              <c:pt idx="1">
                <c:v>3.2317426293419958E-2</c:v>
              </c:pt>
            </c:numLit>
          </c:yVal>
          <c:smooth val="0"/>
          <c:extLst>
            <c:ext xmlns:c16="http://schemas.microsoft.com/office/drawing/2014/chart" uri="{C3380CC4-5D6E-409C-BE32-E72D297353CC}">
              <c16:uniqueId val="{00000025-D000-47AA-A0C0-9824653CFAE9}"/>
            </c:ext>
          </c:extLst>
        </c:ser>
        <c:ser>
          <c:idx val="38"/>
          <c:order val="38"/>
          <c:spPr>
            <a:ln w="3175">
              <a:solidFill>
                <a:srgbClr val="000000"/>
              </a:solidFill>
              <a:prstDash val="solid"/>
            </a:ln>
          </c:spPr>
          <c:marker>
            <c:symbol val="none"/>
          </c:marker>
          <c:xVal>
            <c:numLit>
              <c:formatCode>General</c:formatCode>
              <c:ptCount val="2"/>
              <c:pt idx="0">
                <c:v>7.5786811510906382E-2</c:v>
              </c:pt>
              <c:pt idx="1">
                <c:v>0.20416979751933934</c:v>
              </c:pt>
            </c:numLit>
          </c:xVal>
          <c:yVal>
            <c:numLit>
              <c:formatCode>General</c:formatCode>
              <c:ptCount val="2"/>
              <c:pt idx="0">
                <c:v>3.2561817496304393E-2</c:v>
              </c:pt>
              <c:pt idx="1">
                <c:v>3.2361268918781903E-2</c:v>
              </c:pt>
            </c:numLit>
          </c:yVal>
          <c:smooth val="0"/>
          <c:extLst>
            <c:ext xmlns:c16="http://schemas.microsoft.com/office/drawing/2014/chart" uri="{C3380CC4-5D6E-409C-BE32-E72D297353CC}">
              <c16:uniqueId val="{00000026-D000-47AA-A0C0-9824653CFAE9}"/>
            </c:ext>
          </c:extLst>
        </c:ser>
        <c:ser>
          <c:idx val="39"/>
          <c:order val="39"/>
          <c:spPr>
            <a:ln w="3175">
              <a:solidFill>
                <a:srgbClr val="000000"/>
              </a:solidFill>
              <a:prstDash val="solid"/>
            </a:ln>
          </c:spPr>
          <c:marker>
            <c:symbol val="none"/>
          </c:marker>
          <c:xVal>
            <c:numLit>
              <c:formatCode>General</c:formatCode>
              <c:ptCount val="2"/>
              <c:pt idx="0">
                <c:v>-0.38637441921499299</c:v>
              </c:pt>
              <c:pt idx="1">
                <c:v>-0.11367185303516499</c:v>
              </c:pt>
            </c:numLit>
          </c:xVal>
          <c:yVal>
            <c:numLit>
              <c:formatCode>General</c:formatCode>
              <c:ptCount val="2"/>
              <c:pt idx="0">
                <c:v>3.2393724302205024E-2</c:v>
              </c:pt>
              <c:pt idx="1">
                <c:v>3.1998423464197956E-2</c:v>
              </c:pt>
            </c:numLit>
          </c:yVal>
          <c:smooth val="0"/>
          <c:extLst>
            <c:ext xmlns:c16="http://schemas.microsoft.com/office/drawing/2014/chart" uri="{C3380CC4-5D6E-409C-BE32-E72D297353CC}">
              <c16:uniqueId val="{00000027-D000-47AA-A0C0-9824653CFAE9}"/>
            </c:ext>
          </c:extLst>
        </c:ser>
        <c:ser>
          <c:idx val="40"/>
          <c:order val="40"/>
          <c:spPr>
            <a:ln w="3175">
              <a:solidFill>
                <a:srgbClr val="000000"/>
              </a:solidFill>
              <a:prstDash val="solid"/>
            </a:ln>
          </c:spPr>
          <c:marker>
            <c:symbol val="none"/>
          </c:marker>
          <c:xVal>
            <c:numLit>
              <c:formatCode>General</c:formatCode>
              <c:ptCount val="2"/>
              <c:pt idx="0">
                <c:v>-0.82836544769946818</c:v>
              </c:pt>
              <c:pt idx="1">
                <c:v>-0.68439362963568395</c:v>
              </c:pt>
            </c:numLit>
          </c:xVal>
          <c:yVal>
            <c:numLit>
              <c:formatCode>General</c:formatCode>
              <c:ptCount val="2"/>
              <c:pt idx="0">
                <c:v>3.2220951129550625E-2</c:v>
              </c:pt>
              <c:pt idx="1">
                <c:v>3.2026279558351474E-2</c:v>
              </c:pt>
            </c:numLit>
          </c:yVal>
          <c:smooth val="0"/>
          <c:extLst>
            <c:ext xmlns:c16="http://schemas.microsoft.com/office/drawing/2014/chart" uri="{C3380CC4-5D6E-409C-BE32-E72D297353CC}">
              <c16:uniqueId val="{00000028-D000-47AA-A0C0-9824653CFAE9}"/>
            </c:ext>
          </c:extLst>
        </c:ser>
        <c:ser>
          <c:idx val="41"/>
          <c:order val="41"/>
          <c:spPr>
            <a:ln w="3175">
              <a:solidFill>
                <a:srgbClr val="000000"/>
              </a:solidFill>
              <a:prstDash val="solid"/>
            </a:ln>
          </c:spPr>
          <c:marker>
            <c:symbol val="none"/>
          </c:marker>
          <c:xVal>
            <c:numLit>
              <c:formatCode>General</c:formatCode>
              <c:ptCount val="2"/>
              <c:pt idx="0">
                <c:v>-1.2503123116501493</c:v>
              </c:pt>
              <c:pt idx="1">
                <c:v>-0.94781878366221239</c:v>
              </c:pt>
            </c:numLit>
          </c:xVal>
          <c:yVal>
            <c:numLit>
              <c:formatCode>General</c:formatCode>
              <c:ptCount val="2"/>
              <c:pt idx="0">
                <c:v>3.2044541795365311E-2</c:v>
              </c:pt>
              <c:pt idx="1">
                <c:v>3.1661281733456156E-2</c:v>
              </c:pt>
            </c:numLit>
          </c:yVal>
          <c:smooth val="0"/>
          <c:extLst>
            <c:ext xmlns:c16="http://schemas.microsoft.com/office/drawing/2014/chart" uri="{C3380CC4-5D6E-409C-BE32-E72D297353CC}">
              <c16:uniqueId val="{00000029-D000-47AA-A0C0-9824653CFAE9}"/>
            </c:ext>
          </c:extLst>
        </c:ser>
        <c:ser>
          <c:idx val="42"/>
          <c:order val="42"/>
          <c:spPr>
            <a:ln w="3175">
              <a:solidFill>
                <a:srgbClr val="000000"/>
              </a:solidFill>
              <a:prstDash val="solid"/>
            </a:ln>
          </c:spPr>
          <c:marker>
            <c:symbol val="none"/>
          </c:marker>
          <c:xVal>
            <c:numLit>
              <c:formatCode>General</c:formatCode>
              <c:ptCount val="2"/>
              <c:pt idx="0">
                <c:v>-1.6524858712974235</c:v>
              </c:pt>
              <c:pt idx="1">
                <c:v>-1.4943050804129847</c:v>
              </c:pt>
            </c:numLit>
          </c:xVal>
          <c:yVal>
            <c:numLit>
              <c:formatCode>General</c:formatCode>
              <c:ptCount val="2"/>
              <c:pt idx="0">
                <c:v>3.1865465386878213E-2</c:v>
              </c:pt>
              <c:pt idx="1">
                <c:v>3.1676922880207896E-2</c:v>
              </c:pt>
            </c:numLit>
          </c:yVal>
          <c:smooth val="0"/>
          <c:extLst>
            <c:ext xmlns:c16="http://schemas.microsoft.com/office/drawing/2014/chart" uri="{C3380CC4-5D6E-409C-BE32-E72D297353CC}">
              <c16:uniqueId val="{0000002A-D000-47AA-A0C0-9824653CFAE9}"/>
            </c:ext>
          </c:extLst>
        </c:ser>
        <c:ser>
          <c:idx val="43"/>
          <c:order val="43"/>
          <c:spPr>
            <a:ln w="3175">
              <a:solidFill>
                <a:srgbClr val="000000"/>
              </a:solidFill>
              <a:prstDash val="solid"/>
            </a:ln>
          </c:spPr>
          <c:marker>
            <c:symbol val="none"/>
          </c:marker>
          <c:xVal>
            <c:numLit>
              <c:formatCode>General</c:formatCode>
              <c:ptCount val="2"/>
              <c:pt idx="0">
                <c:v>-2.0352788721065513</c:v>
              </c:pt>
              <c:pt idx="1">
                <c:v>-1.7057175316890834</c:v>
              </c:pt>
            </c:numLit>
          </c:xVal>
          <c:yVal>
            <c:numLit>
              <c:formatCode>General</c:formatCode>
              <c:ptCount val="2"/>
              <c:pt idx="0">
                <c:v>3.1684611348254135E-2</c:v>
              </c:pt>
              <c:pt idx="1">
                <c:v>3.1313762681072957E-2</c:v>
              </c:pt>
            </c:numLit>
          </c:yVal>
          <c:smooth val="0"/>
          <c:extLst>
            <c:ext xmlns:c16="http://schemas.microsoft.com/office/drawing/2014/chart" uri="{C3380CC4-5D6E-409C-BE32-E72D297353CC}">
              <c16:uniqueId val="{0000002B-D000-47AA-A0C0-9824653CFAE9}"/>
            </c:ext>
          </c:extLst>
        </c:ser>
        <c:ser>
          <c:idx val="44"/>
          <c:order val="44"/>
          <c:spPr>
            <a:ln w="3175">
              <a:solidFill>
                <a:srgbClr val="000000"/>
              </a:solidFill>
              <a:prstDash val="solid"/>
            </a:ln>
          </c:spPr>
          <c:marker>
            <c:symbol val="none"/>
          </c:marker>
          <c:xVal>
            <c:numLit>
              <c:formatCode>General</c:formatCode>
              <c:ptCount val="2"/>
              <c:pt idx="0">
                <c:v>-2.3991840012325829</c:v>
              </c:pt>
              <c:pt idx="1">
                <c:v>-2.2281291046596068</c:v>
              </c:pt>
            </c:numLit>
          </c:xVal>
          <c:yVal>
            <c:numLit>
              <c:formatCode>General</c:formatCode>
              <c:ptCount val="2"/>
              <c:pt idx="0">
                <c:v>3.1502787187754219E-2</c:v>
              </c:pt>
              <c:pt idx="1">
                <c:v>3.1320497753482592E-2</c:v>
              </c:pt>
            </c:numLit>
          </c:yVal>
          <c:smooth val="0"/>
          <c:extLst>
            <c:ext xmlns:c16="http://schemas.microsoft.com/office/drawing/2014/chart" uri="{C3380CC4-5D6E-409C-BE32-E72D297353CC}">
              <c16:uniqueId val="{0000002C-D000-47AA-A0C0-9824653CFAE9}"/>
            </c:ext>
          </c:extLst>
        </c:ser>
        <c:ser>
          <c:idx val="45"/>
          <c:order val="45"/>
          <c:spPr>
            <a:ln w="3175">
              <a:solidFill>
                <a:srgbClr val="000000"/>
              </a:solidFill>
              <a:prstDash val="solid"/>
            </a:ln>
          </c:spPr>
          <c:marker>
            <c:symbol val="none"/>
          </c:marker>
          <c:xVal>
            <c:numLit>
              <c:formatCode>General</c:formatCode>
              <c:ptCount val="2"/>
              <c:pt idx="0">
                <c:v>-2.7447734321668316</c:v>
              </c:pt>
              <c:pt idx="1">
                <c:v>-2.3907467620921121</c:v>
              </c:pt>
            </c:numLit>
          </c:xVal>
          <c:yVal>
            <c:numLit>
              <c:formatCode>General</c:formatCode>
              <c:ptCount val="2"/>
              <c:pt idx="0">
                <c:v>3.1320718383058194E-2</c:v>
              </c:pt>
              <c:pt idx="1">
                <c:v>3.0962417749159633E-2</c:v>
              </c:pt>
            </c:numLit>
          </c:yVal>
          <c:smooth val="0"/>
          <c:extLst>
            <c:ext xmlns:c16="http://schemas.microsoft.com/office/drawing/2014/chart" uri="{C3380CC4-5D6E-409C-BE32-E72D297353CC}">
              <c16:uniqueId val="{0000002D-D000-47AA-A0C0-9824653CFAE9}"/>
            </c:ext>
          </c:extLst>
        </c:ser>
        <c:ser>
          <c:idx val="46"/>
          <c:order val="46"/>
          <c:spPr>
            <a:ln w="3175">
              <a:solidFill>
                <a:srgbClr val="000000"/>
              </a:solidFill>
              <a:prstDash val="solid"/>
            </a:ln>
          </c:spPr>
          <c:marker>
            <c:symbol val="none"/>
          </c:marker>
          <c:xVal>
            <c:numLit>
              <c:formatCode>General</c:formatCode>
              <c:ptCount val="2"/>
              <c:pt idx="0">
                <c:v>-3.072680183386634</c:v>
              </c:pt>
              <c:pt idx="1">
                <c:v>-2.890013283673071</c:v>
              </c:pt>
            </c:numLit>
          </c:xVal>
          <c:yVal>
            <c:numLit>
              <c:formatCode>General</c:formatCode>
              <c:ptCount val="2"/>
              <c:pt idx="0">
                <c:v>3.1139050061769116E-2</c:v>
              </c:pt>
              <c:pt idx="1">
                <c:v>3.0963031957255856E-2</c:v>
              </c:pt>
            </c:numLit>
          </c:yVal>
          <c:smooth val="0"/>
          <c:extLst>
            <c:ext xmlns:c16="http://schemas.microsoft.com/office/drawing/2014/chart" uri="{C3380CC4-5D6E-409C-BE32-E72D297353CC}">
              <c16:uniqueId val="{0000002E-D000-47AA-A0C0-9824653CFAE9}"/>
            </c:ext>
          </c:extLst>
        </c:ser>
        <c:ser>
          <c:idx val="47"/>
          <c:order val="47"/>
          <c:spPr>
            <a:ln w="3175">
              <a:solidFill>
                <a:srgbClr val="000000"/>
              </a:solidFill>
              <a:prstDash val="solid"/>
            </a:ln>
          </c:spPr>
          <c:marker>
            <c:symbol val="none"/>
          </c:marker>
          <c:xVal>
            <c:numLit>
              <c:formatCode>General</c:formatCode>
              <c:ptCount val="2"/>
              <c:pt idx="0">
                <c:v>-3.3835814724217705</c:v>
              </c:pt>
              <c:pt idx="1">
                <c:v>-3.0075269388899843</c:v>
              </c:pt>
            </c:numLit>
          </c:xVal>
          <c:yVal>
            <c:numLit>
              <c:formatCode>General</c:formatCode>
              <c:ptCount val="2"/>
              <c:pt idx="0">
                <c:v>3.0958350055992959E-2</c:v>
              </c:pt>
              <c:pt idx="1">
                <c:v>3.0612544881648374E-2</c:v>
              </c:pt>
            </c:numLit>
          </c:yVal>
          <c:smooth val="0"/>
          <c:extLst>
            <c:ext xmlns:c16="http://schemas.microsoft.com/office/drawing/2014/chart" uri="{C3380CC4-5D6E-409C-BE32-E72D297353CC}">
              <c16:uniqueId val="{0000002F-D000-47AA-A0C0-9824653CFAE9}"/>
            </c:ext>
          </c:extLst>
        </c:ser>
        <c:ser>
          <c:idx val="48"/>
          <c:order val="48"/>
          <c:spPr>
            <a:ln w="3175">
              <a:solidFill>
                <a:srgbClr val="000000"/>
              </a:solidFill>
              <a:prstDash val="solid"/>
            </a:ln>
          </c:spPr>
          <c:marker>
            <c:symbol val="none"/>
          </c:marker>
          <c:xVal>
            <c:numLit>
              <c:formatCode>General</c:formatCode>
              <c:ptCount val="2"/>
              <c:pt idx="0">
                <c:v>-3.6781841292440793</c:v>
              </c:pt>
              <c:pt idx="1">
                <c:v>-3.4850775063260775</c:v>
              </c:pt>
            </c:numLit>
          </c:xVal>
          <c:yVal>
            <c:numLit>
              <c:formatCode>General</c:formatCode>
              <c:ptCount val="2"/>
              <c:pt idx="0">
                <c:v>3.0779112966800307E-2</c:v>
              </c:pt>
              <c:pt idx="1">
                <c:v>3.0609300674269268E-2</c:v>
              </c:pt>
            </c:numLit>
          </c:yVal>
          <c:smooth val="0"/>
          <c:extLst>
            <c:ext xmlns:c16="http://schemas.microsoft.com/office/drawing/2014/chart" uri="{C3380CC4-5D6E-409C-BE32-E72D297353CC}">
              <c16:uniqueId val="{00000030-D000-47AA-A0C0-9824653CFAE9}"/>
            </c:ext>
          </c:extLst>
        </c:ser>
        <c:ser>
          <c:idx val="49"/>
          <c:order val="49"/>
          <c:spPr>
            <a:ln w="3175">
              <a:solidFill>
                <a:srgbClr val="000000"/>
              </a:solidFill>
              <a:prstDash val="solid"/>
            </a:ln>
          </c:spPr>
          <c:marker>
            <c:symbol val="none"/>
          </c:marker>
          <c:xVal>
            <c:numLit>
              <c:formatCode>General</c:formatCode>
              <c:ptCount val="2"/>
              <c:pt idx="0">
                <c:v>-3.9572120420841821</c:v>
              </c:pt>
              <c:pt idx="1">
                <c:v>-3.5613771440812783</c:v>
              </c:pt>
            </c:numLit>
          </c:xVal>
          <c:yVal>
            <c:numLit>
              <c:formatCode>General</c:formatCode>
              <c:ptCount val="2"/>
              <c:pt idx="0">
                <c:v>3.0601764919879974E-2</c:v>
              </c:pt>
              <c:pt idx="1">
                <c:v>3.0268255784711699E-2</c:v>
              </c:pt>
            </c:numLit>
          </c:yVal>
          <c:smooth val="0"/>
          <c:extLst>
            <c:ext xmlns:c16="http://schemas.microsoft.com/office/drawing/2014/chart" uri="{C3380CC4-5D6E-409C-BE32-E72D297353CC}">
              <c16:uniqueId val="{00000031-D000-47AA-A0C0-9824653CFAE9}"/>
            </c:ext>
          </c:extLst>
        </c:ser>
        <c:ser>
          <c:idx val="50"/>
          <c:order val="50"/>
          <c:spPr>
            <a:ln w="3175">
              <a:solidFill>
                <a:srgbClr val="000000"/>
              </a:solidFill>
              <a:prstDash val="solid"/>
            </a:ln>
          </c:spPr>
          <c:marker>
            <c:symbol val="none"/>
          </c:marker>
          <c:xVal>
            <c:numLit>
              <c:formatCode>General</c:formatCode>
              <c:ptCount val="2"/>
              <c:pt idx="0">
                <c:v>-4.221395542588029</c:v>
              </c:pt>
              <c:pt idx="1">
                <c:v>-4.018923205646856</c:v>
              </c:pt>
            </c:numLit>
          </c:xVal>
          <c:yVal>
            <c:numLit>
              <c:formatCode>General</c:formatCode>
              <c:ptCount val="2"/>
              <c:pt idx="0">
                <c:v>3.0426668742639516E-2</c:v>
              </c:pt>
              <c:pt idx="1">
                <c:v>3.0262933074662973E-2</c:v>
              </c:pt>
            </c:numLit>
          </c:yVal>
          <c:smooth val="0"/>
          <c:extLst>
            <c:ext xmlns:c16="http://schemas.microsoft.com/office/drawing/2014/chart" uri="{C3380CC4-5D6E-409C-BE32-E72D297353CC}">
              <c16:uniqueId val="{00000032-D000-47AA-A0C0-9824653CFAE9}"/>
            </c:ext>
          </c:extLst>
        </c:ser>
        <c:ser>
          <c:idx val="51"/>
          <c:order val="51"/>
          <c:spPr>
            <a:ln w="3175">
              <a:solidFill>
                <a:srgbClr val="000000"/>
              </a:solidFill>
              <a:prstDash val="solid"/>
            </a:ln>
          </c:spPr>
          <c:marker>
            <c:symbol val="none"/>
          </c:marker>
          <c:xVal>
            <c:numLit>
              <c:formatCode>General</c:formatCode>
              <c:ptCount val="2"/>
              <c:pt idx="0">
                <c:v>-4.4714625924504272</c:v>
              </c:pt>
              <c:pt idx="1">
                <c:v>-4.0578949168486877</c:v>
              </c:pt>
            </c:numLit>
          </c:xVal>
          <c:yVal>
            <c:numLit>
              <c:formatCode>General</c:formatCode>
              <c:ptCount val="2"/>
              <c:pt idx="0">
                <c:v>3.0254129341580477E-2</c:v>
              </c:pt>
              <c:pt idx="1">
                <c:v>2.9932607640146668E-2</c:v>
              </c:pt>
            </c:numLit>
          </c:yVal>
          <c:smooth val="0"/>
          <c:extLst>
            <c:ext xmlns:c16="http://schemas.microsoft.com/office/drawing/2014/chart" uri="{C3380CC4-5D6E-409C-BE32-E72D297353CC}">
              <c16:uniqueId val="{00000033-D000-47AA-A0C0-9824653CFAE9}"/>
            </c:ext>
          </c:extLst>
        </c:ser>
        <c:ser>
          <c:idx val="52"/>
          <c:order val="52"/>
          <c:spPr>
            <a:ln w="3175">
              <a:solidFill>
                <a:srgbClr val="000000"/>
              </a:solidFill>
              <a:prstDash val="solid"/>
            </a:ln>
          </c:spPr>
          <c:marker>
            <c:symbol val="none"/>
          </c:marker>
          <c:xVal>
            <c:numLit>
              <c:formatCode>General</c:formatCode>
              <c:ptCount val="2"/>
              <c:pt idx="0">
                <c:v>-4.7081316066320262</c:v>
              </c:pt>
              <c:pt idx="1">
                <c:v>-4.4972672685866462</c:v>
              </c:pt>
            </c:numLit>
          </c:xVal>
          <c:yVal>
            <c:numLit>
              <c:formatCode>General</c:formatCode>
              <c:ptCount val="2"/>
              <c:pt idx="0">
                <c:v>3.0084399104368914E-2</c:v>
              </c:pt>
              <c:pt idx="1">
                <c:v>2.9926564637052209E-2</c:v>
              </c:pt>
            </c:numLit>
          </c:yVal>
          <c:smooth val="0"/>
          <c:extLst>
            <c:ext xmlns:c16="http://schemas.microsoft.com/office/drawing/2014/chart" uri="{C3380CC4-5D6E-409C-BE32-E72D297353CC}">
              <c16:uniqueId val="{00000034-D000-47AA-A0C0-9824653CFAE9}"/>
            </c:ext>
          </c:extLst>
        </c:ser>
        <c:ser>
          <c:idx val="53"/>
          <c:order val="53"/>
          <c:spPr>
            <a:ln w="3175">
              <a:solidFill>
                <a:srgbClr val="000000"/>
              </a:solidFill>
              <a:prstDash val="solid"/>
            </a:ln>
          </c:spPr>
          <c:marker>
            <c:symbol val="none"/>
          </c:marker>
          <c:xVal>
            <c:numLit>
              <c:formatCode>General</c:formatCode>
              <c:ptCount val="2"/>
              <c:pt idx="0">
                <c:v>-4.9321057352905999</c:v>
              </c:pt>
              <c:pt idx="1">
                <c:v>-4.5026538133840264</c:v>
              </c:pt>
            </c:numLit>
          </c:xVal>
          <c:yVal>
            <c:numLit>
              <c:formatCode>General</c:formatCode>
              <c:ptCount val="2"/>
              <c:pt idx="0">
                <c:v>2.9917683192038989E-2</c:v>
              </c:pt>
              <c:pt idx="1">
                <c:v>2.9607763081968677E-2</c:v>
              </c:pt>
            </c:numLit>
          </c:yVal>
          <c:smooth val="0"/>
          <c:extLst>
            <c:ext xmlns:c16="http://schemas.microsoft.com/office/drawing/2014/chart" uri="{C3380CC4-5D6E-409C-BE32-E72D297353CC}">
              <c16:uniqueId val="{00000035-D000-47AA-A0C0-9824653CFAE9}"/>
            </c:ext>
          </c:extLst>
        </c:ser>
        <c:ser>
          <c:idx val="54"/>
          <c:order val="54"/>
          <c:spPr>
            <a:ln w="3175">
              <a:solidFill>
                <a:srgbClr val="000000"/>
              </a:solidFill>
              <a:prstDash val="solid"/>
            </a:ln>
          </c:spPr>
          <c:marker>
            <c:symbol val="none"/>
          </c:marker>
          <c:xVal>
            <c:numLit>
              <c:formatCode>General</c:formatCode>
              <c:ptCount val="2"/>
              <c:pt idx="0">
                <c:v>-5.1440684242141916</c:v>
              </c:pt>
              <c:pt idx="1">
                <c:v>-4.9256879341415329</c:v>
              </c:pt>
            </c:numLit>
          </c:xVal>
          <c:yVal>
            <c:numLit>
              <c:formatCode>General</c:formatCode>
              <c:ptCount val="2"/>
              <c:pt idx="0">
                <c:v>2.9754144622409617E-2</c:v>
              </c:pt>
              <c:pt idx="1">
                <c:v>2.9602004197885314E-2</c:v>
              </c:pt>
            </c:numLit>
          </c:yVal>
          <c:smooth val="0"/>
          <c:extLst>
            <c:ext xmlns:c16="http://schemas.microsoft.com/office/drawing/2014/chart" uri="{C3380CC4-5D6E-409C-BE32-E72D297353CC}">
              <c16:uniqueId val="{00000036-D000-47AA-A0C0-9824653CFAE9}"/>
            </c:ext>
          </c:extLst>
        </c:ser>
        <c:ser>
          <c:idx val="55"/>
          <c:order val="55"/>
          <c:spPr>
            <a:ln w="3175">
              <a:solidFill>
                <a:srgbClr val="000000"/>
              </a:solidFill>
              <a:prstDash val="solid"/>
            </a:ln>
          </c:spPr>
          <c:marker>
            <c:symbol val="none"/>
          </c:marker>
          <c:xVal>
            <c:numLit>
              <c:formatCode>General</c:formatCode>
              <c:ptCount val="2"/>
              <c:pt idx="0">
                <c:v>-5.3446800788427877</c:v>
              </c:pt>
              <c:pt idx="1">
                <c:v>-4.9010014554344146</c:v>
              </c:pt>
            </c:numLit>
          </c:xVal>
          <c:yVal>
            <c:numLit>
              <c:formatCode>General</c:formatCode>
              <c:ptCount val="2"/>
              <c:pt idx="0">
                <c:v>2.9593909075847288E-2</c:v>
              </c:pt>
              <c:pt idx="1">
                <c:v>2.9295153590473244E-2</c:v>
              </c:pt>
            </c:numLit>
          </c:yVal>
          <c:smooth val="0"/>
          <c:extLst>
            <c:ext xmlns:c16="http://schemas.microsoft.com/office/drawing/2014/chart" uri="{C3380CC4-5D6E-409C-BE32-E72D297353CC}">
              <c16:uniqueId val="{00000037-D000-47AA-A0C0-9824653CFAE9}"/>
            </c:ext>
          </c:extLst>
        </c:ser>
        <c:ser>
          <c:idx val="56"/>
          <c:order val="56"/>
          <c:spPr>
            <a:ln w="3175">
              <a:solidFill>
                <a:srgbClr val="000000"/>
              </a:solidFill>
              <a:prstDash val="solid"/>
            </a:ln>
          </c:spPr>
          <c:marker>
            <c:symbol val="none"/>
          </c:marker>
          <c:xVal>
            <c:numLit>
              <c:formatCode>General</c:formatCode>
              <c:ptCount val="2"/>
              <c:pt idx="0">
                <c:v>-5.5345756674157736</c:v>
              </c:pt>
              <c:pt idx="1">
                <c:v>-5.3094622938396387</c:v>
              </c:pt>
            </c:numLit>
          </c:xVal>
          <c:yVal>
            <c:numLit>
              <c:formatCode>General</c:formatCode>
              <c:ptCount val="2"/>
              <c:pt idx="0">
                <c:v>2.9437069379158205E-2</c:v>
              </c:pt>
              <c:pt idx="1">
                <c:v>2.9290395769172719E-2</c:v>
              </c:pt>
            </c:numLit>
          </c:yVal>
          <c:smooth val="0"/>
          <c:extLst>
            <c:ext xmlns:c16="http://schemas.microsoft.com/office/drawing/2014/chart" uri="{C3380CC4-5D6E-409C-BE32-E72D297353CC}">
              <c16:uniqueId val="{00000038-D000-47AA-A0C0-9824653CFAE9}"/>
            </c:ext>
          </c:extLst>
        </c:ser>
        <c:ser>
          <c:idx val="57"/>
          <c:order val="57"/>
          <c:spPr>
            <a:ln w="3175">
              <a:solidFill>
                <a:srgbClr val="000000"/>
              </a:solidFill>
              <a:prstDash val="solid"/>
            </a:ln>
          </c:spPr>
          <c:marker>
            <c:symbol val="none"/>
          </c:marker>
          <c:xVal>
            <c:numLit>
              <c:formatCode>General</c:formatCode>
              <c:ptCount val="2"/>
              <c:pt idx="0">
                <c:v>-5.714363112392145</c:v>
              </c:pt>
              <c:pt idx="1">
                <c:v>-5.2579367981717251</c:v>
              </c:pt>
            </c:numLit>
          </c:xVal>
          <c:yVal>
            <c:numLit>
              <c:formatCode>General</c:formatCode>
              <c:ptCount val="2"/>
              <c:pt idx="0">
                <c:v>2.9283689643078106E-2</c:v>
              </c:pt>
              <c:pt idx="1">
                <c:v>2.8995631379523688E-2</c:v>
              </c:pt>
            </c:numLit>
          </c:yVal>
          <c:smooth val="0"/>
          <c:extLst>
            <c:ext xmlns:c16="http://schemas.microsoft.com/office/drawing/2014/chart" uri="{C3380CC4-5D6E-409C-BE32-E72D297353CC}">
              <c16:uniqueId val="{00000039-D000-47AA-A0C0-9824653CFAE9}"/>
            </c:ext>
          </c:extLst>
        </c:ser>
        <c:ser>
          <c:idx val="58"/>
          <c:order val="58"/>
          <c:spPr>
            <a:ln w="3175">
              <a:solidFill>
                <a:srgbClr val="000000"/>
              </a:solidFill>
              <a:prstDash val="solid"/>
            </a:ln>
          </c:spPr>
          <c:marker>
            <c:symbol val="none"/>
          </c:marker>
          <c:xVal>
            <c:numLit>
              <c:formatCode>General</c:formatCode>
              <c:ptCount val="2"/>
              <c:pt idx="0">
                <c:v>-6.0459048297431641</c:v>
              </c:pt>
              <c:pt idx="1">
                <c:v>-5.811975436126902</c:v>
              </c:pt>
            </c:numLit>
          </c:xVal>
          <c:yVal>
            <c:numLit>
              <c:formatCode>General</c:formatCode>
              <c:ptCount val="2"/>
              <c:pt idx="0">
                <c:v>2.8987445253082427E-2</c:v>
              </c:pt>
              <c:pt idx="1">
                <c:v>2.8848523783201695E-2</c:v>
              </c:pt>
            </c:numLit>
          </c:yVal>
          <c:smooth val="0"/>
          <c:extLst>
            <c:ext xmlns:c16="http://schemas.microsoft.com/office/drawing/2014/chart" uri="{C3380CC4-5D6E-409C-BE32-E72D297353CC}">
              <c16:uniqueId val="{0000003A-D000-47AA-A0C0-9824653CFAE9}"/>
            </c:ext>
          </c:extLst>
        </c:ser>
        <c:ser>
          <c:idx val="59"/>
          <c:order val="59"/>
          <c:spPr>
            <a:ln w="3175">
              <a:solidFill>
                <a:srgbClr val="000000"/>
              </a:solidFill>
              <a:prstDash val="solid"/>
            </a:ln>
          </c:spPr>
          <c:marker>
            <c:symbol val="none"/>
          </c:marker>
          <c:xVal>
            <c:numLit>
              <c:formatCode>General</c:formatCode>
              <c:ptCount val="2"/>
              <c:pt idx="0">
                <c:v>-6.3436038686490521</c:v>
              </c:pt>
              <c:pt idx="1">
                <c:v>-6.1045417329826881</c:v>
              </c:pt>
            </c:numLit>
          </c:xVal>
          <c:yVal>
            <c:numLit>
              <c:formatCode>General</c:formatCode>
              <c:ptCount val="2"/>
              <c:pt idx="0">
                <c:v>2.8705249438049581E-2</c:v>
              </c:pt>
              <c:pt idx="1">
                <c:v>2.8571193413255622E-2</c:v>
              </c:pt>
            </c:numLit>
          </c:yVal>
          <c:smooth val="0"/>
          <c:extLst>
            <c:ext xmlns:c16="http://schemas.microsoft.com/office/drawing/2014/chart" uri="{C3380CC4-5D6E-409C-BE32-E72D297353CC}">
              <c16:uniqueId val="{0000003B-D000-47AA-A0C0-9824653CFAE9}"/>
            </c:ext>
          </c:extLst>
        </c:ser>
        <c:ser>
          <c:idx val="60"/>
          <c:order val="60"/>
          <c:spPr>
            <a:ln w="3175">
              <a:solidFill>
                <a:srgbClr val="000000"/>
              </a:solidFill>
              <a:prstDash val="solid"/>
            </a:ln>
          </c:spPr>
          <c:marker>
            <c:symbol val="none"/>
          </c:marker>
          <c:xVal>
            <c:numLit>
              <c:formatCode>General</c:formatCode>
              <c:ptCount val="2"/>
              <c:pt idx="0">
                <c:v>-6.6113117622552888</c:v>
              </c:pt>
              <c:pt idx="1">
                <c:v>-6.3676339732508866</c:v>
              </c:pt>
            </c:numLit>
          </c:xVal>
          <c:yVal>
            <c:numLit>
              <c:formatCode>General</c:formatCode>
              <c:ptCount val="2"/>
              <c:pt idx="0">
                <c:v>2.843692272060656E-2</c:v>
              </c:pt>
              <c:pt idx="1">
                <c:v>2.8307493018527138E-2</c:v>
              </c:pt>
            </c:numLit>
          </c:yVal>
          <c:smooth val="0"/>
          <c:extLst>
            <c:ext xmlns:c16="http://schemas.microsoft.com/office/drawing/2014/chart" uri="{C3380CC4-5D6E-409C-BE32-E72D297353CC}">
              <c16:uniqueId val="{0000003C-D000-47AA-A0C0-9824653CFAE9}"/>
            </c:ext>
          </c:extLst>
        </c:ser>
        <c:ser>
          <c:idx val="61"/>
          <c:order val="61"/>
          <c:spPr>
            <a:ln w="3175">
              <a:solidFill>
                <a:srgbClr val="000000"/>
              </a:solidFill>
              <a:prstDash val="solid"/>
            </a:ln>
          </c:spPr>
          <c:marker>
            <c:symbol val="none"/>
          </c:marker>
          <c:xVal>
            <c:numLit>
              <c:formatCode>General</c:formatCode>
              <c:ptCount val="2"/>
              <c:pt idx="0">
                <c:v>-6.8524545533004888</c:v>
              </c:pt>
              <c:pt idx="1">
                <c:v>-6.6046191299677215</c:v>
              </c:pt>
            </c:numLit>
          </c:xVal>
          <c:yVal>
            <c:numLit>
              <c:formatCode>General</c:formatCode>
              <c:ptCount val="2"/>
              <c:pt idx="0">
                <c:v>2.8182106961193734E-2</c:v>
              </c:pt>
              <c:pt idx="1">
                <c:v>2.80570706342766E-2</c:v>
              </c:pt>
            </c:numLit>
          </c:yVal>
          <c:smooth val="0"/>
          <c:extLst>
            <c:ext xmlns:c16="http://schemas.microsoft.com/office/drawing/2014/chart" uri="{C3380CC4-5D6E-409C-BE32-E72D297353CC}">
              <c16:uniqueId val="{0000003D-D000-47AA-A0C0-9824653CFAE9}"/>
            </c:ext>
          </c:extLst>
        </c:ser>
        <c:ser>
          <c:idx val="62"/>
          <c:order val="62"/>
          <c:spPr>
            <a:ln w="3175">
              <a:solidFill>
                <a:srgbClr val="000000"/>
              </a:solidFill>
              <a:prstDash val="solid"/>
            </a:ln>
          </c:spPr>
          <c:marker>
            <c:symbol val="none"/>
          </c:marker>
          <c:xVal>
            <c:numLit>
              <c:formatCode>General</c:formatCode>
              <c:ptCount val="2"/>
              <c:pt idx="0">
                <c:v>-7.0700641161397257</c:v>
              </c:pt>
              <c:pt idx="1">
                <c:v>-6.5668894914452514</c:v>
              </c:pt>
            </c:numLit>
          </c:xVal>
          <c:yVal>
            <c:numLit>
              <c:formatCode>General</c:formatCode>
              <c:ptCount val="2"/>
              <c:pt idx="0">
                <c:v>2.7940323066302088E-2</c:v>
              </c:pt>
              <c:pt idx="1">
                <c:v>2.769858778815374E-2</c:v>
              </c:pt>
            </c:numLit>
          </c:yVal>
          <c:smooth val="0"/>
          <c:extLst>
            <c:ext xmlns:c16="http://schemas.microsoft.com/office/drawing/2014/chart" uri="{C3380CC4-5D6E-409C-BE32-E72D297353CC}">
              <c16:uniqueId val="{0000003E-D000-47AA-A0C0-9824653CFAE9}"/>
            </c:ext>
          </c:extLst>
        </c:ser>
        <c:ser>
          <c:idx val="63"/>
          <c:order val="63"/>
          <c:spPr>
            <a:ln w="3175">
              <a:solidFill>
                <a:srgbClr val="000000"/>
              </a:solidFill>
              <a:prstDash val="solid"/>
            </a:ln>
          </c:spPr>
          <c:marker>
            <c:symbol val="none"/>
          </c:marker>
          <c:xVal>
            <c:numLit>
              <c:formatCode>General</c:formatCode>
              <c:ptCount val="2"/>
              <c:pt idx="0">
                <c:v>-7.2668139627913737</c:v>
              </c:pt>
              <c:pt idx="1">
                <c:v>-7.0118344117087634</c:v>
              </c:pt>
            </c:numLit>
          </c:xVal>
          <c:yVal>
            <c:numLit>
              <c:formatCode>General</c:formatCode>
              <c:ptCount val="2"/>
              <c:pt idx="0">
                <c:v>2.771101497108848E-2</c:v>
              </c:pt>
              <c:pt idx="1">
                <c:v>2.7594100919862818E-2</c:v>
              </c:pt>
            </c:numLit>
          </c:yVal>
          <c:smooth val="0"/>
          <c:extLst>
            <c:ext xmlns:c16="http://schemas.microsoft.com/office/drawing/2014/chart" uri="{C3380CC4-5D6E-409C-BE32-E72D297353CC}">
              <c16:uniqueId val="{0000003F-D000-47AA-A0C0-9824653CFAE9}"/>
            </c:ext>
          </c:extLst>
        </c:ser>
        <c:ser>
          <c:idx val="64"/>
          <c:order val="64"/>
          <c:spPr>
            <a:ln w="3175">
              <a:solidFill>
                <a:srgbClr val="000000"/>
              </a:solidFill>
              <a:prstDash val="solid"/>
            </a:ln>
          </c:spPr>
          <c:marker>
            <c:symbol val="none"/>
          </c:marker>
          <c:xVal>
            <c:numLit>
              <c:formatCode>General</c:formatCode>
              <c:ptCount val="2"/>
              <c:pt idx="0">
                <c:v>-7.4450561220153224</c:v>
              </c:pt>
              <c:pt idx="1">
                <c:v>-7.1870034302564365</c:v>
              </c:pt>
            </c:numLit>
          </c:xVal>
          <c:yVal>
            <c:numLit>
              <c:formatCode>General</c:formatCode>
              <c:ptCount val="2"/>
              <c:pt idx="0">
                <c:v>2.7493582588817535E-2</c:v>
              </c:pt>
              <c:pt idx="1">
                <c:v>2.7380417371768957E-2</c:v>
              </c:pt>
            </c:numLit>
          </c:yVal>
          <c:smooth val="0"/>
          <c:extLst>
            <c:ext xmlns:c16="http://schemas.microsoft.com/office/drawing/2014/chart" uri="{C3380CC4-5D6E-409C-BE32-E72D297353CC}">
              <c16:uniqueId val="{00000040-D000-47AA-A0C0-9824653CFAE9}"/>
            </c:ext>
          </c:extLst>
        </c:ser>
        <c:ser>
          <c:idx val="65"/>
          <c:order val="65"/>
          <c:spPr>
            <a:ln w="3175">
              <a:solidFill>
                <a:srgbClr val="000000"/>
              </a:solidFill>
              <a:prstDash val="solid"/>
            </a:ln>
          </c:spPr>
          <c:marker>
            <c:symbol val="none"/>
          </c:marker>
          <c:xVal>
            <c:numLit>
              <c:formatCode>General</c:formatCode>
              <c:ptCount val="2"/>
              <c:pt idx="0">
                <c:v>-7.6068569785848918</c:v>
              </c:pt>
              <c:pt idx="1">
                <c:v>-7.3460146168851512</c:v>
              </c:pt>
            </c:numLit>
          </c:xVal>
          <c:yVal>
            <c:numLit>
              <c:formatCode>General</c:formatCode>
              <c:ptCount val="2"/>
              <c:pt idx="0">
                <c:v>2.7287406065353549E-2</c:v>
              </c:pt>
              <c:pt idx="1">
                <c:v>2.7177795615950903E-2</c:v>
              </c:pt>
            </c:numLit>
          </c:yVal>
          <c:smooth val="0"/>
          <c:extLst>
            <c:ext xmlns:c16="http://schemas.microsoft.com/office/drawing/2014/chart" uri="{C3380CC4-5D6E-409C-BE32-E72D297353CC}">
              <c16:uniqueId val="{00000041-D000-47AA-A0C0-9824653CFAE9}"/>
            </c:ext>
          </c:extLst>
        </c:ser>
        <c:ser>
          <c:idx val="66"/>
          <c:order val="66"/>
          <c:spPr>
            <a:ln w="3175">
              <a:solidFill>
                <a:srgbClr val="000000"/>
              </a:solidFill>
              <a:prstDash val="solid"/>
            </a:ln>
          </c:spPr>
          <c:marker>
            <c:symbol val="none"/>
          </c:marker>
          <c:xVal>
            <c:numLit>
              <c:formatCode>General</c:formatCode>
              <c:ptCount val="2"/>
              <c:pt idx="0">
                <c:v>-7.7540308580023209</c:v>
              </c:pt>
              <c:pt idx="1">
                <c:v>-7.4906510156229702</c:v>
              </c:pt>
            </c:numLit>
          </c:xVal>
          <c:yVal>
            <c:numLit>
              <c:formatCode>General</c:formatCode>
              <c:ptCount val="2"/>
              <c:pt idx="0">
                <c:v>2.7091863289154108E-2</c:v>
              </c:pt>
              <c:pt idx="1">
                <c:v>2.6985624266927313E-2</c:v>
              </c:pt>
            </c:numLit>
          </c:yVal>
          <c:smooth val="0"/>
          <c:extLst>
            <c:ext xmlns:c16="http://schemas.microsoft.com/office/drawing/2014/chart" uri="{C3380CC4-5D6E-409C-BE32-E72D297353CC}">
              <c16:uniqueId val="{00000042-D000-47AA-A0C0-9824653CFAE9}"/>
            </c:ext>
          </c:extLst>
        </c:ser>
        <c:ser>
          <c:idx val="67"/>
          <c:order val="67"/>
          <c:spPr>
            <a:ln w="3175">
              <a:solidFill>
                <a:srgbClr val="000000"/>
              </a:solidFill>
              <a:prstDash val="solid"/>
            </a:ln>
          </c:spPr>
          <c:marker>
            <c:symbol val="none"/>
          </c:marker>
          <c:xVal>
            <c:numLit>
              <c:formatCode>General</c:formatCode>
              <c:ptCount val="2"/>
              <c:pt idx="0">
                <c:v>-7.8881707432153219</c:v>
              </c:pt>
              <c:pt idx="1">
                <c:v>-7.3567855451734125</c:v>
              </c:pt>
            </c:numLit>
          </c:xVal>
          <c:yVal>
            <c:numLit>
              <c:formatCode>General</c:formatCode>
              <c:ptCount val="2"/>
              <c:pt idx="0">
                <c:v>2.690634223888767E-2</c:v>
              </c:pt>
              <c:pt idx="1">
                <c:v>2.6700261472029474E-2</c:v>
              </c:pt>
            </c:numLit>
          </c:yVal>
          <c:smooth val="0"/>
          <c:extLst>
            <c:ext xmlns:c16="http://schemas.microsoft.com/office/drawing/2014/chart" uri="{C3380CC4-5D6E-409C-BE32-E72D297353CC}">
              <c16:uniqueId val="{00000043-D000-47AA-A0C0-9824653CFAE9}"/>
            </c:ext>
          </c:extLst>
        </c:ser>
        <c:ser>
          <c:idx val="68"/>
          <c:order val="68"/>
          <c:spPr>
            <a:ln w="3175">
              <a:solidFill>
                <a:srgbClr val="000000"/>
              </a:solidFill>
              <a:prstDash val="solid"/>
            </a:ln>
          </c:spPr>
          <c:marker>
            <c:symbol val="none"/>
          </c:marker>
          <c:xVal>
            <c:numLit>
              <c:formatCode>General</c:formatCode>
              <c:ptCount val="2"/>
              <c:pt idx="0">
                <c:v>-8.0106758986490121</c:v>
              </c:pt>
              <c:pt idx="1">
                <c:v>-7.742871141775753</c:v>
              </c:pt>
            </c:numLit>
          </c:xVal>
          <c:yVal>
            <c:numLit>
              <c:formatCode>General</c:formatCode>
              <c:ptCount val="2"/>
              <c:pt idx="0">
                <c:v>2.673024942614733E-2</c:v>
              </c:pt>
              <c:pt idx="1">
                <c:v>2.6630245125696513E-2</c:v>
              </c:pt>
            </c:numLit>
          </c:yVal>
          <c:smooth val="0"/>
          <c:extLst>
            <c:ext xmlns:c16="http://schemas.microsoft.com/office/drawing/2014/chart" uri="{C3380CC4-5D6E-409C-BE32-E72D297353CC}">
              <c16:uniqueId val="{00000044-D000-47AA-A0C0-9824653CFAE9}"/>
            </c:ext>
          </c:extLst>
        </c:ser>
        <c:ser>
          <c:idx val="69"/>
          <c:order val="69"/>
          <c:spPr>
            <a:ln w="3175">
              <a:solidFill>
                <a:srgbClr val="000000"/>
              </a:solidFill>
              <a:prstDash val="solid"/>
            </a:ln>
          </c:spPr>
          <c:marker>
            <c:symbol val="none"/>
          </c:marker>
          <c:xVal>
            <c:numLit>
              <c:formatCode>General</c:formatCode>
              <c:ptCount val="2"/>
              <c:pt idx="0">
                <c:v>-8.1227764177225303</c:v>
              </c:pt>
              <c:pt idx="1">
                <c:v>-7.853038893279038</c:v>
              </c:pt>
            </c:numLit>
          </c:xVal>
          <c:yVal>
            <c:numLit>
              <c:formatCode>General</c:formatCode>
              <c:ptCount val="2"/>
              <c:pt idx="0">
                <c:v>2.6563015417404752E-2</c:v>
              </c:pt>
              <c:pt idx="1">
                <c:v>2.6465894461932257E-2</c:v>
              </c:pt>
            </c:numLit>
          </c:yVal>
          <c:smooth val="0"/>
          <c:extLst>
            <c:ext xmlns:c16="http://schemas.microsoft.com/office/drawing/2014/chart" uri="{C3380CC4-5D6E-409C-BE32-E72D297353CC}">
              <c16:uniqueId val="{00000045-D000-47AA-A0C0-9824653CFAE9}"/>
            </c:ext>
          </c:extLst>
        </c:ser>
        <c:ser>
          <c:idx val="70"/>
          <c:order val="70"/>
          <c:spPr>
            <a:ln w="3175">
              <a:solidFill>
                <a:srgbClr val="000000"/>
              </a:solidFill>
              <a:prstDash val="solid"/>
            </a:ln>
          </c:spPr>
          <c:marker>
            <c:symbol val="none"/>
          </c:marker>
          <c:xVal>
            <c:numLit>
              <c:formatCode>General</c:formatCode>
              <c:ptCount val="2"/>
              <c:pt idx="0">
                <c:v>-8.2255548505858034</c:v>
              </c:pt>
              <c:pt idx="1">
                <c:v>-7.9540452841963916</c:v>
              </c:pt>
            </c:numLit>
          </c:xVal>
          <c:yVal>
            <c:numLit>
              <c:formatCode>General</c:formatCode>
              <c:ptCount val="2"/>
              <c:pt idx="0">
                <c:v>2.640409819616079E-2</c:v>
              </c:pt>
              <c:pt idx="1">
                <c:v>2.6309717192778709E-2</c:v>
              </c:pt>
            </c:numLit>
          </c:yVal>
          <c:smooth val="0"/>
          <c:extLst>
            <c:ext xmlns:c16="http://schemas.microsoft.com/office/drawing/2014/chart" uri="{C3380CC4-5D6E-409C-BE32-E72D297353CC}">
              <c16:uniqueId val="{00000046-D000-47AA-A0C0-9824653CFAE9}"/>
            </c:ext>
          </c:extLst>
        </c:ser>
        <c:ser>
          <c:idx val="71"/>
          <c:order val="71"/>
          <c:spPr>
            <a:ln w="3175">
              <a:solidFill>
                <a:srgbClr val="000000"/>
              </a:solidFill>
              <a:prstDash val="solid"/>
            </a:ln>
          </c:spPr>
          <c:marker>
            <c:symbol val="none"/>
          </c:marker>
          <c:xVal>
            <c:numLit>
              <c:formatCode>General</c:formatCode>
              <c:ptCount val="2"/>
              <c:pt idx="0">
                <c:v>-8.3199651431045574</c:v>
              </c:pt>
              <c:pt idx="1">
                <c:v>-8.0468278130510296</c:v>
              </c:pt>
            </c:numLit>
          </c:xVal>
          <c:yVal>
            <c:numLit>
              <c:formatCode>General</c:formatCode>
              <c:ptCount val="2"/>
              <c:pt idx="0">
                <c:v>2.6252984947883497E-2</c:v>
              </c:pt>
              <c:pt idx="1">
                <c:v>2.616120934533378E-2</c:v>
              </c:pt>
            </c:numLit>
          </c:yVal>
          <c:smooth val="0"/>
          <c:extLst>
            <c:ext xmlns:c16="http://schemas.microsoft.com/office/drawing/2014/chart" uri="{C3380CC4-5D6E-409C-BE32-E72D297353CC}">
              <c16:uniqueId val="{00000047-D000-47AA-A0C0-9824653CFAE9}"/>
            </c:ext>
          </c:extLst>
        </c:ser>
        <c:ser>
          <c:idx val="72"/>
          <c:order val="72"/>
          <c:spPr>
            <a:ln w="3175">
              <a:solidFill>
                <a:srgbClr val="000000"/>
              </a:solidFill>
              <a:prstDash val="solid"/>
            </a:ln>
          </c:spPr>
          <c:marker>
            <c:symbol val="none"/>
          </c:marker>
          <c:xVal>
            <c:numLit>
              <c:formatCode>General</c:formatCode>
              <c:ptCount val="2"/>
              <c:pt idx="0">
                <c:v>-8.4068491498525173</c:v>
              </c:pt>
              <c:pt idx="1">
                <c:v>-7.8575784895127745</c:v>
              </c:pt>
            </c:numLit>
          </c:xVal>
          <c:yVal>
            <c:numLit>
              <c:formatCode>General</c:formatCode>
              <c:ptCount val="2"/>
              <c:pt idx="0">
                <c:v>2.610919271000376E-2</c:v>
              </c:pt>
              <c:pt idx="1">
                <c:v>2.5930599857934666E-2</c:v>
              </c:pt>
            </c:numLit>
          </c:yVal>
          <c:smooth val="0"/>
          <c:extLst>
            <c:ext xmlns:c16="http://schemas.microsoft.com/office/drawing/2014/chart" uri="{C3380CC4-5D6E-409C-BE32-E72D297353CC}">
              <c16:uniqueId val="{00000048-D000-47AA-A0C0-9824653CFAE9}"/>
            </c:ext>
          </c:extLst>
        </c:ser>
        <c:ser>
          <c:idx val="73"/>
          <c:order val="73"/>
          <c:spPr>
            <a:ln w="3175">
              <a:solidFill>
                <a:srgbClr val="000000"/>
              </a:solidFill>
              <a:prstDash val="solid"/>
            </a:ln>
          </c:spPr>
          <c:marker>
            <c:symbol val="none"/>
          </c:marker>
          <c:xVal>
            <c:numLit>
              <c:formatCode>General</c:formatCode>
              <c:ptCount val="2"/>
              <c:pt idx="0">
                <c:v>-8.486950989224928</c:v>
              </c:pt>
              <c:pt idx="1">
                <c:v>-8.2109345928589796</c:v>
              </c:pt>
            </c:numLit>
          </c:xVal>
          <c:yVal>
            <c:numLit>
              <c:formatCode>General</c:formatCode>
              <c:ptCount val="2"/>
              <c:pt idx="0">
                <c:v>2.597226822015037E-2</c:v>
              </c:pt>
              <c:pt idx="1">
                <c:v>2.5885332561182261E-2</c:v>
              </c:pt>
            </c:numLit>
          </c:yVal>
          <c:smooth val="0"/>
          <c:extLst>
            <c:ext xmlns:c16="http://schemas.microsoft.com/office/drawing/2014/chart" uri="{C3380CC4-5D6E-409C-BE32-E72D297353CC}">
              <c16:uniqueId val="{00000049-D000-47AA-A0C0-9824653CFAE9}"/>
            </c:ext>
          </c:extLst>
        </c:ser>
        <c:ser>
          <c:idx val="74"/>
          <c:order val="74"/>
          <c:spPr>
            <a:ln w="3175">
              <a:solidFill>
                <a:srgbClr val="000000"/>
              </a:solidFill>
              <a:prstDash val="solid"/>
            </a:ln>
          </c:spPr>
          <c:marker>
            <c:symbol val="none"/>
          </c:marker>
          <c:xVal>
            <c:numLit>
              <c:formatCode>General</c:formatCode>
              <c:ptCount val="2"/>
              <c:pt idx="0">
                <c:v>-8.5609294985956481</c:v>
              </c:pt>
              <c:pt idx="1">
                <c:v>-8.2836376106888263</c:v>
              </c:pt>
            </c:numLit>
          </c:xVal>
          <c:yVal>
            <c:numLit>
              <c:formatCode>General</c:formatCode>
              <c:ptCount val="2"/>
              <c:pt idx="0">
                <c:v>2.5841787211775113E-2</c:v>
              </c:pt>
              <c:pt idx="1">
                <c:v>2.57571012253652E-2</c:v>
              </c:pt>
            </c:numLit>
          </c:yVal>
          <c:smooth val="0"/>
          <c:extLst>
            <c:ext xmlns:c16="http://schemas.microsoft.com/office/drawing/2014/chart" uri="{C3380CC4-5D6E-409C-BE32-E72D297353CC}">
              <c16:uniqueId val="{0000004A-D000-47AA-A0C0-9824653CFAE9}"/>
            </c:ext>
          </c:extLst>
        </c:ser>
        <c:ser>
          <c:idx val="75"/>
          <c:order val="75"/>
          <c:spPr>
            <a:ln w="3175">
              <a:solidFill>
                <a:srgbClr val="000000"/>
              </a:solidFill>
              <a:prstDash val="solid"/>
            </a:ln>
          </c:spPr>
          <c:marker>
            <c:symbol val="none"/>
          </c:marker>
          <c:xVal>
            <c:numLit>
              <c:formatCode>General</c:formatCode>
              <c:ptCount val="2"/>
              <c:pt idx="0">
                <c:v>-8.6293690287967184</c:v>
              </c:pt>
              <c:pt idx="1">
                <c:v>-8.350897148989878</c:v>
              </c:pt>
            </c:numLit>
          </c:xVal>
          <c:yVal>
            <c:numLit>
              <c:formatCode>General</c:formatCode>
              <c:ptCount val="2"/>
              <c:pt idx="0">
                <c:v>2.5717353342065267E-2</c:v>
              </c:pt>
              <c:pt idx="1">
                <c:v>2.5634812767202073E-2</c:v>
              </c:pt>
            </c:numLit>
          </c:yVal>
          <c:smooth val="0"/>
          <c:extLst>
            <c:ext xmlns:c16="http://schemas.microsoft.com/office/drawing/2014/chart" uri="{C3380CC4-5D6E-409C-BE32-E72D297353CC}">
              <c16:uniqueId val="{0000004B-D000-47AA-A0C0-9824653CFAE9}"/>
            </c:ext>
          </c:extLst>
        </c:ser>
        <c:ser>
          <c:idx val="76"/>
          <c:order val="76"/>
          <c:spPr>
            <a:ln w="3175">
              <a:solidFill>
                <a:srgbClr val="000000"/>
              </a:solidFill>
              <a:prstDash val="solid"/>
            </a:ln>
          </c:spPr>
          <c:marker>
            <c:symbol val="none"/>
          </c:marker>
          <c:xVal>
            <c:numLit>
              <c:formatCode>General</c:formatCode>
              <c:ptCount val="2"/>
              <c:pt idx="0">
                <c:v>-8.6927887946424995</c:v>
              </c:pt>
              <c:pt idx="1">
                <c:v>-8.4132234705969378</c:v>
              </c:pt>
            </c:numLit>
          </c:xVal>
          <c:yVal>
            <c:numLit>
              <c:formatCode>General</c:formatCode>
              <c:ptCount val="2"/>
              <c:pt idx="0">
                <c:v>2.5598596888211325E-2</c:v>
              </c:pt>
              <c:pt idx="1">
                <c:v>2.5518103838414578E-2</c:v>
              </c:pt>
            </c:numLit>
          </c:yVal>
          <c:smooth val="0"/>
          <c:extLst>
            <c:ext xmlns:c16="http://schemas.microsoft.com/office/drawing/2014/chart" uri="{C3380CC4-5D6E-409C-BE32-E72D297353CC}">
              <c16:uniqueId val="{0000004C-D000-47AA-A0C0-9824653CFAE9}"/>
            </c:ext>
          </c:extLst>
        </c:ser>
        <c:ser>
          <c:idx val="77"/>
          <c:order val="77"/>
          <c:spPr>
            <a:ln w="3175">
              <a:solidFill>
                <a:srgbClr val="000000"/>
              </a:solidFill>
              <a:prstDash val="solid"/>
            </a:ln>
          </c:spPr>
          <c:marker>
            <c:symbol val="none"/>
          </c:marker>
          <c:xVal>
            <c:numLit>
              <c:formatCode>General</c:formatCode>
              <c:ptCount val="2"/>
              <c:pt idx="0">
                <c:v>-8.7516509745654023</c:v>
              </c:pt>
              <c:pt idx="1">
                <c:v>-8.4710707853487577</c:v>
              </c:pt>
            </c:numLit>
          </c:xVal>
          <c:yVal>
            <c:numLit>
              <c:formatCode>General</c:formatCode>
              <c:ptCount val="2"/>
              <c:pt idx="0">
                <c:v>2.5485173311188873E-2</c:v>
              </c:pt>
              <c:pt idx="1">
                <c:v>2.5406635840306308E-2</c:v>
              </c:pt>
            </c:numLit>
          </c:yVal>
          <c:smooth val="0"/>
          <c:extLst>
            <c:ext xmlns:c16="http://schemas.microsoft.com/office/drawing/2014/chart" uri="{C3380CC4-5D6E-409C-BE32-E72D297353CC}">
              <c16:uniqueId val="{0000004D-D000-47AA-A0C0-9824653CFAE9}"/>
            </c:ext>
          </c:extLst>
        </c:ser>
        <c:ser>
          <c:idx val="78"/>
          <c:order val="78"/>
          <c:spPr>
            <a:ln w="3175">
              <a:solidFill>
                <a:srgbClr val="000000"/>
              </a:solidFill>
              <a:prstDash val="solid"/>
            </a:ln>
          </c:spPr>
          <c:marker>
            <c:symbol val="none"/>
          </c:marker>
          <c:xVal>
            <c:numLit>
              <c:formatCode>General</c:formatCode>
              <c:ptCount val="2"/>
              <c:pt idx="0">
                <c:v>-8.8573072883626267</c:v>
              </c:pt>
              <c:pt idx="1">
                <c:v>-8.5749054385632704</c:v>
              </c:pt>
            </c:numLit>
          </c:xVal>
          <c:yVal>
            <c:numLit>
              <c:formatCode>General</c:formatCode>
              <c:ptCount val="2"/>
              <c:pt idx="0">
                <c:v>2.5273063556165737E-2</c:v>
              </c:pt>
              <c:pt idx="1">
                <c:v>2.519818315002495E-2</c:v>
              </c:pt>
            </c:numLit>
          </c:yVal>
          <c:smooth val="0"/>
          <c:extLst>
            <c:ext xmlns:c16="http://schemas.microsoft.com/office/drawing/2014/chart" uri="{C3380CC4-5D6E-409C-BE32-E72D297353CC}">
              <c16:uniqueId val="{0000004E-D000-47AA-A0C0-9824653CFAE9}"/>
            </c:ext>
          </c:extLst>
        </c:ser>
        <c:ser>
          <c:idx val="79"/>
          <c:order val="79"/>
          <c:spPr>
            <a:ln w="3175">
              <a:solidFill>
                <a:srgbClr val="000000"/>
              </a:solidFill>
              <a:prstDash val="solid"/>
            </a:ln>
          </c:spPr>
          <c:marker>
            <c:symbol val="none"/>
          </c:marker>
          <c:xVal>
            <c:numLit>
              <c:formatCode>General</c:formatCode>
              <c:ptCount val="2"/>
              <c:pt idx="0">
                <c:v>-8.9491390821074628</c:v>
              </c:pt>
              <c:pt idx="1">
                <c:v>-8.6651539255194017</c:v>
              </c:pt>
            </c:numLit>
          </c:xVal>
          <c:yVal>
            <c:numLit>
              <c:formatCode>General</c:formatCode>
              <c:ptCount val="2"/>
              <c:pt idx="0">
                <c:v>2.5078714550976496E-2</c:v>
              </c:pt>
              <c:pt idx="1">
                <c:v>2.5007184989752764E-2</c:v>
              </c:pt>
            </c:numLit>
          </c:yVal>
          <c:smooth val="0"/>
          <c:extLst>
            <c:ext xmlns:c16="http://schemas.microsoft.com/office/drawing/2014/chart" uri="{C3380CC4-5D6E-409C-BE32-E72D297353CC}">
              <c16:uniqueId val="{0000004F-D000-47AA-A0C0-9824653CFAE9}"/>
            </c:ext>
          </c:extLst>
        </c:ser>
        <c:ser>
          <c:idx val="80"/>
          <c:order val="80"/>
          <c:spPr>
            <a:ln w="3175">
              <a:solidFill>
                <a:srgbClr val="000000"/>
              </a:solidFill>
              <a:prstDash val="solid"/>
            </a:ln>
          </c:spPr>
          <c:marker>
            <c:symbol val="none"/>
          </c:marker>
          <c:xVal>
            <c:numLit>
              <c:formatCode>General</c:formatCode>
              <c:ptCount val="2"/>
              <c:pt idx="0">
                <c:v>-9.0293977395002667</c:v>
              </c:pt>
              <c:pt idx="1">
                <c:v>-8.7440288129571595</c:v>
              </c:pt>
            </c:numLit>
          </c:xVal>
          <c:yVal>
            <c:numLit>
              <c:formatCode>General</c:formatCode>
              <c:ptCount val="2"/>
              <c:pt idx="0">
                <c:v>2.4900125447290717E-2</c:v>
              </c:pt>
              <c:pt idx="1">
                <c:v>2.4831675008544326E-2</c:v>
              </c:pt>
            </c:numLit>
          </c:yVal>
          <c:smooth val="0"/>
          <c:extLst>
            <c:ext xmlns:c16="http://schemas.microsoft.com/office/drawing/2014/chart" uri="{C3380CC4-5D6E-409C-BE32-E72D297353CC}">
              <c16:uniqueId val="{00000050-D000-47AA-A0C0-9824653CFAE9}"/>
            </c:ext>
          </c:extLst>
        </c:ser>
        <c:ser>
          <c:idx val="81"/>
          <c:order val="81"/>
          <c:spPr>
            <a:ln w="3175">
              <a:solidFill>
                <a:srgbClr val="000000"/>
              </a:solidFill>
              <a:prstDash val="solid"/>
            </a:ln>
          </c:spPr>
          <c:marker>
            <c:symbol val="none"/>
          </c:marker>
          <c:xVal>
            <c:numLit>
              <c:formatCode>General</c:formatCode>
              <c:ptCount val="2"/>
              <c:pt idx="0">
                <c:v>-9.0999057043833709</c:v>
              </c:pt>
              <c:pt idx="1">
                <c:v>-8.8133211232733135</c:v>
              </c:pt>
            </c:numLit>
          </c:xVal>
          <c:yVal>
            <c:numLit>
              <c:formatCode>General</c:formatCode>
              <c:ptCount val="2"/>
              <c:pt idx="0">
                <c:v>2.4735561478973527E-2</c:v>
              </c:pt>
              <c:pt idx="1">
                <c:v>2.466994835002571E-2</c:v>
              </c:pt>
            </c:numLit>
          </c:yVal>
          <c:smooth val="0"/>
          <c:extLst>
            <c:ext xmlns:c16="http://schemas.microsoft.com/office/drawing/2014/chart" uri="{C3380CC4-5D6E-409C-BE32-E72D297353CC}">
              <c16:uniqueId val="{00000051-D000-47AA-A0C0-9824653CFAE9}"/>
            </c:ext>
          </c:extLst>
        </c:ser>
        <c:ser>
          <c:idx val="82"/>
          <c:order val="82"/>
          <c:spPr>
            <a:ln w="3175">
              <a:solidFill>
                <a:srgbClr val="000000"/>
              </a:solidFill>
              <a:prstDash val="solid"/>
            </a:ln>
          </c:spPr>
          <c:marker>
            <c:symbol val="none"/>
          </c:marker>
          <c:xVal>
            <c:numLit>
              <c:formatCode>General</c:formatCode>
              <c:ptCount val="2"/>
              <c:pt idx="0">
                <c:v>-9.1621483944066782</c:v>
              </c:pt>
              <c:pt idx="1">
                <c:v>-8.5868329325305854</c:v>
              </c:pt>
            </c:numLit>
          </c:xVal>
          <c:yVal>
            <c:numLit>
              <c:formatCode>General</c:formatCode>
              <c:ptCount val="2"/>
              <c:pt idx="0">
                <c:v>2.4583516169954973E-2</c:v>
              </c:pt>
              <c:pt idx="1">
                <c:v>2.4457532853749627E-2</c:v>
              </c:pt>
            </c:numLit>
          </c:yVal>
          <c:smooth val="0"/>
          <c:extLst>
            <c:ext xmlns:c16="http://schemas.microsoft.com/office/drawing/2014/chart" uri="{C3380CC4-5D6E-409C-BE32-E72D297353CC}">
              <c16:uniqueId val="{00000052-D000-47AA-A0C0-9824653CFAE9}"/>
            </c:ext>
          </c:extLst>
        </c:ser>
        <c:ser>
          <c:idx val="83"/>
          <c:order val="83"/>
          <c:spPr>
            <a:ln w="3175">
              <a:solidFill>
                <a:srgbClr val="000000"/>
              </a:solidFill>
              <a:prstDash val="solid"/>
            </a:ln>
          </c:spPr>
          <c:marker>
            <c:symbol val="none"/>
          </c:marker>
          <c:xVal>
            <c:numLit>
              <c:formatCode>General</c:formatCode>
              <c:ptCount val="2"/>
              <c:pt idx="0">
                <c:v>-9.2890805085034174</c:v>
              </c:pt>
              <c:pt idx="1">
                <c:v>-8.9992342928395654</c:v>
              </c:pt>
            </c:numLit>
          </c:xVal>
          <c:yVal>
            <c:numLit>
              <c:formatCode>General</c:formatCode>
              <c:ptCount val="2"/>
              <c:pt idx="0">
                <c:v>2.4249973889194042E-2</c:v>
              </c:pt>
              <c:pt idx="1">
                <c:v>2.4192732960070008E-2</c:v>
              </c:pt>
            </c:numLit>
          </c:yVal>
          <c:smooth val="0"/>
          <c:extLst>
            <c:ext xmlns:c16="http://schemas.microsoft.com/office/drawing/2014/chart" uri="{C3380CC4-5D6E-409C-BE32-E72D297353CC}">
              <c16:uniqueId val="{00000053-D000-47AA-A0C0-9824653CFAE9}"/>
            </c:ext>
          </c:extLst>
        </c:ser>
        <c:ser>
          <c:idx val="84"/>
          <c:order val="84"/>
          <c:spPr>
            <a:ln w="3175">
              <a:solidFill>
                <a:srgbClr val="000000"/>
              </a:solidFill>
              <a:prstDash val="solid"/>
            </a:ln>
          </c:spPr>
          <c:marker>
            <c:symbol val="none"/>
          </c:marker>
          <c:xVal>
            <c:numLit>
              <c:formatCode>General</c:formatCode>
              <c:ptCount val="2"/>
              <c:pt idx="0">
                <c:v>-9.3854262264463078</c:v>
              </c:pt>
              <c:pt idx="1">
                <c:v>-8.8024115289826401</c:v>
              </c:pt>
            </c:numLit>
          </c:xVal>
          <c:yVal>
            <c:numLit>
              <c:formatCode>General</c:formatCode>
              <c:ptCount val="2"/>
              <c:pt idx="0">
                <c:v>2.3970556092921879E-2</c:v>
              </c:pt>
              <c:pt idx="1">
                <c:v>2.3865709331096985E-2</c:v>
              </c:pt>
            </c:numLit>
          </c:yVal>
          <c:smooth val="0"/>
          <c:extLst>
            <c:ext xmlns:c16="http://schemas.microsoft.com/office/drawing/2014/chart" uri="{C3380CC4-5D6E-409C-BE32-E72D297353CC}">
              <c16:uniqueId val="{00000054-D000-47AA-A0C0-9824653CFAE9}"/>
            </c:ext>
          </c:extLst>
        </c:ser>
        <c:ser>
          <c:idx val="85"/>
          <c:order val="85"/>
          <c:spPr>
            <a:ln w="3175">
              <a:solidFill>
                <a:srgbClr val="000000"/>
              </a:solidFill>
              <a:prstDash val="solid"/>
            </a:ln>
          </c:spPr>
          <c:marker>
            <c:symbol val="none"/>
          </c:marker>
          <c:xVal>
            <c:numLit>
              <c:formatCode>General</c:formatCode>
              <c:ptCount val="2"/>
              <c:pt idx="0">
                <c:v>-9.4601719381821585</c:v>
              </c:pt>
              <c:pt idx="1">
                <c:v>-9.1673758702824664</c:v>
              </c:pt>
            </c:numLit>
          </c:xVal>
          <c:yVal>
            <c:numLit>
              <c:formatCode>General</c:formatCode>
              <c:ptCount val="2"/>
              <c:pt idx="0">
                <c:v>2.3733423854580125E-2</c:v>
              </c:pt>
              <c:pt idx="1">
                <c:v>2.3685088960535641E-2</c:v>
              </c:pt>
            </c:numLit>
          </c:yVal>
          <c:smooth val="0"/>
          <c:extLst>
            <c:ext xmlns:c16="http://schemas.microsoft.com/office/drawing/2014/chart" uri="{C3380CC4-5D6E-409C-BE32-E72D297353CC}">
              <c16:uniqueId val="{00000055-D000-47AA-A0C0-9824653CFAE9}"/>
            </c:ext>
          </c:extLst>
        </c:ser>
        <c:ser>
          <c:idx val="86"/>
          <c:order val="86"/>
          <c:spPr>
            <a:ln w="3175">
              <a:solidFill>
                <a:srgbClr val="000000"/>
              </a:solidFill>
              <a:prstDash val="solid"/>
            </a:ln>
          </c:spPr>
          <c:marker>
            <c:symbol val="none"/>
          </c:marker>
          <c:xVal>
            <c:numLit>
              <c:formatCode>General</c:formatCode>
              <c:ptCount val="2"/>
              <c:pt idx="0">
                <c:v>-9.5192631793601503</c:v>
              </c:pt>
              <c:pt idx="1">
                <c:v>-8.9316334145546268</c:v>
              </c:pt>
            </c:numLit>
          </c:xVal>
          <c:yVal>
            <c:numLit>
              <c:formatCode>General</c:formatCode>
              <c:ptCount val="2"/>
              <c:pt idx="0">
                <c:v>2.3529865143833231E-2</c:v>
              </c:pt>
              <c:pt idx="1">
                <c:v>2.3440214621632083E-2</c:v>
              </c:pt>
            </c:numLit>
          </c:yVal>
          <c:smooth val="0"/>
          <c:extLst>
            <c:ext xmlns:c16="http://schemas.microsoft.com/office/drawing/2014/chart" uri="{C3380CC4-5D6E-409C-BE32-E72D297353CC}">
              <c16:uniqueId val="{00000056-D000-47AA-A0C0-9824653CFAE9}"/>
            </c:ext>
          </c:extLst>
        </c:ser>
        <c:ser>
          <c:idx val="87"/>
          <c:order val="87"/>
          <c:spPr>
            <a:ln w="3175">
              <a:solidFill>
                <a:srgbClr val="000000"/>
              </a:solidFill>
              <a:prstDash val="solid"/>
            </a:ln>
          </c:spPr>
          <c:marker>
            <c:symbol val="none"/>
          </c:marker>
          <c:xVal>
            <c:numLit>
              <c:formatCode>General</c:formatCode>
              <c:ptCount val="2"/>
              <c:pt idx="0">
                <c:v>-9.5667494735594438</c:v>
              </c:pt>
              <c:pt idx="1">
                <c:v>-9.2721158619463502</c:v>
              </c:pt>
            </c:numLit>
          </c:xVal>
          <c:yVal>
            <c:numLit>
              <c:formatCode>General</c:formatCode>
              <c:ptCount val="2"/>
              <c:pt idx="0">
                <c:v>2.3353355225599216E-2</c:v>
              </c:pt>
              <c:pt idx="1">
                <c:v>2.3311573238950951E-2</c:v>
              </c:pt>
            </c:numLit>
          </c:yVal>
          <c:smooth val="0"/>
          <c:extLst>
            <c:ext xmlns:c16="http://schemas.microsoft.com/office/drawing/2014/chart" uri="{C3380CC4-5D6E-409C-BE32-E72D297353CC}">
              <c16:uniqueId val="{00000057-D000-47AA-A0C0-9824653CFAE9}"/>
            </c:ext>
          </c:extLst>
        </c:ser>
        <c:ser>
          <c:idx val="88"/>
          <c:order val="88"/>
          <c:spPr>
            <a:ln w="3175">
              <a:solidFill>
                <a:srgbClr val="000000"/>
              </a:solidFill>
              <a:prstDash val="solid"/>
            </a:ln>
          </c:spPr>
          <c:marker>
            <c:symbol val="none"/>
          </c:marker>
          <c:xVal>
            <c:numLit>
              <c:formatCode>General</c:formatCode>
              <c:ptCount val="2"/>
              <c:pt idx="0">
                <c:v>-9.6054604899925025</c:v>
              </c:pt>
              <c:pt idx="1">
                <c:v>-9.0148584041306901</c:v>
              </c:pt>
            </c:numLit>
          </c:xVal>
          <c:yVal>
            <c:numLit>
              <c:formatCode>General</c:formatCode>
              <c:ptCount val="2"/>
              <c:pt idx="0">
                <c:v>2.3198926159195745E-2</c:v>
              </c:pt>
              <c:pt idx="1">
                <c:v>2.3120687326120031E-2</c:v>
              </c:pt>
            </c:numLit>
          </c:yVal>
          <c:smooth val="0"/>
          <c:extLst>
            <c:ext xmlns:c16="http://schemas.microsoft.com/office/drawing/2014/chart" uri="{C3380CC4-5D6E-409C-BE32-E72D297353CC}">
              <c16:uniqueId val="{00000058-D000-47AA-A0C0-9824653CFAE9}"/>
            </c:ext>
          </c:extLst>
        </c:ser>
        <c:ser>
          <c:idx val="89"/>
          <c:order val="89"/>
          <c:spPr>
            <a:ln w="3175">
              <a:solidFill>
                <a:srgbClr val="000000"/>
              </a:solidFill>
              <a:prstDash val="solid"/>
            </a:ln>
          </c:spPr>
          <c:marker>
            <c:symbol val="none"/>
          </c:marker>
          <c:xVal>
            <c:numLit>
              <c:formatCode>General</c:formatCode>
              <c:ptCount val="2"/>
              <c:pt idx="0">
                <c:v>-9.6640995467395676</c:v>
              </c:pt>
              <c:pt idx="1">
                <c:v>-9.3677874855888845</c:v>
              </c:pt>
            </c:numLit>
          </c:xVal>
          <c:yVal>
            <c:numLit>
              <c:formatCode>General</c:formatCode>
              <c:ptCount val="2"/>
              <c:pt idx="0">
                <c:v>2.294177753595765E-2</c:v>
              </c:pt>
              <c:pt idx="1">
                <c:v>2.2907091716372171E-2</c:v>
              </c:pt>
            </c:numLit>
          </c:yVal>
          <c:smooth val="0"/>
          <c:extLst>
            <c:ext xmlns:c16="http://schemas.microsoft.com/office/drawing/2014/chart" uri="{C3380CC4-5D6E-409C-BE32-E72D297353CC}">
              <c16:uniqueId val="{00000059-D000-47AA-A0C0-9824653CFAE9}"/>
            </c:ext>
          </c:extLst>
        </c:ser>
        <c:ser>
          <c:idx val="90"/>
          <c:order val="90"/>
          <c:spPr>
            <a:ln w="3175">
              <a:solidFill>
                <a:srgbClr val="000000"/>
              </a:solidFill>
              <a:prstDash val="solid"/>
            </a:ln>
          </c:spPr>
          <c:marker>
            <c:symbol val="none"/>
          </c:marker>
          <c:xVal>
            <c:numLit>
              <c:formatCode>General</c:formatCode>
              <c:ptCount val="2"/>
              <c:pt idx="0">
                <c:v>-9.7057408037734945</c:v>
              </c:pt>
              <c:pt idx="1">
                <c:v>-9.4087107899153306</c:v>
              </c:pt>
            </c:numLit>
          </c:xVal>
          <c:yVal>
            <c:numLit>
              <c:formatCode>General</c:formatCode>
              <c:ptCount val="2"/>
              <c:pt idx="0">
                <c:v>2.2736452704669185E-2</c:v>
              </c:pt>
              <c:pt idx="1">
                <c:v>2.2705306968381786E-2</c:v>
              </c:pt>
            </c:numLit>
          </c:yVal>
          <c:smooth val="0"/>
          <c:extLst>
            <c:ext xmlns:c16="http://schemas.microsoft.com/office/drawing/2014/chart" uri="{C3380CC4-5D6E-409C-BE32-E72D297353CC}">
              <c16:uniqueId val="{0000005A-D000-47AA-A0C0-9824653CFAE9}"/>
            </c:ext>
          </c:extLst>
        </c:ser>
        <c:ser>
          <c:idx val="91"/>
          <c:order val="91"/>
          <c:spPr>
            <a:ln w="3175">
              <a:solidFill>
                <a:srgbClr val="000000"/>
              </a:solidFill>
              <a:prstDash val="solid"/>
            </a:ln>
          </c:spPr>
          <c:marker>
            <c:symbol val="none"/>
          </c:marker>
          <c:xVal>
            <c:numLit>
              <c:formatCode>General</c:formatCode>
              <c:ptCount val="2"/>
              <c:pt idx="0">
                <c:v>-9.7363488755763594</c:v>
              </c:pt>
              <c:pt idx="1">
                <c:v>-9.4387911363422834</c:v>
              </c:pt>
            </c:numLit>
          </c:xVal>
          <c:yVal>
            <c:numLit>
              <c:formatCode>General</c:formatCode>
              <c:ptCount val="2"/>
              <c:pt idx="0">
                <c:v>2.2568842643838953E-2</c:v>
              </c:pt>
              <c:pt idx="1">
                <c:v>2.2540586736186558E-2</c:v>
              </c:pt>
            </c:numLit>
          </c:yVal>
          <c:smooth val="0"/>
          <c:extLst>
            <c:ext xmlns:c16="http://schemas.microsoft.com/office/drawing/2014/chart" uri="{C3380CC4-5D6E-409C-BE32-E72D297353CC}">
              <c16:uniqueId val="{0000005B-D000-47AA-A0C0-9824653CFAE9}"/>
            </c:ext>
          </c:extLst>
        </c:ser>
        <c:ser>
          <c:idx val="92"/>
          <c:order val="92"/>
          <c:spPr>
            <a:ln w="3175">
              <a:solidFill>
                <a:srgbClr val="000000"/>
              </a:solidFill>
              <a:prstDash val="solid"/>
            </a:ln>
          </c:spPr>
          <c:marker>
            <c:symbol val="none"/>
          </c:marker>
          <c:xVal>
            <c:numLit>
              <c:formatCode>General</c:formatCode>
              <c:ptCount val="2"/>
              <c:pt idx="0">
                <c:v>-9.7594920592975569</c:v>
              </c:pt>
              <c:pt idx="1">
                <c:v>-9.4615352996544964</c:v>
              </c:pt>
            </c:numLit>
          </c:xVal>
          <c:yVal>
            <c:numLit>
              <c:formatCode>General</c:formatCode>
              <c:ptCount val="2"/>
              <c:pt idx="0">
                <c:v>2.2429498103471914E-2</c:v>
              </c:pt>
              <c:pt idx="1">
                <c:v>2.2403644687894811E-2</c:v>
              </c:pt>
            </c:numLit>
          </c:yVal>
          <c:smooth val="0"/>
          <c:extLst>
            <c:ext xmlns:c16="http://schemas.microsoft.com/office/drawing/2014/chart" uri="{C3380CC4-5D6E-409C-BE32-E72D297353CC}">
              <c16:uniqueId val="{0000005C-D000-47AA-A0C0-9824653CFAE9}"/>
            </c:ext>
          </c:extLst>
        </c:ser>
        <c:ser>
          <c:idx val="93"/>
          <c:order val="93"/>
          <c:spPr>
            <a:ln w="3175">
              <a:solidFill>
                <a:srgbClr val="000000"/>
              </a:solidFill>
              <a:prstDash val="solid"/>
            </a:ln>
          </c:spPr>
          <c:marker>
            <c:symbol val="none"/>
          </c:marker>
          <c:xVal>
            <c:numLit>
              <c:formatCode>General</c:formatCode>
              <c:ptCount val="2"/>
              <c:pt idx="0">
                <c:v>-9.7774082431157812</c:v>
              </c:pt>
              <c:pt idx="1">
                <c:v>-9.1808769243876487</c:v>
              </c:pt>
            </c:numLit>
          </c:xVal>
          <c:yVal>
            <c:numLit>
              <c:formatCode>General</c:formatCode>
              <c:ptCount val="2"/>
              <c:pt idx="0">
                <c:v>2.2311864752467405E-2</c:v>
              </c:pt>
              <c:pt idx="1">
                <c:v>2.2264214243761633E-2</c:v>
              </c:pt>
            </c:numLit>
          </c:yVal>
          <c:smooth val="0"/>
          <c:extLst>
            <c:ext xmlns:c16="http://schemas.microsoft.com/office/drawing/2014/chart" uri="{C3380CC4-5D6E-409C-BE32-E72D297353CC}">
              <c16:uniqueId val="{0000005D-D000-47AA-A0C0-9824653CFAE9}"/>
            </c:ext>
          </c:extLst>
        </c:ser>
        <c:ser>
          <c:idx val="94"/>
          <c:order val="94"/>
          <c:spPr>
            <a:ln w="3175">
              <a:solidFill>
                <a:srgbClr val="000000"/>
              </a:solidFill>
              <a:prstDash val="solid"/>
            </a:ln>
          </c:spPr>
          <c:marker>
            <c:symbol val="none"/>
          </c:marker>
          <c:xVal>
            <c:numLit>
              <c:formatCode>General</c:formatCode>
              <c:ptCount val="2"/>
              <c:pt idx="0">
                <c:v>-9.826239533393677</c:v>
              </c:pt>
              <c:pt idx="1">
                <c:v>-9.5271319552317166</c:v>
              </c:pt>
            </c:numLit>
          </c:xVal>
          <c:yVal>
            <c:numLit>
              <c:formatCode>General</c:formatCode>
              <c:ptCount val="2"/>
              <c:pt idx="0">
                <c:v>2.19219477646126E-2</c:v>
              </c:pt>
              <c:pt idx="1">
                <c:v>2.1904845216946866E-2</c:v>
              </c:pt>
            </c:numLit>
          </c:yVal>
          <c:smooth val="0"/>
          <c:extLst>
            <c:ext xmlns:c16="http://schemas.microsoft.com/office/drawing/2014/chart" uri="{C3380CC4-5D6E-409C-BE32-E72D297353CC}">
              <c16:uniqueId val="{0000005E-D000-47AA-A0C0-9824653CFAE9}"/>
            </c:ext>
          </c:extLst>
        </c:ser>
        <c:ser>
          <c:idx val="95"/>
          <c:order val="95"/>
          <c:spPr>
            <a:ln w="3175">
              <a:solidFill>
                <a:srgbClr val="000000"/>
              </a:solidFill>
              <a:prstDash val="solid"/>
            </a:ln>
          </c:spPr>
          <c:marker>
            <c:symbol val="none"/>
          </c:marker>
          <c:xVal>
            <c:numLit>
              <c:formatCode>General</c:formatCode>
              <c:ptCount val="2"/>
              <c:pt idx="0">
                <c:v>-9.8465584490956477</c:v>
              </c:pt>
              <c:pt idx="1">
                <c:v>-9.2476426405061414</c:v>
              </c:pt>
            </c:numLit>
          </c:xVal>
          <c:yVal>
            <c:numLit>
              <c:formatCode>General</c:formatCode>
              <c:ptCount val="2"/>
              <c:pt idx="0">
                <c:v>2.1703336717703383E-2</c:v>
              </c:pt>
              <c:pt idx="1">
                <c:v>2.16766699343343E-2</c:v>
              </c:pt>
            </c:numLit>
          </c:yVal>
          <c:smooth val="0"/>
          <c:extLst>
            <c:ext xmlns:c16="http://schemas.microsoft.com/office/drawing/2014/chart" uri="{C3380CC4-5D6E-409C-BE32-E72D297353CC}">
              <c16:uniqueId val="{0000005F-D000-47AA-A0C0-9824653CFAE9}"/>
            </c:ext>
          </c:extLst>
        </c:ser>
        <c:ser>
          <c:idx val="96"/>
          <c:order val="96"/>
          <c:spPr>
            <a:ln w="3175">
              <a:solidFill>
                <a:srgbClr val="000000"/>
              </a:solidFill>
              <a:prstDash val="solid"/>
            </a:ln>
          </c:spPr>
          <c:marker>
            <c:symbol val="none"/>
          </c:marker>
          <c:xVal>
            <c:numLit>
              <c:formatCode>General</c:formatCode>
              <c:ptCount val="2"/>
              <c:pt idx="0">
                <c:v>-9.862870431265371</c:v>
              </c:pt>
              <c:pt idx="1">
                <c:v>-9.5631312858987254</c:v>
              </c:pt>
            </c:numLit>
          </c:xVal>
          <c:yVal>
            <c:numLit>
              <c:formatCode>General</c:formatCode>
              <c:ptCount val="2"/>
              <c:pt idx="0">
                <c:v>2.1466576659932901E-2</c:v>
              </c:pt>
              <c:pt idx="1">
                <c:v>2.1457325338209921E-2</c:v>
              </c:pt>
            </c:numLit>
          </c:yVal>
          <c:smooth val="0"/>
          <c:extLst>
            <c:ext xmlns:c16="http://schemas.microsoft.com/office/drawing/2014/chart" uri="{C3380CC4-5D6E-409C-BE32-E72D297353CC}">
              <c16:uniqueId val="{00000060-D000-47AA-A0C0-9824653CFAE9}"/>
            </c:ext>
          </c:extLst>
        </c:ser>
        <c:ser>
          <c:idx val="97"/>
          <c:order val="97"/>
          <c:spPr>
            <a:ln w="3175">
              <a:solidFill>
                <a:srgbClr val="000000"/>
              </a:solidFill>
              <a:prstDash val="solid"/>
            </a:ln>
          </c:spPr>
          <c:marker>
            <c:symbol val="none"/>
          </c:marker>
          <c:xVal>
            <c:numLit>
              <c:formatCode>General</c:formatCode>
              <c:ptCount val="2"/>
              <c:pt idx="0">
                <c:v>-9.8691357952931487</c:v>
              </c:pt>
              <c:pt idx="1">
                <c:v>-9.2694414575244188</c:v>
              </c:pt>
            </c:numLit>
          </c:xVal>
          <c:yVal>
            <c:numLit>
              <c:formatCode>General</c:formatCode>
              <c:ptCount val="2"/>
              <c:pt idx="0">
                <c:v>2.1340749932151591E-2</c:v>
              </c:pt>
              <c:pt idx="1">
                <c:v>2.1326586141387743E-2</c:v>
              </c:pt>
            </c:numLit>
          </c:yVal>
          <c:smooth val="0"/>
          <c:extLst>
            <c:ext xmlns:c16="http://schemas.microsoft.com/office/drawing/2014/chart" uri="{C3380CC4-5D6E-409C-BE32-E72D297353CC}">
              <c16:uniqueId val="{00000061-D000-47AA-A0C0-9824653CFAE9}"/>
            </c:ext>
          </c:extLst>
        </c:ser>
        <c:ser>
          <c:idx val="98"/>
          <c:order val="98"/>
          <c:spPr>
            <a:ln w="3175">
              <a:solidFill>
                <a:srgbClr val="000000"/>
              </a:solidFill>
              <a:prstDash val="solid"/>
            </a:ln>
          </c:spPr>
          <c:marker>
            <c:symbol val="none"/>
          </c:marker>
          <c:xVal>
            <c:numLit>
              <c:formatCode>General</c:formatCode>
              <c:ptCount val="2"/>
              <c:pt idx="0">
                <c:v>-9.8780000000000001</c:v>
              </c:pt>
              <c:pt idx="1">
                <c:v>-9.2779999999999987</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62-D000-47AA-A0C0-9824653CFAE9}"/>
            </c:ext>
          </c:extLst>
        </c:ser>
        <c:ser>
          <c:idx val="99"/>
          <c:order val="99"/>
          <c:spPr>
            <a:ln w="3175">
              <a:solidFill>
                <a:srgbClr val="000000"/>
              </a:solidFill>
              <a:prstDash val="solid"/>
            </a:ln>
          </c:spPr>
          <c:marker>
            <c:symbol val="none"/>
          </c:marker>
          <c:xVal>
            <c:numLit>
              <c:formatCode>General</c:formatCode>
              <c:ptCount val="2"/>
              <c:pt idx="0">
                <c:v>-9.8665090567206697</c:v>
              </c:pt>
              <c:pt idx="1">
                <c:v>-9.2669052961440936</c:v>
              </c:pt>
            </c:numLit>
          </c:xVal>
          <c:yVal>
            <c:numLit>
              <c:formatCode>General</c:formatCode>
              <c:ptCount val="2"/>
              <c:pt idx="0">
                <c:v>2.0462352026117177E-2</c:v>
              </c:pt>
              <c:pt idx="1">
                <c:v>2.0478477818320035E-2</c:v>
              </c:pt>
            </c:numLit>
          </c:yVal>
          <c:smooth val="0"/>
          <c:extLst>
            <c:ext xmlns:c16="http://schemas.microsoft.com/office/drawing/2014/chart" uri="{C3380CC4-5D6E-409C-BE32-E72D297353CC}">
              <c16:uniqueId val="{00000063-D000-47AA-A0C0-9824653CFAE9}"/>
            </c:ext>
          </c:extLst>
        </c:ser>
        <c:ser>
          <c:idx val="100"/>
          <c:order val="100"/>
          <c:spPr>
            <a:ln w="3175">
              <a:solidFill>
                <a:srgbClr val="000000"/>
              </a:solidFill>
              <a:prstDash val="solid"/>
            </a:ln>
          </c:spPr>
          <c:marker>
            <c:symbol val="none"/>
          </c:marker>
          <c:xVal>
            <c:numLit>
              <c:formatCode>General</c:formatCode>
              <c:ptCount val="2"/>
              <c:pt idx="0">
                <c:v>-9.8566117153194046</c:v>
              </c:pt>
              <c:pt idx="1">
                <c:v>-9.5569804788483808</c:v>
              </c:pt>
            </c:numLit>
          </c:xVal>
          <c:yVal>
            <c:numLit>
              <c:formatCode>General</c:formatCode>
              <c:ptCount val="2"/>
              <c:pt idx="0">
                <c:v>2.0292078253462336E-2</c:v>
              </c:pt>
              <c:pt idx="1">
                <c:v>2.0303076904264708E-2</c:v>
              </c:pt>
            </c:numLit>
          </c:yVal>
          <c:smooth val="0"/>
          <c:extLst>
            <c:ext xmlns:c16="http://schemas.microsoft.com/office/drawing/2014/chart" uri="{C3380CC4-5D6E-409C-BE32-E72D297353CC}">
              <c16:uniqueId val="{00000064-D000-47AA-A0C0-9824653CFAE9}"/>
            </c:ext>
          </c:extLst>
        </c:ser>
        <c:ser>
          <c:idx val="101"/>
          <c:order val="101"/>
          <c:spPr>
            <a:ln w="3175">
              <a:solidFill>
                <a:srgbClr val="000000"/>
              </a:solidFill>
              <a:prstDash val="solid"/>
            </a:ln>
          </c:spPr>
          <c:marker>
            <c:symbol val="none"/>
          </c:marker>
          <c:xVal>
            <c:numLit>
              <c:formatCode>General</c:formatCode>
              <c:ptCount val="2"/>
              <c:pt idx="0">
                <c:v>-9.825120498007605</c:v>
              </c:pt>
              <c:pt idx="1">
                <c:v>-9.2269439291107886</c:v>
              </c:pt>
            </c:numLit>
          </c:xVal>
          <c:yVal>
            <c:numLit>
              <c:formatCode>General</c:formatCode>
              <c:ptCount val="2"/>
              <c:pt idx="0">
                <c:v>1.9927403009249937E-2</c:v>
              </c:pt>
              <c:pt idx="1">
                <c:v>1.9961975319275804E-2</c:v>
              </c:pt>
            </c:numLit>
          </c:yVal>
          <c:smooth val="0"/>
          <c:extLst>
            <c:ext xmlns:c16="http://schemas.microsoft.com/office/drawing/2014/chart" uri="{C3380CC4-5D6E-409C-BE32-E72D297353CC}">
              <c16:uniqueId val="{00000065-D000-47AA-A0C0-9824653CFAE9}"/>
            </c:ext>
          </c:extLst>
        </c:ser>
        <c:ser>
          <c:idx val="102"/>
          <c:order val="102"/>
          <c:spPr>
            <a:ln w="3175">
              <a:solidFill>
                <a:srgbClr val="000000"/>
              </a:solidFill>
              <a:prstDash val="solid"/>
            </a:ln>
          </c:spPr>
          <c:marker>
            <c:symbol val="none"/>
          </c:marker>
          <c:xVal>
            <c:numLit>
              <c:formatCode>General</c:formatCode>
              <c:ptCount val="2"/>
              <c:pt idx="0">
                <c:v>-9.7743638069967425</c:v>
              </c:pt>
              <c:pt idx="1">
                <c:v>-9.1779374688244388</c:v>
              </c:pt>
            </c:numLit>
          </c:xVal>
          <c:yVal>
            <c:numLit>
              <c:formatCode>General</c:formatCode>
              <c:ptCount val="2"/>
              <c:pt idx="0">
                <c:v>1.9527441400141971E-2</c:v>
              </c:pt>
              <c:pt idx="1">
                <c:v>1.957580548979225E-2</c:v>
              </c:pt>
            </c:numLit>
          </c:yVal>
          <c:smooth val="0"/>
          <c:extLst>
            <c:ext xmlns:c16="http://schemas.microsoft.com/office/drawing/2014/chart" uri="{C3380CC4-5D6E-409C-BE32-E72D297353CC}">
              <c16:uniqueId val="{00000066-D000-47AA-A0C0-9824653CFAE9}"/>
            </c:ext>
          </c:extLst>
        </c:ser>
        <c:ser>
          <c:idx val="103"/>
          <c:order val="103"/>
          <c:spPr>
            <a:ln w="3175">
              <a:solidFill>
                <a:srgbClr val="000000"/>
              </a:solidFill>
              <a:prstDash val="solid"/>
            </a:ln>
          </c:spPr>
          <c:marker>
            <c:symbol val="none"/>
          </c:marker>
          <c:xVal>
            <c:numLit>
              <c:formatCode>General</c:formatCode>
              <c:ptCount val="2"/>
              <c:pt idx="0">
                <c:v>-9.7555947041230944</c:v>
              </c:pt>
              <c:pt idx="1">
                <c:v>-9.4577051402589021</c:v>
              </c:pt>
            </c:numLit>
          </c:xVal>
          <c:yVal>
            <c:numLit>
              <c:formatCode>General</c:formatCode>
              <c:ptCount val="2"/>
              <c:pt idx="0">
                <c:v>1.9406130083083659E-2</c:v>
              </c:pt>
              <c:pt idx="1">
                <c:v>1.9432403702340839E-2</c:v>
              </c:pt>
            </c:numLit>
          </c:yVal>
          <c:smooth val="0"/>
          <c:extLst>
            <c:ext xmlns:c16="http://schemas.microsoft.com/office/drawing/2014/chart" uri="{C3380CC4-5D6E-409C-BE32-E72D297353CC}">
              <c16:uniqueId val="{00000067-D000-47AA-A0C0-9824653CFAE9}"/>
            </c:ext>
          </c:extLst>
        </c:ser>
        <c:ser>
          <c:idx val="104"/>
          <c:order val="104"/>
          <c:spPr>
            <a:ln w="3175">
              <a:solidFill>
                <a:srgbClr val="000000"/>
              </a:solidFill>
              <a:prstDash val="solid"/>
            </a:ln>
          </c:spPr>
          <c:marker>
            <c:symbol val="none"/>
          </c:marker>
          <c:xVal>
            <c:numLit>
              <c:formatCode>General</c:formatCode>
              <c:ptCount val="2"/>
              <c:pt idx="0">
                <c:v>-9.7312495160578543</c:v>
              </c:pt>
              <c:pt idx="1">
                <c:v>-9.4337796968154759</c:v>
              </c:pt>
            </c:numLit>
          </c:xVal>
          <c:yVal>
            <c:numLit>
              <c:formatCode>General</c:formatCode>
              <c:ptCount val="2"/>
              <c:pt idx="0">
                <c:v>1.9262042185935597E-2</c:v>
              </c:pt>
              <c:pt idx="1">
                <c:v>1.9290800079281533E-2</c:v>
              </c:pt>
            </c:numLit>
          </c:yVal>
          <c:smooth val="0"/>
          <c:extLst>
            <c:ext xmlns:c16="http://schemas.microsoft.com/office/drawing/2014/chart" uri="{C3380CC4-5D6E-409C-BE32-E72D297353CC}">
              <c16:uniqueId val="{00000068-D000-47AA-A0C0-9824653CFAE9}"/>
            </c:ext>
          </c:extLst>
        </c:ser>
        <c:ser>
          <c:idx val="105"/>
          <c:order val="105"/>
          <c:spPr>
            <a:ln w="3175">
              <a:solidFill>
                <a:srgbClr val="000000"/>
              </a:solidFill>
              <a:prstDash val="solid"/>
            </a:ln>
          </c:spPr>
          <c:marker>
            <c:symbol val="none"/>
          </c:marker>
          <c:xVal>
            <c:numLit>
              <c:formatCode>General</c:formatCode>
              <c:ptCount val="2"/>
              <c:pt idx="0">
                <c:v>-9.6988930377242379</c:v>
              </c:pt>
              <c:pt idx="1">
                <c:v>-9.1050691398716754</c:v>
              </c:pt>
            </c:numLit>
          </c:xVal>
          <c:yVal>
            <c:numLit>
              <c:formatCode>General</c:formatCode>
              <c:ptCount val="2"/>
              <c:pt idx="0">
                <c:v>1.9088173676807301E-2</c:v>
              </c:pt>
              <c:pt idx="1">
                <c:v>1.9151684929331187E-2</c:v>
              </c:pt>
            </c:numLit>
          </c:yVal>
          <c:smooth val="0"/>
          <c:extLst>
            <c:ext xmlns:c16="http://schemas.microsoft.com/office/drawing/2014/chart" uri="{C3380CC4-5D6E-409C-BE32-E72D297353CC}">
              <c16:uniqueId val="{00000069-D000-47AA-A0C0-9824653CFAE9}"/>
            </c:ext>
          </c:extLst>
        </c:ser>
        <c:ser>
          <c:idx val="106"/>
          <c:order val="106"/>
          <c:spPr>
            <a:ln w="3175">
              <a:solidFill>
                <a:srgbClr val="000000"/>
              </a:solidFill>
              <a:prstDash val="solid"/>
            </a:ln>
          </c:spPr>
          <c:marker>
            <c:symbol val="none"/>
          </c:marker>
          <c:xVal>
            <c:numLit>
              <c:formatCode>General</c:formatCode>
              <c:ptCount val="2"/>
              <c:pt idx="0">
                <c:v>-9.6546103310984979</c:v>
              </c:pt>
              <c:pt idx="1">
                <c:v>-9.3584618771140402</c:v>
              </c:pt>
            </c:numLit>
          </c:xVal>
          <c:yVal>
            <c:numLit>
              <c:formatCode>General</c:formatCode>
              <c:ptCount val="2"/>
              <c:pt idx="0">
                <c:v>1.8874364740294421E-2</c:v>
              </c:pt>
              <c:pt idx="1">
                <c:v>1.8909806727530724E-2</c:v>
              </c:pt>
            </c:numLit>
          </c:yVal>
          <c:smooth val="0"/>
          <c:extLst>
            <c:ext xmlns:c16="http://schemas.microsoft.com/office/drawing/2014/chart" uri="{C3380CC4-5D6E-409C-BE32-E72D297353CC}">
              <c16:uniqueId val="{0000006A-D000-47AA-A0C0-9824653CFAE9}"/>
            </c:ext>
          </c:extLst>
        </c:ser>
        <c:ser>
          <c:idx val="107"/>
          <c:order val="107"/>
          <c:spPr>
            <a:ln w="3175">
              <a:solidFill>
                <a:srgbClr val="000000"/>
              </a:solidFill>
              <a:prstDash val="solid"/>
            </a:ln>
          </c:spPr>
          <c:marker>
            <c:symbol val="none"/>
          </c:marker>
          <c:xVal>
            <c:numLit>
              <c:formatCode>General</c:formatCode>
              <c:ptCount val="2"/>
              <c:pt idx="0">
                <c:v>-9.5917920119000488</c:v>
              </c:pt>
              <c:pt idx="1">
                <c:v>-9.0016612528690114</c:v>
              </c:pt>
            </c:numLit>
          </c:xVal>
          <c:yVal>
            <c:numLit>
              <c:formatCode>General</c:formatCode>
              <c:ptCount val="2"/>
              <c:pt idx="0">
                <c:v>1.8605334220365727E-2</c:v>
              </c:pt>
              <c:pt idx="1">
                <c:v>1.8685495109318634E-2</c:v>
              </c:pt>
            </c:numLit>
          </c:yVal>
          <c:smooth val="0"/>
          <c:extLst>
            <c:ext xmlns:c16="http://schemas.microsoft.com/office/drawing/2014/chart" uri="{C3380CC4-5D6E-409C-BE32-E72D297353CC}">
              <c16:uniqueId val="{0000006B-D000-47AA-A0C0-9824653CFAE9}"/>
            </c:ext>
          </c:extLst>
        </c:ser>
        <c:ser>
          <c:idx val="108"/>
          <c:order val="108"/>
          <c:spPr>
            <a:ln w="3175">
              <a:solidFill>
                <a:srgbClr val="000000"/>
              </a:solidFill>
              <a:prstDash val="solid"/>
            </a:ln>
          </c:spPr>
          <c:marker>
            <c:symbol val="none"/>
          </c:marker>
          <c:xVal>
            <c:numLit>
              <c:formatCode>General</c:formatCode>
              <c:ptCount val="2"/>
              <c:pt idx="0">
                <c:v>-9.5500552853147749</c:v>
              </c:pt>
              <c:pt idx="1">
                <c:v>-9.2557095045334847</c:v>
              </c:pt>
            </c:numLit>
          </c:xVal>
          <c:yVal>
            <c:numLit>
              <c:formatCode>General</c:formatCode>
              <c:ptCount val="2"/>
              <c:pt idx="0">
                <c:v>1.8443106339845548E-2</c:v>
              </c:pt>
              <c:pt idx="1">
                <c:v>1.8485983816744763E-2</c:v>
              </c:pt>
            </c:numLit>
          </c:yVal>
          <c:smooth val="0"/>
          <c:extLst>
            <c:ext xmlns:c16="http://schemas.microsoft.com/office/drawing/2014/chart" uri="{C3380CC4-5D6E-409C-BE32-E72D297353CC}">
              <c16:uniqueId val="{0000006C-D000-47AA-A0C0-9824653CFAE9}"/>
            </c:ext>
          </c:extLst>
        </c:ser>
        <c:ser>
          <c:idx val="109"/>
          <c:order val="109"/>
          <c:spPr>
            <a:ln w="3175">
              <a:solidFill>
                <a:srgbClr val="000000"/>
              </a:solidFill>
              <a:prstDash val="solid"/>
            </a:ln>
          </c:spPr>
          <c:marker>
            <c:symbol val="none"/>
          </c:marker>
          <c:xVal>
            <c:numLit>
              <c:formatCode>General</c:formatCode>
              <c:ptCount val="2"/>
              <c:pt idx="0">
                <c:v>-9.4985920174877663</c:v>
              </c:pt>
              <c:pt idx="1">
                <c:v>-8.9116750513674958</c:v>
              </c:pt>
            </c:numLit>
          </c:xVal>
          <c:yVal>
            <c:numLit>
              <c:formatCode>General</c:formatCode>
              <c:ptCount val="2"/>
              <c:pt idx="0">
                <c:v>1.8257081553294929E-2</c:v>
              </c:pt>
              <c:pt idx="1">
                <c:v>1.8349251154905447E-2</c:v>
              </c:pt>
            </c:numLit>
          </c:yVal>
          <c:smooth val="0"/>
          <c:extLst>
            <c:ext xmlns:c16="http://schemas.microsoft.com/office/drawing/2014/chart" uri="{C3380CC4-5D6E-409C-BE32-E72D297353CC}">
              <c16:uniqueId val="{0000006D-D000-47AA-A0C0-9824653CFAE9}"/>
            </c:ext>
          </c:extLst>
        </c:ser>
        <c:ser>
          <c:idx val="110"/>
          <c:order val="110"/>
          <c:spPr>
            <a:ln w="3175">
              <a:solidFill>
                <a:srgbClr val="000000"/>
              </a:solidFill>
              <a:prstDash val="solid"/>
            </a:ln>
          </c:spPr>
          <c:marker>
            <c:symbol val="none"/>
          </c:marker>
          <c:xVal>
            <c:numLit>
              <c:formatCode>General</c:formatCode>
              <c:ptCount val="2"/>
              <c:pt idx="0">
                <c:v>-9.4341733564072943</c:v>
              </c:pt>
              <c:pt idx="1">
                <c:v>-9.1418255399175123</c:v>
              </c:pt>
            </c:numLit>
          </c:xVal>
          <c:yVal>
            <c:numLit>
              <c:formatCode>General</c:formatCode>
              <c:ptCount val="2"/>
              <c:pt idx="0">
                <c:v>1.8041765933534418E-2</c:v>
              </c:pt>
              <c:pt idx="1">
                <c:v>1.8091563072611408E-2</c:v>
              </c:pt>
            </c:numLit>
          </c:yVal>
          <c:smooth val="0"/>
          <c:extLst>
            <c:ext xmlns:c16="http://schemas.microsoft.com/office/drawing/2014/chart" uri="{C3380CC4-5D6E-409C-BE32-E72D297353CC}">
              <c16:uniqueId val="{0000006E-D000-47AA-A0C0-9824653CFAE9}"/>
            </c:ext>
          </c:extLst>
        </c:ser>
        <c:ser>
          <c:idx val="111"/>
          <c:order val="111"/>
          <c:spPr>
            <a:ln w="3175">
              <a:solidFill>
                <a:srgbClr val="000000"/>
              </a:solidFill>
              <a:prstDash val="solid"/>
            </a:ln>
          </c:spPr>
          <c:marker>
            <c:symbol val="none"/>
          </c:marker>
          <c:xVal>
            <c:numLit>
              <c:formatCode>General</c:formatCode>
              <c:ptCount val="2"/>
              <c:pt idx="0">
                <c:v>-9.3521355422659074</c:v>
              </c:pt>
              <c:pt idx="1">
                <c:v>-8.7702687994291519</c:v>
              </c:pt>
            </c:numLit>
          </c:xVal>
          <c:yVal>
            <c:numLit>
              <c:formatCode>General</c:formatCode>
              <c:ptCount val="2"/>
              <c:pt idx="0">
                <c:v>1.7789900045223919E-2</c:v>
              </c:pt>
              <c:pt idx="1">
                <c:v>1.7898179354009301E-2</c:v>
              </c:pt>
            </c:numLit>
          </c:yVal>
          <c:smooth val="0"/>
          <c:extLst>
            <c:ext xmlns:c16="http://schemas.microsoft.com/office/drawing/2014/chart" uri="{C3380CC4-5D6E-409C-BE32-E72D297353CC}">
              <c16:uniqueId val="{0000006F-D000-47AA-A0C0-9824653CFAE9}"/>
            </c:ext>
          </c:extLst>
        </c:ser>
        <c:ser>
          <c:idx val="112"/>
          <c:order val="112"/>
          <c:spPr>
            <a:ln w="3175">
              <a:solidFill>
                <a:srgbClr val="000000"/>
              </a:solidFill>
              <a:prstDash val="solid"/>
            </a:ln>
          </c:spPr>
          <c:marker>
            <c:symbol val="none"/>
          </c:marker>
          <c:xVal>
            <c:numLit>
              <c:formatCode>General</c:formatCode>
              <c:ptCount val="2"/>
              <c:pt idx="0">
                <c:v>-9.2455590364770597</c:v>
              </c:pt>
              <c:pt idx="1">
                <c:v>-8.9564631910205588</c:v>
              </c:pt>
            </c:numLit>
          </c:xVal>
          <c:yVal>
            <c:numLit>
              <c:formatCode>General</c:formatCode>
              <c:ptCount val="2"/>
              <c:pt idx="0">
                <c:v>1.7491727600755014E-2</c:v>
              </c:pt>
              <c:pt idx="1">
                <c:v>1.7551008159362686E-2</c:v>
              </c:pt>
            </c:numLit>
          </c:yVal>
          <c:smooth val="0"/>
          <c:extLst>
            <c:ext xmlns:c16="http://schemas.microsoft.com/office/drawing/2014/chart" uri="{C3380CC4-5D6E-409C-BE32-E72D297353CC}">
              <c16:uniqueId val="{00000070-D000-47AA-A0C0-9824653CFAE9}"/>
            </c:ext>
          </c:extLst>
        </c:ser>
        <c:ser>
          <c:idx val="113"/>
          <c:order val="113"/>
          <c:spPr>
            <a:ln w="3175">
              <a:solidFill>
                <a:srgbClr val="000000"/>
              </a:solidFill>
              <a:prstDash val="solid"/>
            </a:ln>
          </c:spPr>
          <c:marker>
            <c:symbol val="none"/>
          </c:marker>
          <c:xVal>
            <c:numLit>
              <c:formatCode>General</c:formatCode>
              <c:ptCount val="2"/>
              <c:pt idx="0">
                <c:v>-9.1038600359190358</c:v>
              </c:pt>
              <c:pt idx="1">
                <c:v>-8.530554517439068</c:v>
              </c:pt>
            </c:numLit>
          </c:xVal>
          <c:yVal>
            <c:numLit>
              <c:formatCode>General</c:formatCode>
              <c:ptCount val="2"/>
              <c:pt idx="0">
                <c:v>1.7133900318625845E-2</c:v>
              </c:pt>
              <c:pt idx="1">
                <c:v>1.7264800307638748E-2</c:v>
              </c:pt>
            </c:numLit>
          </c:yVal>
          <c:smooth val="0"/>
          <c:extLst>
            <c:ext xmlns:c16="http://schemas.microsoft.com/office/drawing/2014/chart" uri="{C3380CC4-5D6E-409C-BE32-E72D297353CC}">
              <c16:uniqueId val="{00000071-D000-47AA-A0C0-9824653CFAE9}"/>
            </c:ext>
          </c:extLst>
        </c:ser>
        <c:ser>
          <c:idx val="114"/>
          <c:order val="114"/>
          <c:spPr>
            <a:ln w="3175">
              <a:solidFill>
                <a:srgbClr val="000000"/>
              </a:solidFill>
              <a:prstDash val="solid"/>
            </a:ln>
          </c:spPr>
          <c:marker>
            <c:symbol val="none"/>
          </c:marker>
          <c:xVal>
            <c:numLit>
              <c:formatCode>General</c:formatCode>
              <c:ptCount val="2"/>
              <c:pt idx="0">
                <c:v>-9.033886916005148</c:v>
              </c:pt>
              <c:pt idx="1">
                <c:v>-8.748440589867128</c:v>
              </c:pt>
            </c:numLit>
          </c:xVal>
          <c:yVal>
            <c:numLit>
              <c:formatCode>General</c:formatCode>
              <c:ptCount val="2"/>
              <c:pt idx="0">
                <c:v>1.6970127856038714E-2</c:v>
              </c:pt>
              <c:pt idx="1">
                <c:v>1.7038401513693218E-2</c:v>
              </c:pt>
            </c:numLit>
          </c:yVal>
          <c:smooth val="0"/>
          <c:extLst>
            <c:ext xmlns:c16="http://schemas.microsoft.com/office/drawing/2014/chart" uri="{C3380CC4-5D6E-409C-BE32-E72D297353CC}">
              <c16:uniqueId val="{00000072-D000-47AA-A0C0-9824653CFAE9}"/>
            </c:ext>
          </c:extLst>
        </c:ser>
        <c:ser>
          <c:idx val="115"/>
          <c:order val="115"/>
          <c:spPr>
            <a:ln w="3175">
              <a:solidFill>
                <a:srgbClr val="000000"/>
              </a:solidFill>
              <a:prstDash val="solid"/>
            </a:ln>
          </c:spPr>
          <c:marker>
            <c:symbol val="none"/>
          </c:marker>
          <c:xVal>
            <c:numLit>
              <c:formatCode>General</c:formatCode>
              <c:ptCount val="2"/>
              <c:pt idx="0">
                <c:v>-8.954260939861248</c:v>
              </c:pt>
              <c:pt idx="1">
                <c:v>-8.6701874753808799</c:v>
              </c:pt>
            </c:numLit>
          </c:xVal>
          <c:yVal>
            <c:numLit>
              <c:formatCode>General</c:formatCode>
              <c:ptCount val="2"/>
              <c:pt idx="0">
                <c:v>1.6792426733524612E-2</c:v>
              </c:pt>
              <c:pt idx="1">
                <c:v>1.6863764203636257E-2</c:v>
              </c:pt>
            </c:numLit>
          </c:yVal>
          <c:smooth val="0"/>
          <c:extLst>
            <c:ext xmlns:c16="http://schemas.microsoft.com/office/drawing/2014/chart" uri="{C3380CC4-5D6E-409C-BE32-E72D297353CC}">
              <c16:uniqueId val="{00000073-D000-47AA-A0C0-9824653CFAE9}"/>
            </c:ext>
          </c:extLst>
        </c:ser>
        <c:ser>
          <c:idx val="116"/>
          <c:order val="116"/>
          <c:spPr>
            <a:ln w="3175">
              <a:solidFill>
                <a:srgbClr val="000000"/>
              </a:solidFill>
              <a:prstDash val="solid"/>
            </a:ln>
          </c:spPr>
          <c:marker>
            <c:symbol val="none"/>
          </c:marker>
          <c:xVal>
            <c:numLit>
              <c:formatCode>General</c:formatCode>
              <c:ptCount val="2"/>
              <c:pt idx="0">
                <c:v>-8.8631822315685405</c:v>
              </c:pt>
              <c:pt idx="1">
                <c:v>-8.5806790896449439</c:v>
              </c:pt>
            </c:numLit>
          </c:xVal>
          <c:yVal>
            <c:numLit>
              <c:formatCode>General</c:formatCode>
              <c:ptCount val="2"/>
              <c:pt idx="0">
                <c:v>1.6599076898329495E-2</c:v>
              </c:pt>
              <c:pt idx="1">
                <c:v>1.6673747986289334E-2</c:v>
              </c:pt>
            </c:numLit>
          </c:yVal>
          <c:smooth val="0"/>
          <c:extLst>
            <c:ext xmlns:c16="http://schemas.microsoft.com/office/drawing/2014/chart" uri="{C3380CC4-5D6E-409C-BE32-E72D297353CC}">
              <c16:uniqueId val="{00000074-D000-47AA-A0C0-9824653CFAE9}"/>
            </c:ext>
          </c:extLst>
        </c:ser>
        <c:ser>
          <c:idx val="117"/>
          <c:order val="117"/>
          <c:spPr>
            <a:ln w="3175">
              <a:solidFill>
                <a:srgbClr val="000000"/>
              </a:solidFill>
              <a:prstDash val="solid"/>
            </a:ln>
          </c:spPr>
          <c:marker>
            <c:symbol val="none"/>
          </c:marker>
          <c:xVal>
            <c:numLit>
              <c:formatCode>General</c:formatCode>
              <c:ptCount val="2"/>
              <c:pt idx="0">
                <c:v>-8.7584282202067296</c:v>
              </c:pt>
              <c:pt idx="1">
                <c:v>-8.477731181927302</c:v>
              </c:pt>
            </c:numLit>
          </c:xVal>
          <c:yVal>
            <c:numLit>
              <c:formatCode>General</c:formatCode>
              <c:ptCount val="2"/>
              <c:pt idx="0">
                <c:v>1.6388094622981707E-2</c:v>
              </c:pt>
              <c:pt idx="1">
                <c:v>1.6466403336378575E-2</c:v>
              </c:pt>
            </c:numLit>
          </c:yVal>
          <c:smooth val="0"/>
          <c:extLst>
            <c:ext xmlns:c16="http://schemas.microsoft.com/office/drawing/2014/chart" uri="{C3380CC4-5D6E-409C-BE32-E72D297353CC}">
              <c16:uniqueId val="{00000075-D000-47AA-A0C0-9824653CFAE9}"/>
            </c:ext>
          </c:extLst>
        </c:ser>
        <c:ser>
          <c:idx val="118"/>
          <c:order val="118"/>
          <c:spPr>
            <a:ln w="3175">
              <a:solidFill>
                <a:srgbClr val="000000"/>
              </a:solidFill>
              <a:prstDash val="solid"/>
            </a:ln>
          </c:spPr>
          <c:marker>
            <c:symbol val="none"/>
          </c:marker>
          <c:xVal>
            <c:numLit>
              <c:formatCode>General</c:formatCode>
              <c:ptCount val="2"/>
              <c:pt idx="0">
                <c:v>-8.6372348348493126</c:v>
              </c:pt>
              <c:pt idx="1">
                <c:v>-8.0800198405441641</c:v>
              </c:pt>
            </c:numLit>
          </c:xVal>
          <c:yVal>
            <c:numLit>
              <c:formatCode>General</c:formatCode>
              <c:ptCount val="2"/>
              <c:pt idx="0">
                <c:v>1.6157190180898885E-2</c:v>
              </c:pt>
              <c:pt idx="1">
                <c:v>1.6321769829833407E-2</c:v>
              </c:pt>
            </c:numLit>
          </c:yVal>
          <c:smooth val="0"/>
          <c:extLst>
            <c:ext xmlns:c16="http://schemas.microsoft.com/office/drawing/2014/chart" uri="{C3380CC4-5D6E-409C-BE32-E72D297353CC}">
              <c16:uniqueId val="{00000076-D000-47AA-A0C0-9824653CFAE9}"/>
            </c:ext>
          </c:extLst>
        </c:ser>
        <c:ser>
          <c:idx val="119"/>
          <c:order val="119"/>
          <c:spPr>
            <a:ln w="3175">
              <a:solidFill>
                <a:srgbClr val="000000"/>
              </a:solidFill>
              <a:prstDash val="solid"/>
            </a:ln>
          </c:spPr>
          <c:marker>
            <c:symbol val="none"/>
          </c:marker>
          <c:xVal>
            <c:numLit>
              <c:formatCode>General</c:formatCode>
              <c:ptCount val="2"/>
              <c:pt idx="0">
                <c:v>-8.5694238961193641</c:v>
              </c:pt>
              <c:pt idx="1">
                <c:v>-8.2919855530828226</c:v>
              </c:pt>
            </c:numLit>
          </c:xVal>
          <c:yVal>
            <c:numLit>
              <c:formatCode>General</c:formatCode>
              <c:ptCount val="2"/>
              <c:pt idx="0">
                <c:v>1.6033456612372633E-2</c:v>
              </c:pt>
              <c:pt idx="1">
                <c:v>1.611787977422828E-2</c:v>
              </c:pt>
            </c:numLit>
          </c:yVal>
          <c:smooth val="0"/>
          <c:extLst>
            <c:ext xmlns:c16="http://schemas.microsoft.com/office/drawing/2014/chart" uri="{C3380CC4-5D6E-409C-BE32-E72D297353CC}">
              <c16:uniqueId val="{00000077-D000-47AA-A0C0-9824653CFAE9}"/>
            </c:ext>
          </c:extLst>
        </c:ser>
        <c:ser>
          <c:idx val="120"/>
          <c:order val="120"/>
          <c:spPr>
            <a:ln w="3175">
              <a:solidFill>
                <a:srgbClr val="000000"/>
              </a:solidFill>
              <a:prstDash val="solid"/>
            </a:ln>
          </c:spPr>
          <c:marker>
            <c:symbol val="none"/>
          </c:marker>
          <c:xVal>
            <c:numLit>
              <c:formatCode>General</c:formatCode>
              <c:ptCount val="2"/>
              <c:pt idx="0">
                <c:v>-8.496139552640436</c:v>
              </c:pt>
              <c:pt idx="1">
                <c:v>-8.2199647327673251</c:v>
              </c:pt>
            </c:numLit>
          </c:xVal>
          <c:yVal>
            <c:numLit>
              <c:formatCode>General</c:formatCode>
              <c:ptCount val="2"/>
              <c:pt idx="0">
                <c:v>1.590372165004483E-2</c:v>
              </c:pt>
              <c:pt idx="1">
                <c:v>1.599038162159578E-2</c:v>
              </c:pt>
            </c:numLit>
          </c:yVal>
          <c:smooth val="0"/>
          <c:extLst>
            <c:ext xmlns:c16="http://schemas.microsoft.com/office/drawing/2014/chart" uri="{C3380CC4-5D6E-409C-BE32-E72D297353CC}">
              <c16:uniqueId val="{00000078-D000-47AA-A0C0-9824653CFAE9}"/>
            </c:ext>
          </c:extLst>
        </c:ser>
        <c:ser>
          <c:idx val="121"/>
          <c:order val="121"/>
          <c:spPr>
            <a:ln w="3175">
              <a:solidFill>
                <a:srgbClr val="000000"/>
              </a:solidFill>
              <a:prstDash val="solid"/>
            </a:ln>
          </c:spPr>
          <c:marker>
            <c:symbol val="none"/>
          </c:marker>
          <c:xVal>
            <c:numLit>
              <c:formatCode>General</c:formatCode>
              <c:ptCount val="2"/>
              <c:pt idx="0">
                <c:v>-8.4168057372568565</c:v>
              </c:pt>
              <c:pt idx="1">
                <c:v>-8.1419987417869102</c:v>
              </c:pt>
            </c:numLit>
          </c:xVal>
          <c:yVal>
            <c:numLit>
              <c:formatCode>General</c:formatCode>
              <c:ptCount val="2"/>
              <c:pt idx="0">
                <c:v>1.5767592217746176E-2</c:v>
              </c:pt>
              <c:pt idx="1">
                <c:v>1.5856599248474688E-2</c:v>
              </c:pt>
            </c:numLit>
          </c:yVal>
          <c:smooth val="0"/>
          <c:extLst>
            <c:ext xmlns:c16="http://schemas.microsoft.com/office/drawing/2014/chart" uri="{C3380CC4-5D6E-409C-BE32-E72D297353CC}">
              <c16:uniqueId val="{00000079-D000-47AA-A0C0-9824653CFAE9}"/>
            </c:ext>
          </c:extLst>
        </c:ser>
        <c:ser>
          <c:idx val="122"/>
          <c:order val="122"/>
          <c:spPr>
            <a:ln w="3175">
              <a:solidFill>
                <a:srgbClr val="000000"/>
              </a:solidFill>
              <a:prstDash val="solid"/>
            </a:ln>
          </c:spPr>
          <c:marker>
            <c:symbol val="none"/>
          </c:marker>
          <c:xVal>
            <c:numLit>
              <c:formatCode>General</c:formatCode>
              <c:ptCount val="2"/>
              <c:pt idx="0">
                <c:v>-8.3307730905498314</c:v>
              </c:pt>
              <c:pt idx="1">
                <c:v>-8.0574494165748334</c:v>
              </c:pt>
            </c:numLit>
          </c:xVal>
          <c:yVal>
            <c:numLit>
              <c:formatCode>General</c:formatCode>
              <c:ptCount val="2"/>
              <c:pt idx="0">
                <c:v>1.5624647462044871E-2</c:v>
              </c:pt>
              <c:pt idx="1">
                <c:v>1.5716119057526855E-2</c:v>
              </c:pt>
            </c:numLit>
          </c:yVal>
          <c:smooth val="0"/>
          <c:extLst>
            <c:ext xmlns:c16="http://schemas.microsoft.com/office/drawing/2014/chart" uri="{C3380CC4-5D6E-409C-BE32-E72D297353CC}">
              <c16:uniqueId val="{0000007A-D000-47AA-A0C0-9824653CFAE9}"/>
            </c:ext>
          </c:extLst>
        </c:ser>
        <c:ser>
          <c:idx val="123"/>
          <c:order val="123"/>
          <c:spPr>
            <a:ln w="3175">
              <a:solidFill>
                <a:srgbClr val="000000"/>
              </a:solidFill>
              <a:prstDash val="solid"/>
            </a:ln>
          </c:spPr>
          <c:marker>
            <c:symbol val="none"/>
          </c:marker>
          <c:xVal>
            <c:numLit>
              <c:formatCode>General</c:formatCode>
              <c:ptCount val="2"/>
              <c:pt idx="0">
                <c:v>-8.2373083506110412</c:v>
              </c:pt>
              <c:pt idx="1">
                <c:v>-7.6938839247279001</c:v>
              </c:pt>
            </c:numLit>
          </c:xVal>
          <c:yVal>
            <c:numLit>
              <c:formatCode>General</c:formatCode>
              <c:ptCount val="2"/>
              <c:pt idx="0">
                <c:v>1.5474437646003199E-2</c:v>
              </c:pt>
              <c:pt idx="1">
                <c:v>1.5662560485796194E-2</c:v>
              </c:pt>
            </c:numLit>
          </c:yVal>
          <c:smooth val="0"/>
          <c:extLst>
            <c:ext xmlns:c16="http://schemas.microsoft.com/office/drawing/2014/chart" uri="{C3380CC4-5D6E-409C-BE32-E72D297353CC}">
              <c16:uniqueId val="{0000007B-D000-47AA-A0C0-9824653CFAE9}"/>
            </c:ext>
          </c:extLst>
        </c:ser>
        <c:ser>
          <c:idx val="124"/>
          <c:order val="124"/>
          <c:spPr>
            <a:ln w="3175">
              <a:solidFill>
                <a:srgbClr val="000000"/>
              </a:solidFill>
              <a:prstDash val="solid"/>
            </a:ln>
          </c:spPr>
          <c:marker>
            <c:symbol val="none"/>
          </c:marker>
          <c:xVal>
            <c:numLit>
              <c:formatCode>General</c:formatCode>
              <c:ptCount val="2"/>
              <c:pt idx="0">
                <c:v>-8.135582109378646</c:v>
              </c:pt>
              <c:pt idx="1">
                <c:v>-7.865623797147979</c:v>
              </c:pt>
            </c:numLit>
          </c:xVal>
          <c:yVal>
            <c:numLit>
              <c:formatCode>General</c:formatCode>
              <c:ptCount val="2"/>
              <c:pt idx="0">
                <c:v>1.5316483392004664E-2</c:v>
              </c:pt>
              <c:pt idx="1">
                <c:v>1.5413268161108032E-2</c:v>
              </c:pt>
            </c:numLit>
          </c:yVal>
          <c:smooth val="0"/>
          <c:extLst>
            <c:ext xmlns:c16="http://schemas.microsoft.com/office/drawing/2014/chart" uri="{C3380CC4-5D6E-409C-BE32-E72D297353CC}">
              <c16:uniqueId val="{0000007C-D000-47AA-A0C0-9824653CFAE9}"/>
            </c:ext>
          </c:extLst>
        </c:ser>
        <c:ser>
          <c:idx val="125"/>
          <c:order val="125"/>
          <c:spPr>
            <a:ln w="3175">
              <a:solidFill>
                <a:srgbClr val="000000"/>
              </a:solidFill>
              <a:prstDash val="solid"/>
            </a:ln>
          </c:spPr>
          <c:marker>
            <c:symbol val="none"/>
          </c:marker>
          <c:xVal>
            <c:numLit>
              <c:formatCode>General</c:formatCode>
              <c:ptCount val="2"/>
              <c:pt idx="0">
                <c:v>-8.0246546988258096</c:v>
              </c:pt>
              <c:pt idx="1">
                <c:v>-7.7566089281563979</c:v>
              </c:pt>
            </c:numLit>
          </c:xVal>
          <c:yVal>
            <c:numLit>
              <c:formatCode>General</c:formatCode>
              <c:ptCount val="2"/>
              <c:pt idx="0">
                <c:v>1.5150275451951677E-2</c:v>
              </c:pt>
              <c:pt idx="1">
                <c:v>1.5249925875193889E-2</c:v>
              </c:pt>
            </c:numLit>
          </c:yVal>
          <c:smooth val="0"/>
          <c:extLst>
            <c:ext xmlns:c16="http://schemas.microsoft.com/office/drawing/2014/chart" uri="{C3380CC4-5D6E-409C-BE32-E72D297353CC}">
              <c16:uniqueId val="{0000007D-D000-47AA-A0C0-9824653CFAE9}"/>
            </c:ext>
          </c:extLst>
        </c:ser>
        <c:ser>
          <c:idx val="126"/>
          <c:order val="126"/>
          <c:spPr>
            <a:ln w="3175">
              <a:solidFill>
                <a:srgbClr val="000000"/>
              </a:solidFill>
              <a:prstDash val="solid"/>
            </a:ln>
          </c:spPr>
          <c:marker>
            <c:symbol val="none"/>
          </c:marker>
          <c:xVal>
            <c:numLit>
              <c:formatCode>General</c:formatCode>
              <c:ptCount val="2"/>
              <c:pt idx="0">
                <c:v>-7.9034599509797507</c:v>
              </c:pt>
              <c:pt idx="1">
                <c:v>-7.6375037449283747</c:v>
              </c:pt>
            </c:numLit>
          </c:xVal>
          <c:yVal>
            <c:numLit>
              <c:formatCode>General</c:formatCode>
              <c:ptCount val="2"/>
              <c:pt idx="0">
                <c:v>1.4975275245324009E-2</c:v>
              </c:pt>
              <c:pt idx="1">
                <c:v>1.5077942913508079E-2</c:v>
              </c:pt>
            </c:numLit>
          </c:yVal>
          <c:smooth val="0"/>
          <c:extLst>
            <c:ext xmlns:c16="http://schemas.microsoft.com/office/drawing/2014/chart" uri="{C3380CC4-5D6E-409C-BE32-E72D297353CC}">
              <c16:uniqueId val="{0000007E-D000-47AA-A0C0-9824653CFAE9}"/>
            </c:ext>
          </c:extLst>
        </c:ser>
        <c:ser>
          <c:idx val="127"/>
          <c:order val="127"/>
          <c:spPr>
            <a:ln w="3175">
              <a:solidFill>
                <a:srgbClr val="000000"/>
              </a:solidFill>
              <a:prstDash val="solid"/>
            </a:ln>
          </c:spPr>
          <c:marker>
            <c:symbol val="none"/>
          </c:marker>
          <c:xVal>
            <c:numLit>
              <c:formatCode>General</c:formatCode>
              <c:ptCount val="2"/>
              <c:pt idx="0">
                <c:v>-7.7707865642283949</c:v>
              </c:pt>
              <c:pt idx="1">
                <c:v>-7.5071178303623878</c:v>
              </c:pt>
            </c:numLit>
          </c:xVal>
          <c:yVal>
            <c:numLit>
              <c:formatCode>General</c:formatCode>
              <c:ptCount val="2"/>
              <c:pt idx="0">
                <c:v>1.4790916486985731E-2</c:v>
              </c:pt>
              <c:pt idx="1">
                <c:v>1.4896762754451495E-2</c:v>
              </c:pt>
            </c:numLit>
          </c:yVal>
          <c:smooth val="0"/>
          <c:extLst>
            <c:ext xmlns:c16="http://schemas.microsoft.com/office/drawing/2014/chart" uri="{C3380CC4-5D6E-409C-BE32-E72D297353CC}">
              <c16:uniqueId val="{0000007F-D000-47AA-A0C0-9824653CFAE9}"/>
            </c:ext>
          </c:extLst>
        </c:ser>
        <c:ser>
          <c:idx val="128"/>
          <c:order val="128"/>
          <c:spPr>
            <a:ln w="3175">
              <a:solidFill>
                <a:srgbClr val="000000"/>
              </a:solidFill>
              <a:prstDash val="solid"/>
            </a:ln>
          </c:spPr>
          <c:marker>
            <c:symbol val="none"/>
          </c:marker>
          <c:xVal>
            <c:numLit>
              <c:formatCode>General</c:formatCode>
              <c:ptCount val="2"/>
              <c:pt idx="0">
                <c:v>-7.6252568113761559</c:v>
              </c:pt>
              <c:pt idx="1">
                <c:v>-7.1029376109838731</c:v>
              </c:pt>
            </c:numLit>
          </c:xVal>
          <c:yVal>
            <c:numLit>
              <c:formatCode>General</c:formatCode>
              <c:ptCount val="2"/>
              <c:pt idx="0">
                <c:v>1.4596608332400495E-2</c:v>
              </c:pt>
              <c:pt idx="1">
                <c:v>1.4815001148524616E-2</c:v>
              </c:pt>
            </c:numLit>
          </c:yVal>
          <c:smooth val="0"/>
          <c:extLst>
            <c:ext xmlns:c16="http://schemas.microsoft.com/office/drawing/2014/chart" uri="{C3380CC4-5D6E-409C-BE32-E72D297353CC}">
              <c16:uniqueId val="{00000080-D000-47AA-A0C0-9824653CFAE9}"/>
            </c:ext>
          </c:extLst>
        </c:ser>
        <c:ser>
          <c:idx val="129"/>
          <c:order val="129"/>
          <c:spPr>
            <a:ln w="3175">
              <a:solidFill>
                <a:srgbClr val="000000"/>
              </a:solidFill>
              <a:prstDash val="solid"/>
            </a:ln>
          </c:spPr>
          <c:marker>
            <c:symbol val="none"/>
          </c:marker>
          <c:xVal>
            <c:numLit>
              <c:formatCode>General</c:formatCode>
              <c:ptCount val="2"/>
              <c:pt idx="0">
                <c:v>-7.4653023527450681</c:v>
              </c:pt>
              <c:pt idx="1">
                <c:v>-7.2069005880425658</c:v>
              </c:pt>
            </c:numLit>
          </c:xVal>
          <c:yVal>
            <c:numLit>
              <c:formatCode>General</c:formatCode>
              <c:ptCount val="2"/>
              <c:pt idx="0">
                <c:v>1.4391740604136366E-2</c:v>
              </c:pt>
              <c:pt idx="1">
                <c:v>1.4504469214409878E-2</c:v>
              </c:pt>
            </c:numLit>
          </c:yVal>
          <c:smooth val="0"/>
          <c:extLst>
            <c:ext xmlns:c16="http://schemas.microsoft.com/office/drawing/2014/chart" uri="{C3380CC4-5D6E-409C-BE32-E72D297353CC}">
              <c16:uniqueId val="{00000081-D000-47AA-A0C0-9824653CFAE9}"/>
            </c:ext>
          </c:extLst>
        </c:ser>
        <c:ser>
          <c:idx val="130"/>
          <c:order val="130"/>
          <c:spPr>
            <a:ln w="3175">
              <a:solidFill>
                <a:srgbClr val="000000"/>
              </a:solidFill>
              <a:prstDash val="solid"/>
            </a:ln>
          </c:spPr>
          <c:marker>
            <c:symbol val="none"/>
          </c:marker>
          <c:xVal>
            <c:numLit>
              <c:formatCode>General</c:formatCode>
              <c:ptCount val="2"/>
              <c:pt idx="0">
                <c:v>-7.2891369857220321</c:v>
              </c:pt>
              <c:pt idx="1">
                <c:v>-7.0337725549337202</c:v>
              </c:pt>
            </c:numLit>
          </c:xVal>
          <c:yVal>
            <c:numLit>
              <c:formatCode>General</c:formatCode>
              <c:ptCount val="2"/>
              <c:pt idx="0">
                <c:v>1.4175691836973547E-2</c:v>
              </c:pt>
              <c:pt idx="1">
                <c:v>1.4292145425991245E-2</c:v>
              </c:pt>
            </c:numLit>
          </c:yVal>
          <c:smooth val="0"/>
          <c:extLst>
            <c:ext xmlns:c16="http://schemas.microsoft.com/office/drawing/2014/chart" uri="{C3380CC4-5D6E-409C-BE32-E72D297353CC}">
              <c16:uniqueId val="{00000082-D000-47AA-A0C0-9824653CFAE9}"/>
            </c:ext>
          </c:extLst>
        </c:ser>
        <c:ser>
          <c:idx val="131"/>
          <c:order val="131"/>
          <c:spPr>
            <a:ln w="3175">
              <a:solidFill>
                <a:srgbClr val="000000"/>
              </a:solidFill>
              <a:prstDash val="solid"/>
            </a:ln>
          </c:spPr>
          <c:marker>
            <c:symbol val="none"/>
          </c:marker>
          <c:xVal>
            <c:numLit>
              <c:formatCode>General</c:formatCode>
              <c:ptCount val="2"/>
              <c:pt idx="0">
                <c:v>-7.0947262932026645</c:v>
              </c:pt>
              <c:pt idx="1">
                <c:v>-6.8427137709060659</c:v>
              </c:pt>
            </c:numLit>
          </c:xVal>
          <c:yVal>
            <c:numLit>
              <c:formatCode>General</c:formatCode>
              <c:ptCount val="2"/>
              <c:pt idx="0">
                <c:v>1.3947841096409371E-2</c:v>
              </c:pt>
              <c:pt idx="1">
                <c:v>1.4068223146471279E-2</c:v>
              </c:pt>
            </c:numLit>
          </c:yVal>
          <c:smooth val="0"/>
          <c:extLst>
            <c:ext xmlns:c16="http://schemas.microsoft.com/office/drawing/2014/chart" uri="{C3380CC4-5D6E-409C-BE32-E72D297353CC}">
              <c16:uniqueId val="{00000083-D000-47AA-A0C0-9824653CFAE9}"/>
            </c:ext>
          </c:extLst>
        </c:ser>
        <c:ser>
          <c:idx val="132"/>
          <c:order val="132"/>
          <c:spPr>
            <a:ln w="3175">
              <a:solidFill>
                <a:srgbClr val="000000"/>
              </a:solidFill>
              <a:prstDash val="solid"/>
            </a:ln>
          </c:spPr>
          <c:marker>
            <c:symbol val="none"/>
          </c:marker>
          <c:xVal>
            <c:numLit>
              <c:formatCode>General</c:formatCode>
              <c:ptCount val="2"/>
              <c:pt idx="0">
                <c:v>-6.8797543799888556</c:v>
              </c:pt>
              <c:pt idx="1">
                <c:v>-6.6314482699890469</c:v>
              </c:pt>
            </c:numLit>
          </c:xVal>
          <c:yVal>
            <c:numLit>
              <c:formatCode>General</c:formatCode>
              <c:ptCount val="2"/>
              <c:pt idx="0">
                <c:v>1.3707584792488141E-2</c:v>
              </c:pt>
              <c:pt idx="1">
                <c:v>1.3832109192617657E-2</c:v>
              </c:pt>
            </c:numLit>
          </c:yVal>
          <c:smooth val="0"/>
          <c:extLst>
            <c:ext xmlns:c16="http://schemas.microsoft.com/office/drawing/2014/chart" uri="{C3380CC4-5D6E-409C-BE32-E72D297353CC}">
              <c16:uniqueId val="{00000084-D000-47AA-A0C0-9824653CFAE9}"/>
            </c:ext>
          </c:extLst>
        </c:ser>
        <c:ser>
          <c:idx val="133"/>
          <c:order val="133"/>
          <c:spPr>
            <a:ln w="3175">
              <a:solidFill>
                <a:srgbClr val="000000"/>
              </a:solidFill>
              <a:prstDash val="solid"/>
            </a:ln>
          </c:spPr>
          <c:marker>
            <c:symbol val="none"/>
          </c:marker>
          <c:xVal>
            <c:numLit>
              <c:formatCode>General</c:formatCode>
              <c:ptCount val="2"/>
              <c:pt idx="0">
                <c:v>-6.6415882541581794</c:v>
              </c:pt>
              <c:pt idx="1">
                <c:v>-6.1531886591872063</c:v>
              </c:pt>
            </c:numLit>
          </c:xVal>
          <c:yVal>
            <c:numLit>
              <c:formatCode>General</c:formatCode>
              <c:ptCount val="2"/>
              <c:pt idx="0">
                <c:v>1.3454360029547155E-2</c:v>
              </c:pt>
              <c:pt idx="1">
                <c:v>1.3712140718183462E-2</c:v>
              </c:pt>
            </c:numLit>
          </c:yVal>
          <c:smooth val="0"/>
          <c:extLst>
            <c:ext xmlns:c16="http://schemas.microsoft.com/office/drawing/2014/chart" uri="{C3380CC4-5D6E-409C-BE32-E72D297353CC}">
              <c16:uniqueId val="{00000085-D000-47AA-A0C0-9824653CFAE9}"/>
            </c:ext>
          </c:extLst>
        </c:ser>
        <c:ser>
          <c:idx val="134"/>
          <c:order val="134"/>
          <c:spPr>
            <a:ln w="3175">
              <a:solidFill>
                <a:srgbClr val="000000"/>
              </a:solidFill>
              <a:prstDash val="solid"/>
            </a:ln>
          </c:spPr>
          <c:marker>
            <c:symbol val="none"/>
          </c:marker>
          <c:xVal>
            <c:numLit>
              <c:formatCode>General</c:formatCode>
              <c:ptCount val="2"/>
              <c:pt idx="0">
                <c:v>-6.5128887746212865</c:v>
              </c:pt>
              <c:pt idx="1">
                <c:v>-6.2709079336795401</c:v>
              </c:pt>
            </c:numLit>
          </c:xVal>
          <c:yVal>
            <c:numLit>
              <c:formatCode>General</c:formatCode>
              <c:ptCount val="2"/>
              <c:pt idx="0">
                <c:v>1.3322727312893847E-2</c:v>
              </c:pt>
              <c:pt idx="1">
                <c:v>1.3453887186809472E-2</c:v>
              </c:pt>
            </c:numLit>
          </c:yVal>
          <c:smooth val="0"/>
          <c:extLst>
            <c:ext xmlns:c16="http://schemas.microsoft.com/office/drawing/2014/chart" uri="{C3380CC4-5D6E-409C-BE32-E72D297353CC}">
              <c16:uniqueId val="{00000086-D000-47AA-A0C0-9824653CFAE9}"/>
            </c:ext>
          </c:extLst>
        </c:ser>
        <c:ser>
          <c:idx val="135"/>
          <c:order val="135"/>
          <c:spPr>
            <a:ln w="3175">
              <a:solidFill>
                <a:srgbClr val="000000"/>
              </a:solidFill>
              <a:prstDash val="solid"/>
            </a:ln>
          </c:spPr>
          <c:marker>
            <c:symbol val="none"/>
          </c:marker>
          <c:xVal>
            <c:numLit>
              <c:formatCode>General</c:formatCode>
              <c:ptCount val="2"/>
              <c:pt idx="0">
                <c:v>-6.377240982176394</c:v>
              </c:pt>
              <c:pt idx="1">
                <c:v>-5.8979568103772069</c:v>
              </c:pt>
            </c:numLit>
          </c:xVal>
          <c:yVal>
            <c:numLit>
              <c:formatCode>General</c:formatCode>
              <c:ptCount val="2"/>
              <c:pt idx="0">
                <c:v>1.3187676396417802E-2</c:v>
              </c:pt>
              <c:pt idx="1">
                <c:v>1.3454653072403396E-2</c:v>
              </c:pt>
            </c:numLit>
          </c:yVal>
          <c:smooth val="0"/>
          <c:extLst>
            <c:ext xmlns:c16="http://schemas.microsoft.com/office/drawing/2014/chart" uri="{C3380CC4-5D6E-409C-BE32-E72D297353CC}">
              <c16:uniqueId val="{00000087-D000-47AA-A0C0-9824653CFAE9}"/>
            </c:ext>
          </c:extLst>
        </c:ser>
        <c:ser>
          <c:idx val="136"/>
          <c:order val="136"/>
          <c:spPr>
            <a:ln w="3175">
              <a:solidFill>
                <a:srgbClr val="000000"/>
              </a:solidFill>
              <a:prstDash val="solid"/>
            </a:ln>
          </c:spPr>
          <c:marker>
            <c:symbol val="none"/>
          </c:marker>
          <c:xVal>
            <c:numLit>
              <c:formatCode>General</c:formatCode>
              <c:ptCount val="2"/>
              <c:pt idx="0">
                <c:v>-6.2342102755987439</c:v>
              </c:pt>
              <c:pt idx="1">
                <c:v>-5.9970342363642821</c:v>
              </c:pt>
            </c:numLit>
          </c:xVal>
          <c:yVal>
            <c:numLit>
              <c:formatCode>General</c:formatCode>
              <c:ptCount val="2"/>
              <c:pt idx="0">
                <c:v>1.304916427263535E-2</c:v>
              </c:pt>
              <c:pt idx="1">
                <c:v>1.3185040750693362E-2</c:v>
              </c:pt>
            </c:numLit>
          </c:yVal>
          <c:smooth val="0"/>
          <c:extLst>
            <c:ext xmlns:c16="http://schemas.microsoft.com/office/drawing/2014/chart" uri="{C3380CC4-5D6E-409C-BE32-E72D297353CC}">
              <c16:uniqueId val="{00000088-D000-47AA-A0C0-9824653CFAE9}"/>
            </c:ext>
          </c:extLst>
        </c:ser>
        <c:ser>
          <c:idx val="137"/>
          <c:order val="137"/>
          <c:spPr>
            <a:ln w="3175">
              <a:solidFill>
                <a:srgbClr val="000000"/>
              </a:solidFill>
              <a:prstDash val="solid"/>
            </a:ln>
          </c:spPr>
          <c:marker>
            <c:symbol val="none"/>
          </c:marker>
          <c:xVal>
            <c:numLit>
              <c:formatCode>General</c:formatCode>
              <c:ptCount val="2"/>
              <c:pt idx="0">
                <c:v>-6.0833356038875808</c:v>
              </c:pt>
              <c:pt idx="1">
                <c:v>-5.6141861003052496</c:v>
              </c:pt>
            </c:numLit>
          </c:xVal>
          <c:yVal>
            <c:numLit>
              <c:formatCode>General</c:formatCode>
              <c:ptCount val="2"/>
              <c:pt idx="0">
                <c:v>1.2907158489149532E-2</c:v>
              </c:pt>
              <c:pt idx="1">
                <c:v>1.3183808196420238E-2</c:v>
              </c:pt>
            </c:numLit>
          </c:yVal>
          <c:smooth val="0"/>
          <c:extLst>
            <c:ext xmlns:c16="http://schemas.microsoft.com/office/drawing/2014/chart" uri="{C3380CC4-5D6E-409C-BE32-E72D297353CC}">
              <c16:uniqueId val="{00000089-D000-47AA-A0C0-9824653CFAE9}"/>
            </c:ext>
          </c:extLst>
        </c:ser>
        <c:ser>
          <c:idx val="138"/>
          <c:order val="138"/>
          <c:spPr>
            <a:ln w="3175">
              <a:solidFill>
                <a:srgbClr val="000000"/>
              </a:solidFill>
              <a:prstDash val="solid"/>
            </a:ln>
          </c:spPr>
          <c:marker>
            <c:symbol val="none"/>
          </c:marker>
          <c:xVal>
            <c:numLit>
              <c:formatCode>General</c:formatCode>
              <c:ptCount val="2"/>
              <c:pt idx="0">
                <c:v>-5.9241286231448873</c:v>
              </c:pt>
              <c:pt idx="1">
                <c:v>-5.6922988192975605</c:v>
              </c:pt>
            </c:numLit>
          </c:xVal>
          <c:yVal>
            <c:numLit>
              <c:formatCode>General</c:formatCode>
              <c:ptCount val="2"/>
              <c:pt idx="0">
                <c:v>1.2761639254297252E-2</c:v>
              </c:pt>
              <c:pt idx="1">
                <c:v>1.2902473060257644E-2</c:v>
              </c:pt>
            </c:numLit>
          </c:yVal>
          <c:smooth val="0"/>
          <c:extLst>
            <c:ext xmlns:c16="http://schemas.microsoft.com/office/drawing/2014/chart" uri="{C3380CC4-5D6E-409C-BE32-E72D297353CC}">
              <c16:uniqueId val="{0000008A-D000-47AA-A0C0-9824653CFAE9}"/>
            </c:ext>
          </c:extLst>
        </c:ser>
        <c:ser>
          <c:idx val="139"/>
          <c:order val="139"/>
          <c:spPr>
            <a:ln w="3175">
              <a:solidFill>
                <a:srgbClr val="000000"/>
              </a:solidFill>
              <a:prstDash val="solid"/>
            </a:ln>
          </c:spPr>
          <c:marker>
            <c:symbol val="none"/>
          </c:marker>
          <c:xVal>
            <c:numLit>
              <c:formatCode>General</c:formatCode>
              <c:ptCount val="2"/>
              <c:pt idx="0">
                <c:v>-5.7560730377038629</c:v>
              </c:pt>
              <c:pt idx="1">
                <c:v>-5.2982084501968325</c:v>
              </c:pt>
            </c:numLit>
          </c:xVal>
          <c:yVal>
            <c:numLit>
              <c:formatCode>General</c:formatCode>
              <c:ptCount val="2"/>
              <c:pt idx="0">
                <c:v>1.2612601820716014E-2</c:v>
              </c:pt>
              <c:pt idx="1">
                <c:v>1.2899408654484428E-2</c:v>
              </c:pt>
            </c:numLit>
          </c:yVal>
          <c:smooth val="0"/>
          <c:extLst>
            <c:ext xmlns:c16="http://schemas.microsoft.com/office/drawing/2014/chart" uri="{C3380CC4-5D6E-409C-BE32-E72D297353CC}">
              <c16:uniqueId val="{0000008B-D000-47AA-A0C0-9824653CFAE9}"/>
            </c:ext>
          </c:extLst>
        </c:ser>
        <c:ser>
          <c:idx val="140"/>
          <c:order val="140"/>
          <c:spPr>
            <a:ln w="3175">
              <a:solidFill>
                <a:srgbClr val="000000"/>
              </a:solidFill>
              <a:prstDash val="solid"/>
            </a:ln>
          </c:spPr>
          <c:marker>
            <c:symbol val="none"/>
          </c:marker>
          <c:xVal>
            <c:numLit>
              <c:formatCode>General</c:formatCode>
              <c:ptCount val="2"/>
              <c:pt idx="0">
                <c:v>-5.578624186981501</c:v>
              </c:pt>
              <c:pt idx="1">
                <c:v>-5.352751356171475</c:v>
              </c:pt>
            </c:numLit>
          </c:xVal>
          <c:yVal>
            <c:numLit>
              <c:formatCode>General</c:formatCode>
              <c:ptCount val="2"/>
              <c:pt idx="0">
                <c:v>1.2460059169599368E-2</c:v>
              </c:pt>
              <c:pt idx="1">
                <c:v>1.2606092632192483E-2</c:v>
              </c:pt>
            </c:numLit>
          </c:yVal>
          <c:smooth val="0"/>
          <c:extLst>
            <c:ext xmlns:c16="http://schemas.microsoft.com/office/drawing/2014/chart" uri="{C3380CC4-5D6E-409C-BE32-E72D297353CC}">
              <c16:uniqueId val="{0000008C-D000-47AA-A0C0-9824653CFAE9}"/>
            </c:ext>
          </c:extLst>
        </c:ser>
        <c:ser>
          <c:idx val="141"/>
          <c:order val="141"/>
          <c:spPr>
            <a:ln w="3175">
              <a:solidFill>
                <a:srgbClr val="000000"/>
              </a:solidFill>
              <a:prstDash val="solid"/>
            </a:ln>
          </c:spPr>
          <c:marker>
            <c:symbol val="none"/>
          </c:marker>
          <c:xVal>
            <c:numLit>
              <c:formatCode>General</c:formatCode>
              <c:ptCount val="2"/>
              <c:pt idx="0">
                <c:v>-5.3912089513591752</c:v>
              </c:pt>
              <c:pt idx="1">
                <c:v>-4.9459258840709275</c:v>
              </c:pt>
            </c:numLit>
          </c:xVal>
          <c:yVal>
            <c:numLit>
              <c:formatCode>General</c:formatCode>
              <c:ptCount val="2"/>
              <c:pt idx="0">
                <c:v>1.2304045016555564E-2</c:v>
              </c:pt>
              <c:pt idx="1">
                <c:v>1.2601491740122614E-2</c:v>
              </c:pt>
            </c:numLit>
          </c:yVal>
          <c:smooth val="0"/>
          <c:extLst>
            <c:ext xmlns:c16="http://schemas.microsoft.com/office/drawing/2014/chart" uri="{C3380CC4-5D6E-409C-BE32-E72D297353CC}">
              <c16:uniqueId val="{0000008D-D000-47AA-A0C0-9824653CFAE9}"/>
            </c:ext>
          </c:extLst>
        </c:ser>
        <c:ser>
          <c:idx val="142"/>
          <c:order val="142"/>
          <c:spPr>
            <a:ln w="3175">
              <a:solidFill>
                <a:srgbClr val="000000"/>
              </a:solidFill>
              <a:prstDash val="solid"/>
            </a:ln>
          </c:spPr>
          <c:marker>
            <c:symbol val="none"/>
          </c:marker>
          <c:xVal>
            <c:numLit>
              <c:formatCode>General</c:formatCode>
              <c:ptCount val="2"/>
              <c:pt idx="0">
                <c:v>-5.1932260635615615</c:v>
              </c:pt>
              <c:pt idx="1">
                <c:v>-4.9739980279829137</c:v>
              </c:pt>
            </c:numLit>
          </c:xVal>
          <c:yVal>
            <c:numLit>
              <c:formatCode>General</c:formatCode>
              <c:ptCount val="2"/>
              <c:pt idx="0">
                <c:v>1.214461715663261E-2</c:v>
              </c:pt>
              <c:pt idx="1">
                <c:v>1.2296089274621703E-2</c:v>
              </c:pt>
            </c:numLit>
          </c:yVal>
          <c:smooth val="0"/>
          <c:extLst>
            <c:ext xmlns:c16="http://schemas.microsoft.com/office/drawing/2014/chart" uri="{C3380CC4-5D6E-409C-BE32-E72D297353CC}">
              <c16:uniqueId val="{0000008E-D000-47AA-A0C0-9824653CFAE9}"/>
            </c:ext>
          </c:extLst>
        </c:ser>
        <c:ser>
          <c:idx val="143"/>
          <c:order val="143"/>
          <c:spPr>
            <a:ln w="3175">
              <a:solidFill>
                <a:srgbClr val="000000"/>
              </a:solidFill>
              <a:prstDash val="solid"/>
            </a:ln>
          </c:spPr>
          <c:marker>
            <c:symbol val="none"/>
          </c:marker>
          <c:xVal>
            <c:numLit>
              <c:formatCode>General</c:formatCode>
              <c:ptCount val="2"/>
              <c:pt idx="0">
                <c:v>-4.9840469263693068</c:v>
              </c:pt>
              <c:pt idx="1">
                <c:v>-4.5528039289082951</c:v>
              </c:pt>
            </c:numLit>
          </c:xVal>
          <c:yVal>
            <c:numLit>
              <c:formatCode>General</c:formatCode>
              <c:ptCount val="2"/>
              <c:pt idx="0">
                <c:v>1.1981861160791238E-2</c:v>
              </c:pt>
              <c:pt idx="1">
                <c:v>1.2290417672488093E-2</c:v>
              </c:pt>
            </c:numLit>
          </c:yVal>
          <c:smooth val="0"/>
          <c:extLst>
            <c:ext xmlns:c16="http://schemas.microsoft.com/office/drawing/2014/chart" uri="{C3380CC4-5D6E-409C-BE32-E72D297353CC}">
              <c16:uniqueId val="{0000008F-D000-47AA-A0C0-9824653CFAE9}"/>
            </c:ext>
          </c:extLst>
        </c:ser>
        <c:ser>
          <c:idx val="144"/>
          <c:order val="144"/>
          <c:spPr>
            <a:ln w="3175">
              <a:solidFill>
                <a:srgbClr val="000000"/>
              </a:solidFill>
              <a:prstDash val="solid"/>
            </a:ln>
          </c:spPr>
          <c:marker>
            <c:symbol val="none"/>
          </c:marker>
          <c:xVal>
            <c:numLit>
              <c:formatCode>General</c:formatCode>
              <c:ptCount val="2"/>
              <c:pt idx="0">
                <c:v>-4.763017052784714</c:v>
              </c:pt>
              <c:pt idx="1">
                <c:v>-4.5512064139435973</c:v>
              </c:pt>
            </c:numLit>
          </c:xVal>
          <c:yVal>
            <c:numLit>
              <c:formatCode>General</c:formatCode>
              <c:ptCount val="2"/>
              <c:pt idx="0">
                <c:v>1.1815894428391283E-2</c:v>
              </c:pt>
              <c:pt idx="1">
                <c:v>1.1973034179625917E-2</c:v>
              </c:pt>
            </c:numLit>
          </c:yVal>
          <c:smooth val="0"/>
          <c:extLst>
            <c:ext xmlns:c16="http://schemas.microsoft.com/office/drawing/2014/chart" uri="{C3380CC4-5D6E-409C-BE32-E72D297353CC}">
              <c16:uniqueId val="{00000090-D000-47AA-A0C0-9824653CFAE9}"/>
            </c:ext>
          </c:extLst>
        </c:ser>
        <c:ser>
          <c:idx val="145"/>
          <c:order val="145"/>
          <c:spPr>
            <a:ln w="3175">
              <a:solidFill>
                <a:srgbClr val="000000"/>
              </a:solidFill>
              <a:prstDash val="solid"/>
            </a:ln>
          </c:spPr>
          <c:marker>
            <c:symbol val="none"/>
          </c:marker>
          <c:xVal>
            <c:numLit>
              <c:formatCode>General</c:formatCode>
              <c:ptCount val="2"/>
              <c:pt idx="0">
                <c:v>-4.5294582604980791</c:v>
              </c:pt>
              <c:pt idx="1">
                <c:v>-4.1138907342740056</c:v>
              </c:pt>
            </c:numLit>
          </c:xVal>
          <c:yVal>
            <c:numLit>
              <c:formatCode>General</c:formatCode>
              <c:ptCount val="2"/>
              <c:pt idx="0">
                <c:v>1.1646870589539764E-2</c:v>
              </c:pt>
              <c:pt idx="1">
                <c:v>1.1966978500245291E-2</c:v>
              </c:pt>
            </c:numLit>
          </c:yVal>
          <c:smooth val="0"/>
          <c:extLst>
            <c:ext xmlns:c16="http://schemas.microsoft.com/office/drawing/2014/chart" uri="{C3380CC4-5D6E-409C-BE32-E72D297353CC}">
              <c16:uniqueId val="{00000091-D000-47AA-A0C0-9824653CFAE9}"/>
            </c:ext>
          </c:extLst>
        </c:ser>
        <c:ser>
          <c:idx val="146"/>
          <c:order val="146"/>
          <c:spPr>
            <a:ln w="3175">
              <a:solidFill>
                <a:srgbClr val="000000"/>
              </a:solidFill>
              <a:prstDash val="solid"/>
            </a:ln>
          </c:spPr>
          <c:marker>
            <c:symbol val="none"/>
          </c:marker>
          <c:xVal>
            <c:numLit>
              <c:formatCode>General</c:formatCode>
              <c:ptCount val="2"/>
              <c:pt idx="0">
                <c:v>-4.2826717679503306</c:v>
              </c:pt>
              <c:pt idx="1">
                <c:v>-4.07914294436498</c:v>
              </c:pt>
            </c:numLit>
          </c:xVal>
          <c:yVal>
            <c:numLit>
              <c:formatCode>General</c:formatCode>
              <c:ptCount val="2"/>
              <c:pt idx="0">
                <c:v>1.1474984236816857E-2</c:v>
              </c:pt>
              <c:pt idx="1">
                <c:v>1.1638001749975188E-2</c:v>
              </c:pt>
            </c:numLit>
          </c:yVal>
          <c:smooth val="0"/>
          <c:extLst>
            <c:ext xmlns:c16="http://schemas.microsoft.com/office/drawing/2014/chart" uri="{C3380CC4-5D6E-409C-BE32-E72D297353CC}">
              <c16:uniqueId val="{00000092-D000-47AA-A0C0-9824653CFAE9}"/>
            </c:ext>
          </c:extLst>
        </c:ser>
        <c:ser>
          <c:idx val="147"/>
          <c:order val="147"/>
          <c:spPr>
            <a:ln w="3175">
              <a:solidFill>
                <a:srgbClr val="000000"/>
              </a:solidFill>
              <a:prstDash val="solid"/>
            </a:ln>
          </c:spPr>
          <c:marker>
            <c:symbol val="none"/>
          </c:marker>
          <c:xVal>
            <c:numLit>
              <c:formatCode>General</c:formatCode>
              <c:ptCount val="2"/>
              <c:pt idx="0">
                <c:v>-4.021942353411518</c:v>
              </c:pt>
              <c:pt idx="1">
                <c:v>-3.6238753757076712</c:v>
              </c:pt>
            </c:numLit>
          </c:xVal>
          <c:yVal>
            <c:numLit>
              <c:formatCode>General</c:formatCode>
              <c:ptCount val="2"/>
              <c:pt idx="0">
                <c:v>1.1300475947320083E-2</c:v>
              </c:pt>
              <c:pt idx="1">
                <c:v>1.1632528500860769E-2</c:v>
              </c:pt>
            </c:numLit>
          </c:yVal>
          <c:smooth val="0"/>
          <c:extLst>
            <c:ext xmlns:c16="http://schemas.microsoft.com/office/drawing/2014/chart" uri="{C3380CC4-5D6E-409C-BE32-E72D297353CC}">
              <c16:uniqueId val="{00000093-D000-47AA-A0C0-9824653CFAE9}"/>
            </c:ext>
          </c:extLst>
        </c:ser>
        <c:ser>
          <c:idx val="148"/>
          <c:order val="148"/>
          <c:spPr>
            <a:ln w="3175">
              <a:solidFill>
                <a:srgbClr val="000000"/>
              </a:solidFill>
              <a:prstDash val="solid"/>
            </a:ln>
          </c:spPr>
          <c:marker>
            <c:symbol val="none"/>
          </c:marker>
          <c:xVal>
            <c:numLit>
              <c:formatCode>General</c:formatCode>
              <c:ptCount val="147"/>
              <c:pt idx="0">
                <c:v>19.065942353411515</c:v>
              </c:pt>
              <c:pt idx="1">
                <c:v>18.790543749866966</c:v>
              </c:pt>
              <c:pt idx="2">
                <c:v>18.499745455246352</c:v>
              </c:pt>
              <c:pt idx="3">
                <c:v>18.192821137276322</c:v>
              </c:pt>
              <c:pt idx="4">
                <c:v>17.869058802111013</c:v>
              </c:pt>
              <c:pt idx="5">
                <c:v>17.527772872567621</c:v>
              </c:pt>
              <c:pt idx="6">
                <c:v>17.168318281619168</c:v>
              </c:pt>
              <c:pt idx="7">
                <c:v>16.790106626063352</c:v>
              </c:pt>
              <c:pt idx="8">
                <c:v>16.392624340635372</c:v>
              </c:pt>
              <c:pt idx="9">
                <c:v>15.9754527418382</c:v>
              </c:pt>
              <c:pt idx="10">
                <c:v>15.538289652700842</c:v>
              </c:pt>
              <c:pt idx="11">
                <c:v>15.08097215642557</c:v>
              </c:pt>
              <c:pt idx="12">
                <c:v>14.603499843901423</c:v>
              </c:pt>
              <c:pt idx="13">
                <c:v>14.106057727229052</c:v>
              </c:pt>
              <c:pt idx="14">
                <c:v>13.589037803579986</c:v>
              </c:pt>
              <c:pt idx="15">
                <c:v>13.053058090665036</c:v>
              </c:pt>
              <c:pt idx="16">
                <c:v>12.498977840522226</c:v>
              </c:pt>
              <c:pt idx="17">
                <c:v>11.927907597824111</c:v>
              </c:pt>
              <c:pt idx="18">
                <c:v>11.341212826619152</c:v>
              </c:pt>
              <c:pt idx="19">
                <c:v>10.740510003894533</c:v>
              </c:pt>
              <c:pt idx="20">
                <c:v>10.127654377823859</c:v>
              </c:pt>
              <c:pt idx="21">
                <c:v>9.5047190068155949</c:v>
              </c:pt>
              <c:pt idx="22">
                <c:v>8.8739652091894179</c:v>
              </c:pt>
              <c:pt idx="23">
                <c:v>8.2378051220730821</c:v>
              </c:pt>
              <c:pt idx="24">
                <c:v>7.5987576377376911</c:v>
              </c:pt>
              <c:pt idx="25">
                <c:v>6.9593994946761999</c:v>
              </c:pt>
              <c:pt idx="26">
                <c:v>6.3223136896666619</c:v>
              </c:pt>
              <c:pt idx="27">
                <c:v>5.690037597761866</c:v>
              </c:pt>
              <c:pt idx="28">
                <c:v>5.0650132114445139</c:v>
              </c:pt>
              <c:pt idx="29">
                <c:v>4.4495417349447202</c:v>
              </c:pt>
              <c:pt idx="30">
                <c:v>3.8457444174013791</c:v>
              </c:pt>
              <c:pt idx="31">
                <c:v>3.255531023136959</c:v>
              </c:pt>
              <c:pt idx="32">
                <c:v>2.6805767765256308</c:v>
              </c:pt>
              <c:pt idx="33">
                <c:v>2.1223080446173976</c:v>
              </c:pt>
              <c:pt idx="34">
                <c:v>1.5818964894711631</c:v>
              </c:pt>
              <c:pt idx="35">
                <c:v>1.0602609781934789</c:v>
              </c:pt>
              <c:pt idx="36">
                <c:v>0.55807620951249115</c:v>
              </c:pt>
              <c:pt idx="37">
                <c:v>7.5786811510906382E-2</c:v>
              </c:pt>
              <c:pt idx="38">
                <c:v>-0.38637441921499299</c:v>
              </c:pt>
              <c:pt idx="39">
                <c:v>-0.82836544769946818</c:v>
              </c:pt>
              <c:pt idx="40">
                <c:v>-1.2503123116501493</c:v>
              </c:pt>
              <c:pt idx="41">
                <c:v>-1.6524858712974235</c:v>
              </c:pt>
              <c:pt idx="42">
                <c:v>-2.0352788721065513</c:v>
              </c:pt>
              <c:pt idx="43">
                <c:v>-2.3991840012325829</c:v>
              </c:pt>
              <c:pt idx="44">
                <c:v>-2.7447734321668316</c:v>
              </c:pt>
              <c:pt idx="45">
                <c:v>-3.072680183386634</c:v>
              </c:pt>
              <c:pt idx="46">
                <c:v>-3.3835814724217705</c:v>
              </c:pt>
              <c:pt idx="47">
                <c:v>-3.6781841292440793</c:v>
              </c:pt>
              <c:pt idx="48">
                <c:v>-3.9572120420841821</c:v>
              </c:pt>
              <c:pt idx="49">
                <c:v>-4.221395542588029</c:v>
              </c:pt>
              <c:pt idx="50">
                <c:v>-4.4714625924504272</c:v>
              </c:pt>
              <c:pt idx="51">
                <c:v>-4.7081316066320262</c:v>
              </c:pt>
              <c:pt idx="52">
                <c:v>-4.9321057352905999</c:v>
              </c:pt>
              <c:pt idx="53">
                <c:v>-5.1440684242141916</c:v>
              </c:pt>
              <c:pt idx="54">
                <c:v>-5.3446800788427877</c:v>
              </c:pt>
              <c:pt idx="55">
                <c:v>-5.5345756674157736</c:v>
              </c:pt>
              <c:pt idx="56">
                <c:v>-5.714363112392145</c:v>
              </c:pt>
              <c:pt idx="57">
                <c:v>-6.0459048297431641</c:v>
              </c:pt>
              <c:pt idx="58">
                <c:v>-6.3436038686490521</c:v>
              </c:pt>
              <c:pt idx="59">
                <c:v>-6.6113117622552888</c:v>
              </c:pt>
              <c:pt idx="60">
                <c:v>-6.8524545533004888</c:v>
              </c:pt>
              <c:pt idx="61">
                <c:v>-7.0700641161397257</c:v>
              </c:pt>
              <c:pt idx="62">
                <c:v>-7.2668139627913737</c:v>
              </c:pt>
              <c:pt idx="63">
                <c:v>-7.4450561220153224</c:v>
              </c:pt>
              <c:pt idx="64">
                <c:v>-7.6068569785848918</c:v>
              </c:pt>
              <c:pt idx="65">
                <c:v>-7.7540308580023209</c:v>
              </c:pt>
              <c:pt idx="66">
                <c:v>-7.8881707432153219</c:v>
              </c:pt>
              <c:pt idx="67">
                <c:v>-8.0106758986490121</c:v>
              </c:pt>
              <c:pt idx="68">
                <c:v>-8.1227764177225303</c:v>
              </c:pt>
              <c:pt idx="69">
                <c:v>-8.2255548505858034</c:v>
              </c:pt>
              <c:pt idx="70">
                <c:v>-8.3199651431045574</c:v>
              </c:pt>
              <c:pt idx="71">
                <c:v>-8.4068491498525173</c:v>
              </c:pt>
              <c:pt idx="72">
                <c:v>-8.486950989224928</c:v>
              </c:pt>
              <c:pt idx="73">
                <c:v>-8.5609294985956481</c:v>
              </c:pt>
              <c:pt idx="74">
                <c:v>-8.6293690287967184</c:v>
              </c:pt>
              <c:pt idx="75">
                <c:v>-8.6927887946424995</c:v>
              </c:pt>
              <c:pt idx="76">
                <c:v>-8.7516509745654023</c:v>
              </c:pt>
              <c:pt idx="77">
                <c:v>-8.8573072883626267</c:v>
              </c:pt>
              <c:pt idx="78">
                <c:v>-8.9491390821074628</c:v>
              </c:pt>
              <c:pt idx="79">
                <c:v>-9.0293977395002667</c:v>
              </c:pt>
              <c:pt idx="80">
                <c:v>-9.0999057043833709</c:v>
              </c:pt>
              <c:pt idx="81">
                <c:v>-9.1621483944066782</c:v>
              </c:pt>
              <c:pt idx="82">
                <c:v>-9.2890805085034174</c:v>
              </c:pt>
              <c:pt idx="83">
                <c:v>-9.3854262264463078</c:v>
              </c:pt>
              <c:pt idx="84">
                <c:v>-9.4601719381821585</c:v>
              </c:pt>
              <c:pt idx="85">
                <c:v>-9.5192631793601503</c:v>
              </c:pt>
              <c:pt idx="86">
                <c:v>-9.5667494735594438</c:v>
              </c:pt>
              <c:pt idx="87">
                <c:v>-9.6054604899925025</c:v>
              </c:pt>
              <c:pt idx="88">
                <c:v>-9.6640995467395676</c:v>
              </c:pt>
              <c:pt idx="89">
                <c:v>-9.7057408037734945</c:v>
              </c:pt>
              <c:pt idx="90">
                <c:v>-9.7363488755763594</c:v>
              </c:pt>
              <c:pt idx="91">
                <c:v>-9.7594920592975569</c:v>
              </c:pt>
              <c:pt idx="92">
                <c:v>-9.7774082431157812</c:v>
              </c:pt>
              <c:pt idx="93">
                <c:v>-9.826239533393677</c:v>
              </c:pt>
              <c:pt idx="94">
                <c:v>-9.8465584490956477</c:v>
              </c:pt>
              <c:pt idx="95">
                <c:v>-9.862870431265371</c:v>
              </c:pt>
              <c:pt idx="96">
                <c:v>-9.8691357952931487</c:v>
              </c:pt>
              <c:pt idx="97">
                <c:v>-9.8780000000000001</c:v>
              </c:pt>
              <c:pt idx="98">
                <c:v>-9.8665090567206697</c:v>
              </c:pt>
              <c:pt idx="99">
                <c:v>-9.8566117153194046</c:v>
              </c:pt>
              <c:pt idx="100">
                <c:v>-9.825120498007605</c:v>
              </c:pt>
              <c:pt idx="101">
                <c:v>-9.7743638069967425</c:v>
              </c:pt>
              <c:pt idx="102">
                <c:v>-9.7555947041230944</c:v>
              </c:pt>
              <c:pt idx="103">
                <c:v>-9.7312495160578543</c:v>
              </c:pt>
              <c:pt idx="104">
                <c:v>-9.6988930377242379</c:v>
              </c:pt>
              <c:pt idx="105">
                <c:v>-9.6546103310984979</c:v>
              </c:pt>
              <c:pt idx="106">
                <c:v>-9.5917920119000488</c:v>
              </c:pt>
              <c:pt idx="107">
                <c:v>-9.5500552853147749</c:v>
              </c:pt>
              <c:pt idx="108">
                <c:v>-9.4985920174877663</c:v>
              </c:pt>
              <c:pt idx="109">
                <c:v>-9.4341733564072943</c:v>
              </c:pt>
              <c:pt idx="110">
                <c:v>-9.3521355422659074</c:v>
              </c:pt>
              <c:pt idx="111">
                <c:v>-9.2455590364770597</c:v>
              </c:pt>
              <c:pt idx="112">
                <c:v>-9.1038600359190358</c:v>
              </c:pt>
              <c:pt idx="113">
                <c:v>-9.033886916005148</c:v>
              </c:pt>
              <c:pt idx="114">
                <c:v>-8.954260939861248</c:v>
              </c:pt>
              <c:pt idx="115">
                <c:v>-8.8631822315685405</c:v>
              </c:pt>
              <c:pt idx="116">
                <c:v>-8.7584282202067296</c:v>
              </c:pt>
              <c:pt idx="117">
                <c:v>-8.6372348348493126</c:v>
              </c:pt>
              <c:pt idx="118">
                <c:v>-8.5694238961193641</c:v>
              </c:pt>
              <c:pt idx="119">
                <c:v>-8.496139552640436</c:v>
              </c:pt>
              <c:pt idx="120">
                <c:v>-8.4168057372568565</c:v>
              </c:pt>
              <c:pt idx="121">
                <c:v>-8.3307730905498314</c:v>
              </c:pt>
              <c:pt idx="122">
                <c:v>-8.2373083506110412</c:v>
              </c:pt>
              <c:pt idx="123">
                <c:v>-8.135582109378646</c:v>
              </c:pt>
              <c:pt idx="124">
                <c:v>-8.0246546988258096</c:v>
              </c:pt>
              <c:pt idx="125">
                <c:v>-7.9034599509797507</c:v>
              </c:pt>
              <c:pt idx="126">
                <c:v>-7.7707865642283949</c:v>
              </c:pt>
              <c:pt idx="127">
                <c:v>-7.6252568113761559</c:v>
              </c:pt>
              <c:pt idx="128">
                <c:v>-7.4653023527450681</c:v>
              </c:pt>
              <c:pt idx="129">
                <c:v>-7.2891369857220321</c:v>
              </c:pt>
              <c:pt idx="130">
                <c:v>-7.0947262932026645</c:v>
              </c:pt>
              <c:pt idx="131">
                <c:v>-6.8797543799888556</c:v>
              </c:pt>
              <c:pt idx="132">
                <c:v>-6.6415882541581794</c:v>
              </c:pt>
              <c:pt idx="133">
                <c:v>-6.5128887746212865</c:v>
              </c:pt>
              <c:pt idx="134">
                <c:v>-6.377240982176394</c:v>
              </c:pt>
              <c:pt idx="135">
                <c:v>-6.2342102755987439</c:v>
              </c:pt>
              <c:pt idx="136">
                <c:v>-6.0833356038875808</c:v>
              </c:pt>
              <c:pt idx="137">
                <c:v>-5.9241286231448873</c:v>
              </c:pt>
              <c:pt idx="138">
                <c:v>-5.7560730377038629</c:v>
              </c:pt>
              <c:pt idx="139">
                <c:v>-5.578624186981501</c:v>
              </c:pt>
              <c:pt idx="140">
                <c:v>-5.3912089513591752</c:v>
              </c:pt>
              <c:pt idx="141">
                <c:v>-5.1932260635615615</c:v>
              </c:pt>
              <c:pt idx="142">
                <c:v>-4.9840469263693068</c:v>
              </c:pt>
              <c:pt idx="143">
                <c:v>-4.763017052784714</c:v>
              </c:pt>
              <c:pt idx="144">
                <c:v>-4.5294582604980791</c:v>
              </c:pt>
              <c:pt idx="145">
                <c:v>-4.2826717679503306</c:v>
              </c:pt>
              <c:pt idx="146">
                <c:v>-4.021942353411518</c:v>
              </c:pt>
            </c:numLit>
          </c:xVal>
          <c:yVal>
            <c:numLit>
              <c:formatCode>General</c:formatCode>
              <c:ptCount val="147"/>
              <c:pt idx="0">
                <c:v>3.0559524052679921E-2</c:v>
              </c:pt>
              <c:pt idx="1">
                <c:v>3.0736362467444784E-2</c:v>
              </c:pt>
              <c:pt idx="2">
                <c:v>3.0915182575025162E-2</c:v>
              </c:pt>
              <c:pt idx="3">
                <c:v>3.1095573924337105E-2</c:v>
              </c:pt>
              <c:pt idx="4">
                <c:v>3.1277058802111013E-2</c:v>
              </c:pt>
              <c:pt idx="5">
                <c:v>3.145908735335045E-2</c:v>
              </c:pt>
              <c:pt idx="6">
                <c:v>3.1641033323740492E-2</c:v>
              </c:pt>
              <c:pt idx="7">
                <c:v>3.1822190731097821E-2</c:v>
              </c:pt>
              <c:pt idx="8">
                <c:v>3.2001771819701222E-2</c:v>
              </c:pt>
              <c:pt idx="9">
                <c:v>3.2178906690858773E-2</c:v>
              </c:pt>
              <c:pt idx="10">
                <c:v>3.2352645029202619E-2</c:v>
              </c:pt>
              <c:pt idx="11">
                <c:v>3.2521960349640437E-2</c:v>
              </c:pt>
              <c:pt idx="12">
                <c:v>3.2685757166608632E-2</c:v>
              </c:pt>
              <c:pt idx="13">
                <c:v>3.2842881427324513E-2</c:v>
              </c:pt>
              <c:pt idx="14">
                <c:v>3.2992134447433728E-2</c:v>
              </c:pt>
              <c:pt idx="15">
                <c:v>3.3132290436861909E-2</c:v>
              </c:pt>
              <c:pt idx="16">
                <c:v>3.3262117506318627E-2</c:v>
              </c:pt>
              <c:pt idx="17">
                <c:v>3.3380401807334426E-2</c:v>
              </c:pt>
              <c:pt idx="18">
                <c:v>3.348597419470218E-2</c:v>
              </c:pt>
              <c:pt idx="19">
                <c:v>3.3577738530929296E-2</c:v>
              </c:pt>
              <c:pt idx="20">
                <c:v>3.3654700505295149E-2</c:v>
              </c:pt>
              <c:pt idx="21">
                <c:v>3.3715995646515944E-2</c:v>
              </c:pt>
              <c:pt idx="22">
                <c:v>3.3760915098533552E-2</c:v>
              </c:pt>
              <c:pt idx="23">
                <c:v>3.378892772867001E-2</c:v>
              </c:pt>
              <c:pt idx="24">
                <c:v>3.3799697260686282E-2</c:v>
              </c:pt>
              <c:pt idx="25">
                <c:v>3.3793093371721462E-2</c:v>
              </c:pt>
              <c:pt idx="26">
                <c:v>3.3769196044631293E-2</c:v>
              </c:pt>
              <c:pt idx="27">
                <c:v>3.3728292893413635E-2</c:v>
              </c:pt>
              <c:pt idx="28">
                <c:v>3.3670869635499083E-2</c:v>
              </c:pt>
              <c:pt idx="29">
                <c:v>3.3597594322318097E-2</c:v>
              </c:pt>
              <c:pt idx="30">
                <c:v>3.3509296313245625E-2</c:v>
              </c:pt>
              <c:pt idx="31">
                <c:v>3.3406941252105297E-2</c:v>
              </c:pt>
              <c:pt idx="32">
                <c:v>3.3291603458921876E-2</c:v>
              </c:pt>
              <c:pt idx="33">
                <c:v>3.3164437178186706E-2</c:v>
              </c:pt>
              <c:pt idx="34">
                <c:v>3.3026648039659948E-2</c:v>
              </c:pt>
              <c:pt idx="35">
                <c:v>3.2879465911649565E-2</c:v>
              </c:pt>
              <c:pt idx="36">
                <c:v>3.2724120089613527E-2</c:v>
              </c:pt>
              <c:pt idx="37">
                <c:v>3.2561817496304393E-2</c:v>
              </c:pt>
              <c:pt idx="38">
                <c:v>3.2393724302205024E-2</c:v>
              </c:pt>
              <c:pt idx="39">
                <c:v>3.2220951129550625E-2</c:v>
              </c:pt>
              <c:pt idx="40">
                <c:v>3.2044541795365311E-2</c:v>
              </c:pt>
              <c:pt idx="41">
                <c:v>3.1865465386878213E-2</c:v>
              </c:pt>
              <c:pt idx="42">
                <c:v>3.1684611348254135E-2</c:v>
              </c:pt>
              <c:pt idx="43">
                <c:v>3.1502787187754219E-2</c:v>
              </c:pt>
              <c:pt idx="44">
                <c:v>3.1320718383058194E-2</c:v>
              </c:pt>
              <c:pt idx="45">
                <c:v>3.1139050061769116E-2</c:v>
              </c:pt>
              <c:pt idx="46">
                <c:v>3.0958350055992959E-2</c:v>
              </c:pt>
              <c:pt idx="47">
                <c:v>3.0779112966800307E-2</c:v>
              </c:pt>
              <c:pt idx="48">
                <c:v>3.0601764919879974E-2</c:v>
              </c:pt>
              <c:pt idx="49">
                <c:v>3.0426668742639516E-2</c:v>
              </c:pt>
              <c:pt idx="50">
                <c:v>3.0254129341580477E-2</c:v>
              </c:pt>
              <c:pt idx="51">
                <c:v>3.0084399104368914E-2</c:v>
              </c:pt>
              <c:pt idx="52">
                <c:v>2.9917683192038989E-2</c:v>
              </c:pt>
              <c:pt idx="53">
                <c:v>2.9754144622409617E-2</c:v>
              </c:pt>
              <c:pt idx="54">
                <c:v>2.9593909075847288E-2</c:v>
              </c:pt>
              <c:pt idx="55">
                <c:v>2.9437069379158205E-2</c:v>
              </c:pt>
              <c:pt idx="56">
                <c:v>2.9283689643078106E-2</c:v>
              </c:pt>
              <c:pt idx="57">
                <c:v>2.8987445253082427E-2</c:v>
              </c:pt>
              <c:pt idx="58">
                <c:v>2.8705249438049581E-2</c:v>
              </c:pt>
              <c:pt idx="59">
                <c:v>2.843692272060656E-2</c:v>
              </c:pt>
              <c:pt idx="60">
                <c:v>2.8182106961193734E-2</c:v>
              </c:pt>
              <c:pt idx="61">
                <c:v>2.7940323066302088E-2</c:v>
              </c:pt>
              <c:pt idx="62">
                <c:v>2.771101497108848E-2</c:v>
              </c:pt>
              <c:pt idx="63">
                <c:v>2.7493582588817535E-2</c:v>
              </c:pt>
              <c:pt idx="64">
                <c:v>2.7287406065353549E-2</c:v>
              </c:pt>
              <c:pt idx="65">
                <c:v>2.7091863289154108E-2</c:v>
              </c:pt>
              <c:pt idx="66">
                <c:v>2.690634223888767E-2</c:v>
              </c:pt>
              <c:pt idx="67">
                <c:v>2.673024942614733E-2</c:v>
              </c:pt>
              <c:pt idx="68">
                <c:v>2.6563015417404752E-2</c:v>
              </c:pt>
              <c:pt idx="69">
                <c:v>2.640409819616079E-2</c:v>
              </c:pt>
              <c:pt idx="70">
                <c:v>2.6252984947883497E-2</c:v>
              </c:pt>
              <c:pt idx="71">
                <c:v>2.610919271000376E-2</c:v>
              </c:pt>
              <c:pt idx="72">
                <c:v>2.597226822015037E-2</c:v>
              </c:pt>
              <c:pt idx="73">
                <c:v>2.5841787211775113E-2</c:v>
              </c:pt>
              <c:pt idx="74">
                <c:v>2.5717353342065267E-2</c:v>
              </c:pt>
              <c:pt idx="75">
                <c:v>2.5598596888211325E-2</c:v>
              </c:pt>
              <c:pt idx="76">
                <c:v>2.5485173311188873E-2</c:v>
              </c:pt>
              <c:pt idx="77">
                <c:v>2.5273063556165737E-2</c:v>
              </c:pt>
              <c:pt idx="78">
                <c:v>2.5078714550976496E-2</c:v>
              </c:pt>
              <c:pt idx="79">
                <c:v>2.4900125447290717E-2</c:v>
              </c:pt>
              <c:pt idx="80">
                <c:v>2.4735561478973527E-2</c:v>
              </c:pt>
              <c:pt idx="81">
                <c:v>2.4583516169954973E-2</c:v>
              </c:pt>
              <c:pt idx="82">
                <c:v>2.4249973889194042E-2</c:v>
              </c:pt>
              <c:pt idx="83">
                <c:v>2.3970556092921879E-2</c:v>
              </c:pt>
              <c:pt idx="84">
                <c:v>2.3733423854580125E-2</c:v>
              </c:pt>
              <c:pt idx="85">
                <c:v>2.3529865143833231E-2</c:v>
              </c:pt>
              <c:pt idx="86">
                <c:v>2.3353355225599216E-2</c:v>
              </c:pt>
              <c:pt idx="87">
                <c:v>2.3198926159195745E-2</c:v>
              </c:pt>
              <c:pt idx="88">
                <c:v>2.294177753595765E-2</c:v>
              </c:pt>
              <c:pt idx="89">
                <c:v>2.2736452704669185E-2</c:v>
              </c:pt>
              <c:pt idx="90">
                <c:v>2.2568842643838953E-2</c:v>
              </c:pt>
              <c:pt idx="91">
                <c:v>2.2429498103471914E-2</c:v>
              </c:pt>
              <c:pt idx="92">
                <c:v>2.2311864752467405E-2</c:v>
              </c:pt>
              <c:pt idx="93">
                <c:v>2.19219477646126E-2</c:v>
              </c:pt>
              <c:pt idx="94">
                <c:v>2.1703336717703383E-2</c:v>
              </c:pt>
              <c:pt idx="95">
                <c:v>2.1466576659932901E-2</c:v>
              </c:pt>
              <c:pt idx="96">
                <c:v>2.1340749932151591E-2</c:v>
              </c:pt>
              <c:pt idx="97">
                <c:v>2.0930000000000001E-2</c:v>
              </c:pt>
              <c:pt idx="98">
                <c:v>2.0462352026117177E-2</c:v>
              </c:pt>
              <c:pt idx="99">
                <c:v>2.0292078253462336E-2</c:v>
              </c:pt>
              <c:pt idx="100">
                <c:v>1.9927403009249937E-2</c:v>
              </c:pt>
              <c:pt idx="101">
                <c:v>1.9527441400141971E-2</c:v>
              </c:pt>
              <c:pt idx="102">
                <c:v>1.9406130083083659E-2</c:v>
              </c:pt>
              <c:pt idx="103">
                <c:v>1.9262042185935597E-2</c:v>
              </c:pt>
              <c:pt idx="104">
                <c:v>1.9088173676807301E-2</c:v>
              </c:pt>
              <c:pt idx="105">
                <c:v>1.8874364740294421E-2</c:v>
              </c:pt>
              <c:pt idx="106">
                <c:v>1.8605334220365727E-2</c:v>
              </c:pt>
              <c:pt idx="107">
                <c:v>1.8443106339845548E-2</c:v>
              </c:pt>
              <c:pt idx="108">
                <c:v>1.8257081553294929E-2</c:v>
              </c:pt>
              <c:pt idx="109">
                <c:v>1.8041765933534418E-2</c:v>
              </c:pt>
              <c:pt idx="110">
                <c:v>1.7789900045223919E-2</c:v>
              </c:pt>
              <c:pt idx="111">
                <c:v>1.7491727600755014E-2</c:v>
              </c:pt>
              <c:pt idx="112">
                <c:v>1.7133900318625845E-2</c:v>
              </c:pt>
              <c:pt idx="113">
                <c:v>1.6970127856038714E-2</c:v>
              </c:pt>
              <c:pt idx="114">
                <c:v>1.6792426733524612E-2</c:v>
              </c:pt>
              <c:pt idx="115">
                <c:v>1.6599076898329495E-2</c:v>
              </c:pt>
              <c:pt idx="116">
                <c:v>1.6388094622981707E-2</c:v>
              </c:pt>
              <c:pt idx="117">
                <c:v>1.6157190180898885E-2</c:v>
              </c:pt>
              <c:pt idx="118">
                <c:v>1.6033456612372633E-2</c:v>
              </c:pt>
              <c:pt idx="119">
                <c:v>1.590372165004483E-2</c:v>
              </c:pt>
              <c:pt idx="120">
                <c:v>1.5767592217746176E-2</c:v>
              </c:pt>
              <c:pt idx="121">
                <c:v>1.5624647462044871E-2</c:v>
              </c:pt>
              <c:pt idx="122">
                <c:v>1.5474437646003199E-2</c:v>
              </c:pt>
              <c:pt idx="123">
                <c:v>1.5316483392004664E-2</c:v>
              </c:pt>
              <c:pt idx="124">
                <c:v>1.5150275451951677E-2</c:v>
              </c:pt>
              <c:pt idx="125">
                <c:v>1.4975275245324009E-2</c:v>
              </c:pt>
              <c:pt idx="126">
                <c:v>1.4790916486985731E-2</c:v>
              </c:pt>
              <c:pt idx="127">
                <c:v>1.4596608332400495E-2</c:v>
              </c:pt>
              <c:pt idx="128">
                <c:v>1.4391740604136366E-2</c:v>
              </c:pt>
              <c:pt idx="129">
                <c:v>1.4175691836973547E-2</c:v>
              </c:pt>
              <c:pt idx="130">
                <c:v>1.3947841096409371E-2</c:v>
              </c:pt>
              <c:pt idx="131">
                <c:v>1.3707584792488141E-2</c:v>
              </c:pt>
              <c:pt idx="132">
                <c:v>1.3454360029547155E-2</c:v>
              </c:pt>
              <c:pt idx="133">
                <c:v>1.3322727312893847E-2</c:v>
              </c:pt>
              <c:pt idx="134">
                <c:v>1.3187676396417802E-2</c:v>
              </c:pt>
              <c:pt idx="135">
                <c:v>1.304916427263535E-2</c:v>
              </c:pt>
              <c:pt idx="136">
                <c:v>1.2907158489149532E-2</c:v>
              </c:pt>
              <c:pt idx="137">
                <c:v>1.2761639254297252E-2</c:v>
              </c:pt>
              <c:pt idx="138">
                <c:v>1.2612601820716014E-2</c:v>
              </c:pt>
              <c:pt idx="139">
                <c:v>1.2460059169599368E-2</c:v>
              </c:pt>
              <c:pt idx="140">
                <c:v>1.2304045016555564E-2</c:v>
              </c:pt>
              <c:pt idx="141">
                <c:v>1.214461715663261E-2</c:v>
              </c:pt>
              <c:pt idx="142">
                <c:v>1.1981861160791238E-2</c:v>
              </c:pt>
              <c:pt idx="143">
                <c:v>1.1815894428391283E-2</c:v>
              </c:pt>
              <c:pt idx="144">
                <c:v>1.1646870589539764E-2</c:v>
              </c:pt>
              <c:pt idx="145">
                <c:v>1.1474984236816857E-2</c:v>
              </c:pt>
              <c:pt idx="146">
                <c:v>1.1300475947320083E-2</c:v>
              </c:pt>
            </c:numLit>
          </c:yVal>
          <c:smooth val="1"/>
          <c:extLst>
            <c:ext xmlns:c16="http://schemas.microsoft.com/office/drawing/2014/chart" uri="{C3380CC4-5D6E-409C-BE32-E72D297353CC}">
              <c16:uniqueId val="{00000094-D000-47AA-A0C0-9824653CFAE9}"/>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092A-480E-97D5-3D07ED76AD1F}"/>
            </c:ext>
          </c:extLst>
        </c:ser>
        <c:ser>
          <c:idx val="1"/>
          <c:order val="1"/>
          <c:spPr>
            <a:ln w="3175">
              <a:solidFill>
                <a:srgbClr val="000000"/>
              </a:solidFill>
              <a:prstDash val="solid"/>
            </a:ln>
          </c:spPr>
          <c:marker>
            <c:symbol val="none"/>
          </c:marker>
          <c:xVal>
            <c:numLit>
              <c:formatCode>General</c:formatCode>
              <c:ptCount val="2"/>
              <c:pt idx="0">
                <c:v>16.810229479756391</c:v>
              </c:pt>
              <c:pt idx="1">
                <c:v>17.208296457460236</c:v>
              </c:pt>
            </c:numLit>
          </c:xVal>
          <c:yVal>
            <c:numLit>
              <c:formatCode>General</c:formatCode>
              <c:ptCount val="2"/>
              <c:pt idx="0">
                <c:v>2.8677892915949361E-2</c:v>
              </c:pt>
              <c:pt idx="1">
                <c:v>2.900994546949005E-2</c:v>
              </c:pt>
            </c:numLit>
          </c:yVal>
          <c:smooth val="0"/>
          <c:extLst>
            <c:ext xmlns:c16="http://schemas.microsoft.com/office/drawing/2014/chart" uri="{C3380CC4-5D6E-409C-BE32-E72D297353CC}">
              <c16:uniqueId val="{00000001-092A-480E-97D5-3D07ED76AD1F}"/>
            </c:ext>
          </c:extLst>
        </c:ser>
        <c:ser>
          <c:idx val="2"/>
          <c:order val="2"/>
          <c:spPr>
            <a:ln w="3175">
              <a:solidFill>
                <a:srgbClr val="000000"/>
              </a:solidFill>
              <a:prstDash val="solid"/>
            </a:ln>
          </c:spPr>
          <c:marker>
            <c:symbol val="none"/>
          </c:marker>
          <c:dLbls>
            <c:dLbl>
              <c:idx val="0"/>
              <c:tx>
                <c:rich>
                  <a:bodyPr rot="-28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17.938085916583955</c:v>
              </c:pt>
            </c:numLit>
          </c:xVal>
          <c:yVal>
            <c:numLit>
              <c:formatCode>General</c:formatCode>
              <c:ptCount val="1"/>
              <c:pt idx="0">
                <c:v>2.9618708484314641E-2</c:v>
              </c:pt>
            </c:numLit>
          </c:yVal>
          <c:smooth val="0"/>
          <c:extLst>
            <c:ext xmlns:c16="http://schemas.microsoft.com/office/drawing/2014/chart" uri="{C3380CC4-5D6E-409C-BE32-E72D297353CC}">
              <c16:uniqueId val="{00000003-092A-480E-97D5-3D07ED76AD1F}"/>
            </c:ext>
          </c:extLst>
        </c:ser>
        <c:ser>
          <c:idx val="3"/>
          <c:order val="3"/>
          <c:spPr>
            <a:ln w="3175">
              <a:solidFill>
                <a:srgbClr val="000000"/>
              </a:solidFill>
              <a:prstDash val="solid"/>
            </a:ln>
          </c:spPr>
          <c:marker>
            <c:symbol val="none"/>
          </c:marker>
          <c:xVal>
            <c:numLit>
              <c:formatCode>General</c:formatCode>
              <c:ptCount val="2"/>
              <c:pt idx="0">
                <c:v>16.588644396444685</c:v>
              </c:pt>
              <c:pt idx="1">
                <c:v>16.782929633511358</c:v>
              </c:pt>
            </c:numLit>
          </c:xVal>
          <c:yVal>
            <c:numLit>
              <c:formatCode>General</c:formatCode>
              <c:ptCount val="2"/>
              <c:pt idx="0">
                <c:v>2.882017669794408E-2</c:v>
              </c:pt>
              <c:pt idx="1">
                <c:v>2.8989251912900024E-2</c:v>
              </c:pt>
            </c:numLit>
          </c:yVal>
          <c:smooth val="0"/>
          <c:extLst>
            <c:ext xmlns:c16="http://schemas.microsoft.com/office/drawing/2014/chart" uri="{C3380CC4-5D6E-409C-BE32-E72D297353CC}">
              <c16:uniqueId val="{00000004-092A-480E-97D5-3D07ED76AD1F}"/>
            </c:ext>
          </c:extLst>
        </c:ser>
        <c:ser>
          <c:idx val="4"/>
          <c:order val="4"/>
          <c:spPr>
            <a:ln w="3175">
              <a:solidFill>
                <a:srgbClr val="000000"/>
              </a:solidFill>
              <a:prstDash val="solid"/>
            </a:ln>
          </c:spPr>
          <c:marker>
            <c:symbol val="none"/>
          </c:marker>
          <c:xVal>
            <c:numLit>
              <c:formatCode>General</c:formatCode>
              <c:ptCount val="2"/>
              <c:pt idx="0">
                <c:v>16.354668757094764</c:v>
              </c:pt>
              <c:pt idx="1">
                <c:v>16.733211703827397</c:v>
              </c:pt>
            </c:numLit>
          </c:xVal>
          <c:yVal>
            <c:numLit>
              <c:formatCode>General</c:formatCode>
              <c:ptCount val="2"/>
              <c:pt idx="0">
                <c:v>2.8964054945422545E-2</c:v>
              </c:pt>
              <c:pt idx="1">
                <c:v>2.9308371585940653E-2</c:v>
              </c:pt>
            </c:numLit>
          </c:yVal>
          <c:smooth val="0"/>
          <c:extLst>
            <c:ext xmlns:c16="http://schemas.microsoft.com/office/drawing/2014/chart" uri="{C3380CC4-5D6E-409C-BE32-E72D297353CC}">
              <c16:uniqueId val="{00000005-092A-480E-97D5-3D07ED76AD1F}"/>
            </c:ext>
          </c:extLst>
        </c:ser>
        <c:ser>
          <c:idx val="5"/>
          <c:order val="5"/>
          <c:spPr>
            <a:ln w="3175">
              <a:solidFill>
                <a:srgbClr val="000000"/>
              </a:solidFill>
              <a:prstDash val="solid"/>
            </a:ln>
          </c:spPr>
          <c:marker>
            <c:symbol val="none"/>
          </c:marker>
          <c:xVal>
            <c:numLit>
              <c:formatCode>General</c:formatCode>
              <c:ptCount val="2"/>
              <c:pt idx="0">
                <c:v>16.107718156429225</c:v>
              </c:pt>
              <c:pt idx="1">
                <c:v>16.291697831209852</c:v>
              </c:pt>
            </c:numLit>
          </c:xVal>
          <c:yVal>
            <c:numLit>
              <c:formatCode>General</c:formatCode>
              <c:ptCount val="2"/>
              <c:pt idx="0">
                <c:v>2.9109197410386176E-2</c:v>
              </c:pt>
              <c:pt idx="1">
                <c:v>2.9284465926323024E-2</c:v>
              </c:pt>
            </c:numLit>
          </c:yVal>
          <c:smooth val="0"/>
          <c:extLst>
            <c:ext xmlns:c16="http://schemas.microsoft.com/office/drawing/2014/chart" uri="{C3380CC4-5D6E-409C-BE32-E72D297353CC}">
              <c16:uniqueId val="{00000006-092A-480E-97D5-3D07ED76AD1F}"/>
            </c:ext>
          </c:extLst>
        </c:ser>
        <c:ser>
          <c:idx val="6"/>
          <c:order val="6"/>
          <c:spPr>
            <a:ln w="3175">
              <a:solidFill>
                <a:srgbClr val="000000"/>
              </a:solidFill>
              <a:prstDash val="solid"/>
            </a:ln>
          </c:spPr>
          <c:marker>
            <c:symbol val="none"/>
          </c:marker>
          <c:xVal>
            <c:numLit>
              <c:formatCode>General</c:formatCode>
              <c:ptCount val="2"/>
              <c:pt idx="0">
                <c:v>15.847219725836448</c:v>
              </c:pt>
              <c:pt idx="1">
                <c:v>16.204014856943722</c:v>
              </c:pt>
            </c:numLit>
          </c:xVal>
          <c:yVal>
            <c:numLit>
              <c:formatCode>General</c:formatCode>
              <c:ptCount val="2"/>
              <c:pt idx="0">
                <c:v>2.9255219725836449E-2</c:v>
              </c:pt>
              <c:pt idx="1">
                <c:v>2.9612014856943723E-2</c:v>
              </c:pt>
            </c:numLit>
          </c:yVal>
          <c:smooth val="0"/>
          <c:extLst>
            <c:ext xmlns:c16="http://schemas.microsoft.com/office/drawing/2014/chart" uri="{C3380CC4-5D6E-409C-BE32-E72D297353CC}">
              <c16:uniqueId val="{00000007-092A-480E-97D5-3D07ED76AD1F}"/>
            </c:ext>
          </c:extLst>
        </c:ser>
        <c:ser>
          <c:idx val="7"/>
          <c:order val="7"/>
          <c:spPr>
            <a:ln w="3175">
              <a:solidFill>
                <a:srgbClr val="000000"/>
              </a:solidFill>
              <a:prstDash val="solid"/>
            </a:ln>
          </c:spPr>
          <c:marker>
            <c:symbol val="none"/>
          </c:marker>
          <c:dLbls>
            <c:dLbl>
              <c:idx val="0"/>
              <c:tx>
                <c:rich>
                  <a:bodyPr rot="-32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3600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16.85813926397373</c:v>
              </c:pt>
            </c:numLit>
          </c:xVal>
          <c:yVal>
            <c:numLit>
              <c:formatCode>General</c:formatCode>
              <c:ptCount val="1"/>
              <c:pt idx="0">
                <c:v>3.0266139263973729E-2</c:v>
              </c:pt>
            </c:numLit>
          </c:yVal>
          <c:smooth val="0"/>
          <c:extLst>
            <c:ext xmlns:c16="http://schemas.microsoft.com/office/drawing/2014/chart" uri="{C3380CC4-5D6E-409C-BE32-E72D297353CC}">
              <c16:uniqueId val="{00000009-092A-480E-97D5-3D07ED76AD1F}"/>
            </c:ext>
          </c:extLst>
        </c:ser>
        <c:ser>
          <c:idx val="8"/>
          <c:order val="8"/>
          <c:spPr>
            <a:ln w="3175">
              <a:solidFill>
                <a:srgbClr val="000000"/>
              </a:solidFill>
              <a:prstDash val="solid"/>
            </a:ln>
          </c:spPr>
          <c:marker>
            <c:symbol val="none"/>
          </c:marker>
          <c:xVal>
            <c:numLit>
              <c:formatCode>General</c:formatCode>
              <c:ptCount val="2"/>
              <c:pt idx="0">
                <c:v>15.572621851491188</c:v>
              </c:pt>
              <c:pt idx="1">
                <c:v>15.745135176880286</c:v>
              </c:pt>
            </c:numLit>
          </c:xVal>
          <c:yVal>
            <c:numLit>
              <c:formatCode>General</c:formatCode>
              <c:ptCount val="2"/>
              <c:pt idx="0">
                <c:v>2.9401679479707257E-2</c:v>
              </c:pt>
              <c:pt idx="1">
                <c:v>2.9583215468558126E-2</c:v>
              </c:pt>
            </c:numLit>
          </c:yVal>
          <c:smooth val="0"/>
          <c:extLst>
            <c:ext xmlns:c16="http://schemas.microsoft.com/office/drawing/2014/chart" uri="{C3380CC4-5D6E-409C-BE32-E72D297353CC}">
              <c16:uniqueId val="{0000000A-092A-480E-97D5-3D07ED76AD1F}"/>
            </c:ext>
          </c:extLst>
        </c:ser>
        <c:ser>
          <c:idx val="9"/>
          <c:order val="9"/>
          <c:spPr>
            <a:ln w="3175">
              <a:solidFill>
                <a:srgbClr val="000000"/>
              </a:solidFill>
              <a:prstDash val="solid"/>
            </a:ln>
          </c:spPr>
          <c:marker>
            <c:symbol val="none"/>
          </c:marker>
          <c:xVal>
            <c:numLit>
              <c:formatCode>General</c:formatCode>
              <c:ptCount val="2"/>
              <c:pt idx="0">
                <c:v>15.283405513946459</c:v>
              </c:pt>
              <c:pt idx="1">
                <c:v>15.616037178829878</c:v>
              </c:pt>
            </c:numLit>
          </c:xVal>
          <c:yVal>
            <c:numLit>
              <c:formatCode>General</c:formatCode>
              <c:ptCount val="2"/>
              <c:pt idx="0">
                <c:v>2.9548072789216489E-2</c:v>
              </c:pt>
              <c:pt idx="1">
                <c:v>2.9917418765897194E-2</c:v>
              </c:pt>
            </c:numLit>
          </c:yVal>
          <c:smooth val="0"/>
          <c:extLst>
            <c:ext xmlns:c16="http://schemas.microsoft.com/office/drawing/2014/chart" uri="{C3380CC4-5D6E-409C-BE32-E72D297353CC}">
              <c16:uniqueId val="{0000000B-092A-480E-97D5-3D07ED76AD1F}"/>
            </c:ext>
          </c:extLst>
        </c:ser>
        <c:ser>
          <c:idx val="10"/>
          <c:order val="10"/>
          <c:spPr>
            <a:ln w="3175">
              <a:solidFill>
                <a:srgbClr val="000000"/>
              </a:solidFill>
              <a:prstDash val="solid"/>
            </a:ln>
          </c:spPr>
          <c:marker>
            <c:symbol val="none"/>
          </c:marker>
          <c:xVal>
            <c:numLit>
              <c:formatCode>General</c:formatCode>
              <c:ptCount val="2"/>
              <c:pt idx="0">
                <c:v>14.97909728533833</c:v>
              </c:pt>
              <c:pt idx="1">
                <c:v>15.138892227167009</c:v>
              </c:pt>
            </c:numLit>
          </c:xVal>
          <c:yVal>
            <c:numLit>
              <c:formatCode>General</c:formatCode>
              <c:ptCount val="2"/>
              <c:pt idx="0">
                <c:v>2.9693831622722384E-2</c:v>
              </c:pt>
              <c:pt idx="1">
                <c:v>2.9881628014637864E-2</c:v>
              </c:pt>
            </c:numLit>
          </c:yVal>
          <c:smooth val="0"/>
          <c:extLst>
            <c:ext xmlns:c16="http://schemas.microsoft.com/office/drawing/2014/chart" uri="{C3380CC4-5D6E-409C-BE32-E72D297353CC}">
              <c16:uniqueId val="{0000000C-092A-480E-97D5-3D07ED76AD1F}"/>
            </c:ext>
          </c:extLst>
        </c:ser>
        <c:ser>
          <c:idx val="11"/>
          <c:order val="11"/>
          <c:spPr>
            <a:ln w="3175">
              <a:solidFill>
                <a:srgbClr val="000000"/>
              </a:solidFill>
              <a:prstDash val="solid"/>
            </a:ln>
          </c:spPr>
          <c:marker>
            <c:symbol val="none"/>
          </c:marker>
          <c:xVal>
            <c:numLit>
              <c:formatCode>General</c:formatCode>
              <c:ptCount val="2"/>
              <c:pt idx="0">
                <c:v>14.659283952235356</c:v>
              </c:pt>
              <c:pt idx="1">
                <c:v>14.965167550188299</c:v>
              </c:pt>
            </c:numLit>
          </c:xVal>
          <c:yVal>
            <c:numLit>
              <c:formatCode>General</c:formatCode>
              <c:ptCount val="2"/>
              <c:pt idx="0">
                <c:v>2.9838322153782595E-2</c:v>
              </c:pt>
              <c:pt idx="1">
                <c:v>3.0220107388944706E-2</c:v>
              </c:pt>
            </c:numLit>
          </c:yVal>
          <c:smooth val="0"/>
          <c:extLst>
            <c:ext xmlns:c16="http://schemas.microsoft.com/office/drawing/2014/chart" uri="{C3380CC4-5D6E-409C-BE32-E72D297353CC}">
              <c16:uniqueId val="{0000000D-092A-480E-97D5-3D07ED76AD1F}"/>
            </c:ext>
          </c:extLst>
        </c:ser>
        <c:ser>
          <c:idx val="12"/>
          <c:order val="12"/>
          <c:spPr>
            <a:ln w="3175">
              <a:solidFill>
                <a:srgbClr val="000000"/>
              </a:solidFill>
              <a:prstDash val="solid"/>
            </a:ln>
          </c:spPr>
          <c:marker>
            <c:symbol val="none"/>
          </c:marker>
          <c:dLbls>
            <c:dLbl>
              <c:idx val="0"/>
              <c:tx>
                <c:rich>
                  <a:bodyPr rot="-35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3400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15.525954146435364</c:v>
              </c:pt>
            </c:numLit>
          </c:xVal>
          <c:yVal>
            <c:numLit>
              <c:formatCode>General</c:formatCode>
              <c:ptCount val="1"/>
              <c:pt idx="0">
                <c:v>3.0920046986741907E-2</c:v>
              </c:pt>
            </c:numLit>
          </c:yVal>
          <c:smooth val="0"/>
          <c:extLst>
            <c:ext xmlns:c16="http://schemas.microsoft.com/office/drawing/2014/chart" uri="{C3380CC4-5D6E-409C-BE32-E72D297353CC}">
              <c16:uniqueId val="{0000000F-092A-480E-97D5-3D07ED76AD1F}"/>
            </c:ext>
          </c:extLst>
        </c:ser>
        <c:ser>
          <c:idx val="13"/>
          <c:order val="13"/>
          <c:spPr>
            <a:ln w="3175">
              <a:solidFill>
                <a:srgbClr val="000000"/>
              </a:solidFill>
              <a:prstDash val="solid"/>
            </a:ln>
          </c:spPr>
          <c:marker>
            <c:symbol val="none"/>
          </c:marker>
          <c:xVal>
            <c:numLit>
              <c:formatCode>General</c:formatCode>
              <c:ptCount val="2"/>
              <c:pt idx="0">
                <c:v>14.323628642858322</c:v>
              </c:pt>
              <c:pt idx="1">
                <c:v>14.469377828062429</c:v>
              </c:pt>
            </c:numLit>
          </c:xVal>
          <c:yVal>
            <c:numLit>
              <c:formatCode>General</c:formatCode>
              <c:ptCount val="2"/>
              <c:pt idx="0">
                <c:v>2.9980844463909358E-2</c:v>
              </c:pt>
              <c:pt idx="1">
                <c:v>3.0174791130993129E-2</c:v>
              </c:pt>
            </c:numLit>
          </c:yVal>
          <c:smooth val="0"/>
          <c:extLst>
            <c:ext xmlns:c16="http://schemas.microsoft.com/office/drawing/2014/chart" uri="{C3380CC4-5D6E-409C-BE32-E72D297353CC}">
              <c16:uniqueId val="{00000010-092A-480E-97D5-3D07ED76AD1F}"/>
            </c:ext>
          </c:extLst>
        </c:ser>
        <c:ser>
          <c:idx val="14"/>
          <c:order val="14"/>
          <c:spPr>
            <a:ln w="3175">
              <a:solidFill>
                <a:srgbClr val="000000"/>
              </a:solidFill>
              <a:prstDash val="solid"/>
            </a:ln>
          </c:spPr>
          <c:marker>
            <c:symbol val="none"/>
          </c:marker>
          <c:xVal>
            <c:numLit>
              <c:formatCode>General</c:formatCode>
              <c:ptCount val="2"/>
              <c:pt idx="0">
                <c:v>13.971888226311023</c:v>
              </c:pt>
              <c:pt idx="1">
                <c:v>14.248312007438637</c:v>
              </c:pt>
            </c:numLit>
          </c:xVal>
          <c:yVal>
            <c:numLit>
              <c:formatCode>General</c:formatCode>
              <c:ptCount val="2"/>
              <c:pt idx="0">
                <c:v>3.0120633931542337E-2</c:v>
              </c:pt>
              <c:pt idx="1">
                <c:v>3.051451824289415E-2</c:v>
              </c:pt>
            </c:numLit>
          </c:yVal>
          <c:smooth val="0"/>
          <c:extLst>
            <c:ext xmlns:c16="http://schemas.microsoft.com/office/drawing/2014/chart" uri="{C3380CC4-5D6E-409C-BE32-E72D297353CC}">
              <c16:uniqueId val="{00000011-092A-480E-97D5-3D07ED76AD1F}"/>
            </c:ext>
          </c:extLst>
        </c:ser>
        <c:ser>
          <c:idx val="15"/>
          <c:order val="15"/>
          <c:spPr>
            <a:ln w="3175">
              <a:solidFill>
                <a:srgbClr val="000000"/>
              </a:solidFill>
              <a:prstDash val="solid"/>
            </a:ln>
          </c:spPr>
          <c:marker>
            <c:symbol val="none"/>
          </c:marker>
          <c:xVal>
            <c:numLit>
              <c:formatCode>General</c:formatCode>
              <c:ptCount val="2"/>
              <c:pt idx="0">
                <c:v>13.603931620112528</c:v>
              </c:pt>
              <c:pt idx="1">
                <c:v>13.734258726257798</c:v>
              </c:pt>
            </c:numLit>
          </c:xVal>
          <c:yVal>
            <c:numLit>
              <c:formatCode>General</c:formatCode>
              <c:ptCount val="2"/>
              <c:pt idx="0">
                <c:v>3.0256864649135986E-2</c:v>
              </c:pt>
              <c:pt idx="1">
                <c:v>3.0456726034474614E-2</c:v>
              </c:pt>
            </c:numLit>
          </c:yVal>
          <c:smooth val="0"/>
          <c:extLst>
            <c:ext xmlns:c16="http://schemas.microsoft.com/office/drawing/2014/chart" uri="{C3380CC4-5D6E-409C-BE32-E72D297353CC}">
              <c16:uniqueId val="{00000012-092A-480E-97D5-3D07ED76AD1F}"/>
            </c:ext>
          </c:extLst>
        </c:ser>
        <c:ser>
          <c:idx val="16"/>
          <c:order val="16"/>
          <c:spPr>
            <a:ln w="3175">
              <a:solidFill>
                <a:srgbClr val="000000"/>
              </a:solidFill>
              <a:prstDash val="solid"/>
            </a:ln>
          </c:spPr>
          <c:marker>
            <c:symbol val="none"/>
          </c:marker>
          <c:xVal>
            <c:numLit>
              <c:formatCode>General</c:formatCode>
              <c:ptCount val="2"/>
              <c:pt idx="0">
                <c:v>13.2197584950931</c:v>
              </c:pt>
              <c:pt idx="1">
                <c:v>13.463948144882803</c:v>
              </c:pt>
            </c:numLit>
          </c:xVal>
          <c:yVal>
            <c:numLit>
              <c:formatCode>General</c:formatCode>
              <c:ptCount val="2"/>
              <c:pt idx="0">
                <c:v>3.0388655191524186E-2</c:v>
              </c:pt>
              <c:pt idx="1">
                <c:v>3.0794026128303793E-2</c:v>
              </c:pt>
            </c:numLit>
          </c:yVal>
          <c:smooth val="0"/>
          <c:extLst>
            <c:ext xmlns:c16="http://schemas.microsoft.com/office/drawing/2014/chart" uri="{C3380CC4-5D6E-409C-BE32-E72D297353CC}">
              <c16:uniqueId val="{00000013-092A-480E-97D5-3D07ED76AD1F}"/>
            </c:ext>
          </c:extLst>
        </c:ser>
        <c:ser>
          <c:idx val="17"/>
          <c:order val="17"/>
          <c:spPr>
            <a:ln w="3175">
              <a:solidFill>
                <a:srgbClr val="000000"/>
              </a:solidFill>
              <a:prstDash val="solid"/>
            </a:ln>
          </c:spPr>
          <c:marker>
            <c:symbol val="none"/>
          </c:marker>
          <c:dLbls>
            <c:dLbl>
              <c:idx val="0"/>
              <c:tx>
                <c:rich>
                  <a:bodyPr rot="-39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13.91162916949726</c:v>
              </c:pt>
            </c:numLit>
          </c:xVal>
          <c:yVal>
            <c:numLit>
              <c:formatCode>General</c:formatCode>
              <c:ptCount val="1"/>
              <c:pt idx="0">
                <c:v>3.1537206179066406E-2</c:v>
              </c:pt>
            </c:numLit>
          </c:yVal>
          <c:smooth val="0"/>
          <c:extLst>
            <c:ext xmlns:c16="http://schemas.microsoft.com/office/drawing/2014/chart" uri="{C3380CC4-5D6E-409C-BE32-E72D297353CC}">
              <c16:uniqueId val="{00000015-092A-480E-97D5-3D07ED76AD1F}"/>
            </c:ext>
          </c:extLst>
        </c:ser>
        <c:ser>
          <c:idx val="18"/>
          <c:order val="18"/>
          <c:spPr>
            <a:ln w="3175">
              <a:solidFill>
                <a:srgbClr val="000000"/>
              </a:solidFill>
              <a:prstDash val="solid"/>
            </a:ln>
          </c:spPr>
          <c:marker>
            <c:symbol val="none"/>
          </c:marker>
          <c:xVal>
            <c:numLit>
              <c:formatCode>General</c:formatCode>
              <c:ptCount val="2"/>
              <c:pt idx="0">
                <c:v>12.819517711563606</c:v>
              </c:pt>
              <c:pt idx="1">
                <c:v>12.933035948239969</c:v>
              </c:pt>
            </c:numLit>
          </c:xVal>
          <c:yVal>
            <c:numLit>
              <c:formatCode>General</c:formatCode>
              <c:ptCount val="2"/>
              <c:pt idx="0">
                <c:v>3.0515077010490988E-2</c:v>
              </c:pt>
              <c:pt idx="1">
                <c:v>3.0720471517858654E-2</c:v>
              </c:pt>
            </c:numLit>
          </c:yVal>
          <c:smooth val="0"/>
          <c:extLst>
            <c:ext xmlns:c16="http://schemas.microsoft.com/office/drawing/2014/chart" uri="{C3380CC4-5D6E-409C-BE32-E72D297353CC}">
              <c16:uniqueId val="{00000016-092A-480E-97D5-3D07ED76AD1F}"/>
            </c:ext>
          </c:extLst>
        </c:ser>
        <c:ser>
          <c:idx val="19"/>
          <c:order val="19"/>
          <c:spPr>
            <a:ln w="3175">
              <a:solidFill>
                <a:srgbClr val="000000"/>
              </a:solidFill>
              <a:prstDash val="solid"/>
            </a:ln>
          </c:spPr>
          <c:marker>
            <c:symbol val="none"/>
          </c:marker>
          <c:xVal>
            <c:numLit>
              <c:formatCode>General</c:formatCode>
              <c:ptCount val="2"/>
              <c:pt idx="0">
                <c:v>12.403524669547116</c:v>
              </c:pt>
              <c:pt idx="1">
                <c:v>12.612732869670563</c:v>
              </c:pt>
            </c:numLit>
          </c:xVal>
          <c:yVal>
            <c:numLit>
              <c:formatCode>General</c:formatCode>
              <c:ptCount val="2"/>
              <c:pt idx="0">
                <c:v>3.0635165647360473E-2</c:v>
              </c:pt>
              <c:pt idx="1">
                <c:v>3.1051101317961634E-2</c:v>
              </c:pt>
            </c:numLit>
          </c:yVal>
          <c:smooth val="0"/>
          <c:extLst>
            <c:ext xmlns:c16="http://schemas.microsoft.com/office/drawing/2014/chart" uri="{C3380CC4-5D6E-409C-BE32-E72D297353CC}">
              <c16:uniqueId val="{00000017-092A-480E-97D5-3D07ED76AD1F}"/>
            </c:ext>
          </c:extLst>
        </c:ser>
        <c:ser>
          <c:idx val="20"/>
          <c:order val="20"/>
          <c:spPr>
            <a:ln w="3175">
              <a:solidFill>
                <a:srgbClr val="000000"/>
              </a:solidFill>
              <a:prstDash val="solid"/>
            </a:ln>
          </c:spPr>
          <c:marker>
            <c:symbol val="none"/>
          </c:marker>
          <c:xVal>
            <c:numLit>
              <c:formatCode>General</c:formatCode>
              <c:ptCount val="2"/>
              <c:pt idx="0">
                <c:v>11.972276624673018</c:v>
              </c:pt>
              <c:pt idx="1">
                <c:v>12.067639695201725</c:v>
              </c:pt>
            </c:numLit>
          </c:xVal>
          <c:yVal>
            <c:numLit>
              <c:formatCode>General</c:formatCode>
              <c:ptCount val="2"/>
              <c:pt idx="0">
                <c:v>3.0747934834256706E-2</c:v>
              </c:pt>
              <c:pt idx="1">
                <c:v>3.0958319152133637E-2</c:v>
              </c:pt>
            </c:numLit>
          </c:yVal>
          <c:smooth val="0"/>
          <c:extLst>
            <c:ext xmlns:c16="http://schemas.microsoft.com/office/drawing/2014/chart" uri="{C3380CC4-5D6E-409C-BE32-E72D297353CC}">
              <c16:uniqueId val="{00000018-092A-480E-97D5-3D07ED76AD1F}"/>
            </c:ext>
          </c:extLst>
        </c:ser>
        <c:ser>
          <c:idx val="21"/>
          <c:order val="21"/>
          <c:spPr>
            <a:ln w="3175">
              <a:solidFill>
                <a:srgbClr val="000000"/>
              </a:solidFill>
              <a:prstDash val="solid"/>
            </a:ln>
          </c:spPr>
          <c:marker>
            <c:symbol val="none"/>
          </c:marker>
          <c:xVal>
            <c:numLit>
              <c:formatCode>General</c:formatCode>
              <c:ptCount val="2"/>
              <c:pt idx="0">
                <c:v>11.526464929155814</c:v>
              </c:pt>
              <c:pt idx="1">
                <c:v>11.698084854691064</c:v>
              </c:pt>
            </c:numLit>
          </c:xVal>
          <c:yVal>
            <c:numLit>
              <c:formatCode>General</c:formatCode>
              <c:ptCount val="2"/>
              <c:pt idx="0">
                <c:v>3.085239339588855E-2</c:v>
              </c:pt>
              <c:pt idx="1">
                <c:v>3.1277638827140915E-2</c:v>
              </c:pt>
            </c:numLit>
          </c:yVal>
          <c:smooth val="0"/>
          <c:extLst>
            <c:ext xmlns:c16="http://schemas.microsoft.com/office/drawing/2014/chart" uri="{C3380CC4-5D6E-409C-BE32-E72D297353CC}">
              <c16:uniqueId val="{00000019-092A-480E-97D5-3D07ED76AD1F}"/>
            </c:ext>
          </c:extLst>
        </c:ser>
        <c:ser>
          <c:idx val="22"/>
          <c:order val="22"/>
          <c:spPr>
            <a:ln w="3175">
              <a:solidFill>
                <a:srgbClr val="000000"/>
              </a:solidFill>
              <a:prstDash val="solid"/>
            </a:ln>
          </c:spPr>
          <c:marker>
            <c:symbol val="none"/>
          </c:marker>
          <c:dLbls>
            <c:dLbl>
              <c:idx val="0"/>
              <c:tx>
                <c:rich>
                  <a:bodyPr rot="-43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12.01272138483902</c:v>
              </c:pt>
            </c:numLit>
          </c:xVal>
          <c:yVal>
            <c:numLit>
              <c:formatCode>General</c:formatCode>
              <c:ptCount val="1"/>
              <c:pt idx="0">
                <c:v>3.2057255451103592E-2</c:v>
              </c:pt>
            </c:numLit>
          </c:yVal>
          <c:smooth val="0"/>
          <c:extLst>
            <c:ext xmlns:c16="http://schemas.microsoft.com/office/drawing/2014/chart" uri="{C3380CC4-5D6E-409C-BE32-E72D297353CC}">
              <c16:uniqueId val="{0000001B-092A-480E-97D5-3D07ED76AD1F}"/>
            </c:ext>
          </c:extLst>
        </c:ser>
        <c:ser>
          <c:idx val="23"/>
          <c:order val="23"/>
          <c:spPr>
            <a:ln w="3175">
              <a:solidFill>
                <a:srgbClr val="000000"/>
              </a:solidFill>
              <a:prstDash val="solid"/>
            </a:ln>
          </c:spPr>
          <c:marker>
            <c:symbol val="none"/>
          </c:marker>
          <c:xVal>
            <c:numLit>
              <c:formatCode>General</c:formatCode>
              <c:ptCount val="2"/>
              <c:pt idx="0">
                <c:v>11.066983124686066</c:v>
              </c:pt>
              <c:pt idx="1">
                <c:v>11.142947048786482</c:v>
              </c:pt>
            </c:numLit>
          </c:xVal>
          <c:yVal>
            <c:numLit>
              <c:formatCode>General</c:formatCode>
              <c:ptCount val="2"/>
              <c:pt idx="0">
                <c:v>3.0947564672567929E-2</c:v>
              </c:pt>
              <c:pt idx="1">
                <c:v>3.1162226772694385E-2</c:v>
              </c:pt>
            </c:numLit>
          </c:yVal>
          <c:smooth val="0"/>
          <c:extLst>
            <c:ext xmlns:c16="http://schemas.microsoft.com/office/drawing/2014/chart" uri="{C3380CC4-5D6E-409C-BE32-E72D297353CC}">
              <c16:uniqueId val="{0000001C-092A-480E-97D5-3D07ED76AD1F}"/>
            </c:ext>
          </c:extLst>
        </c:ser>
        <c:ser>
          <c:idx val="24"/>
          <c:order val="24"/>
          <c:spPr>
            <a:ln w="3175">
              <a:solidFill>
                <a:srgbClr val="000000"/>
              </a:solidFill>
              <a:prstDash val="solid"/>
            </a:ln>
          </c:spPr>
          <c:marker>
            <c:symbol val="none"/>
          </c:marker>
          <c:xVal>
            <c:numLit>
              <c:formatCode>General</c:formatCode>
              <c:ptCount val="2"/>
              <c:pt idx="0">
                <c:v>10.594929860498169</c:v>
              </c:pt>
              <c:pt idx="1">
                <c:v>10.72662685451952</c:v>
              </c:pt>
            </c:numLit>
          </c:xVal>
          <c:yVal>
            <c:numLit>
              <c:formatCode>General</c:formatCode>
              <c:ptCount val="2"/>
              <c:pt idx="0">
                <c:v>3.1032507972748882E-2</c:v>
              </c:pt>
              <c:pt idx="1">
                <c:v>3.1465472600152408E-2</c:v>
              </c:pt>
            </c:numLit>
          </c:yVal>
          <c:smooth val="0"/>
          <c:extLst>
            <c:ext xmlns:c16="http://schemas.microsoft.com/office/drawing/2014/chart" uri="{C3380CC4-5D6E-409C-BE32-E72D297353CC}">
              <c16:uniqueId val="{0000001D-092A-480E-97D5-3D07ED76AD1F}"/>
            </c:ext>
          </c:extLst>
        </c:ser>
        <c:ser>
          <c:idx val="25"/>
          <c:order val="25"/>
          <c:spPr>
            <a:ln w="3175">
              <a:solidFill>
                <a:srgbClr val="000000"/>
              </a:solidFill>
              <a:prstDash val="solid"/>
            </a:ln>
          </c:spPr>
          <c:marker>
            <c:symbol val="none"/>
          </c:marker>
          <c:xVal>
            <c:numLit>
              <c:formatCode>General</c:formatCode>
              <c:ptCount val="2"/>
              <c:pt idx="0">
                <c:v>10.111605750259969</c:v>
              </c:pt>
              <c:pt idx="1">
                <c:v>10.167097302051253</c:v>
              </c:pt>
            </c:numLit>
          </c:xVal>
          <c:yVal>
            <c:numLit>
              <c:formatCode>General</c:formatCode>
              <c:ptCount val="2"/>
              <c:pt idx="0">
                <c:v>3.1106341346724724E-2</c:v>
              </c:pt>
              <c:pt idx="1">
                <c:v>3.1324405804154541E-2</c:v>
              </c:pt>
            </c:numLit>
          </c:yVal>
          <c:smooth val="0"/>
          <c:extLst>
            <c:ext xmlns:c16="http://schemas.microsoft.com/office/drawing/2014/chart" uri="{C3380CC4-5D6E-409C-BE32-E72D297353CC}">
              <c16:uniqueId val="{0000001E-092A-480E-97D5-3D07ED76AD1F}"/>
            </c:ext>
          </c:extLst>
        </c:ser>
        <c:ser>
          <c:idx val="26"/>
          <c:order val="26"/>
          <c:spPr>
            <a:ln w="3175">
              <a:solidFill>
                <a:srgbClr val="000000"/>
              </a:solidFill>
              <a:prstDash val="solid"/>
            </a:ln>
          </c:spPr>
          <c:marker>
            <c:symbol val="none"/>
          </c:marker>
          <c:xVal>
            <c:numLit>
              <c:formatCode>General</c:formatCode>
              <c:ptCount val="2"/>
              <c:pt idx="0">
                <c:v>9.6185035223870123</c:v>
              </c:pt>
              <c:pt idx="1">
                <c:v>9.7083536733464566</c:v>
              </c:pt>
            </c:numLit>
          </c:xVal>
          <c:yVal>
            <c:numLit>
              <c:formatCode>General</c:formatCode>
              <c:ptCount val="2"/>
              <c:pt idx="0">
                <c:v>3.1168264774375409E-2</c:v>
              </c:pt>
              <c:pt idx="1">
                <c:v>3.160704755042007E-2</c:v>
              </c:pt>
            </c:numLit>
          </c:yVal>
          <c:smooth val="0"/>
          <c:extLst>
            <c:ext xmlns:c16="http://schemas.microsoft.com/office/drawing/2014/chart" uri="{C3380CC4-5D6E-409C-BE32-E72D297353CC}">
              <c16:uniqueId val="{0000001F-092A-480E-97D5-3D07ED76AD1F}"/>
            </c:ext>
          </c:extLst>
        </c:ser>
        <c:ser>
          <c:idx val="27"/>
          <c:order val="27"/>
          <c:spPr>
            <a:ln w="3175">
              <a:solidFill>
                <a:srgbClr val="000000"/>
              </a:solidFill>
              <a:prstDash val="solid"/>
            </a:ln>
          </c:spPr>
          <c:marker>
            <c:symbol val="none"/>
          </c:marker>
          <c:dLbls>
            <c:dLbl>
              <c:idx val="0"/>
              <c:tx>
                <c:rich>
                  <a:bodyPr rot="-48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0-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9.8730789501054357</c:v>
              </c:pt>
            </c:numLit>
          </c:xVal>
          <c:yVal>
            <c:numLit>
              <c:formatCode>General</c:formatCode>
              <c:ptCount val="1"/>
              <c:pt idx="0">
                <c:v>3.241148263983528E-2</c:v>
              </c:pt>
            </c:numLit>
          </c:yVal>
          <c:smooth val="0"/>
          <c:extLst>
            <c:ext xmlns:c16="http://schemas.microsoft.com/office/drawing/2014/chart" uri="{C3380CC4-5D6E-409C-BE32-E72D297353CC}">
              <c16:uniqueId val="{00000021-092A-480E-97D5-3D07ED76AD1F}"/>
            </c:ext>
          </c:extLst>
        </c:ser>
        <c:ser>
          <c:idx val="28"/>
          <c:order val="28"/>
          <c:spPr>
            <a:ln w="3175">
              <a:solidFill>
                <a:srgbClr val="000000"/>
              </a:solidFill>
              <a:prstDash val="solid"/>
            </a:ln>
          </c:spPr>
          <c:marker>
            <c:symbol val="none"/>
          </c:marker>
          <c:xVal>
            <c:numLit>
              <c:formatCode>General</c:formatCode>
              <c:ptCount val="2"/>
              <c:pt idx="0">
                <c:v>9.1172911549090987</c:v>
              </c:pt>
              <c:pt idx="1">
                <c:v>9.1514759653714375</c:v>
              </c:pt>
            </c:numLit>
          </c:xVal>
          <c:yVal>
            <c:numLit>
              <c:formatCode>General</c:formatCode>
              <c:ptCount val="2"/>
              <c:pt idx="0">
                <c:v>3.1217582704093288E-2</c:v>
              </c:pt>
              <c:pt idx="1">
                <c:v>3.1438030904895289E-2</c:v>
              </c:pt>
            </c:numLit>
          </c:yVal>
          <c:smooth val="0"/>
          <c:extLst>
            <c:ext xmlns:c16="http://schemas.microsoft.com/office/drawing/2014/chart" uri="{C3380CC4-5D6E-409C-BE32-E72D297353CC}">
              <c16:uniqueId val="{00000022-092A-480E-97D5-3D07ED76AD1F}"/>
            </c:ext>
          </c:extLst>
        </c:ser>
        <c:ser>
          <c:idx val="29"/>
          <c:order val="29"/>
          <c:spPr>
            <a:ln w="3175">
              <a:solidFill>
                <a:srgbClr val="000000"/>
              </a:solidFill>
              <a:prstDash val="solid"/>
            </a:ln>
          </c:spPr>
          <c:marker>
            <c:symbol val="none"/>
          </c:marker>
          <c:xVal>
            <c:numLit>
              <c:formatCode>General</c:formatCode>
              <c:ptCount val="2"/>
              <c:pt idx="0">
                <c:v>8.6097880993478064</c:v>
              </c:pt>
              <c:pt idx="1">
                <c:v>8.6564075893198567</c:v>
              </c:pt>
            </c:numLit>
          </c:xVal>
          <c:yVal>
            <c:numLit>
              <c:formatCode>General</c:formatCode>
              <c:ptCount val="2"/>
              <c:pt idx="0">
                <c:v>3.1253724791923544E-2</c:v>
              </c:pt>
              <c:pt idx="1">
                <c:v>3.169617014014884E-2</c:v>
              </c:pt>
            </c:numLit>
          </c:yVal>
          <c:smooth val="0"/>
          <c:extLst>
            <c:ext xmlns:c16="http://schemas.microsoft.com/office/drawing/2014/chart" uri="{C3380CC4-5D6E-409C-BE32-E72D297353CC}">
              <c16:uniqueId val="{00000023-092A-480E-97D5-3D07ED76AD1F}"/>
            </c:ext>
          </c:extLst>
        </c:ser>
        <c:ser>
          <c:idx val="30"/>
          <c:order val="30"/>
          <c:spPr>
            <a:ln w="3175">
              <a:solidFill>
                <a:srgbClr val="000000"/>
              </a:solidFill>
              <a:prstDash val="solid"/>
            </a:ln>
          </c:spPr>
          <c:marker>
            <c:symbol val="none"/>
          </c:marker>
          <c:xVal>
            <c:numLit>
              <c:formatCode>General</c:formatCode>
              <c:ptCount val="2"/>
              <c:pt idx="0">
                <c:v>8.0979351556909851</c:v>
              </c:pt>
              <c:pt idx="1">
                <c:v>8.1102766233129344</c:v>
              </c:pt>
            </c:numLit>
          </c:xVal>
          <c:yVal>
            <c:numLit>
              <c:formatCode>General</c:formatCode>
              <c:ptCount val="2"/>
              <c:pt idx="0">
                <c:v>3.127626368973449E-2</c:v>
              </c:pt>
              <c:pt idx="1">
                <c:v>3.1497969340228804E-2</c:v>
              </c:pt>
            </c:numLit>
          </c:yVal>
          <c:smooth val="0"/>
          <c:extLst>
            <c:ext xmlns:c16="http://schemas.microsoft.com/office/drawing/2014/chart" uri="{C3380CC4-5D6E-409C-BE32-E72D297353CC}">
              <c16:uniqueId val="{00000024-092A-480E-97D5-3D07ED76AD1F}"/>
            </c:ext>
          </c:extLst>
        </c:ser>
        <c:ser>
          <c:idx val="31"/>
          <c:order val="31"/>
          <c:spPr>
            <a:ln w="3175">
              <a:solidFill>
                <a:srgbClr val="000000"/>
              </a:solidFill>
              <a:prstDash val="solid"/>
            </a:ln>
          </c:spPr>
          <c:marker>
            <c:symbol val="none"/>
          </c:marker>
          <c:xVal>
            <c:numLit>
              <c:formatCode>General</c:formatCode>
              <c:ptCount val="2"/>
              <c:pt idx="0">
                <c:v>7.5837590188694071</c:v>
              </c:pt>
              <c:pt idx="1">
                <c:v>7.5864058339638101</c:v>
              </c:pt>
            </c:numLit>
          </c:xVal>
          <c:yVal>
            <c:numLit>
              <c:formatCode>General</c:formatCode>
              <c:ptCount val="2"/>
              <c:pt idx="0">
                <c:v>3.1284928830437236E-2</c:v>
              </c:pt>
              <c:pt idx="1">
                <c:v>3.1728711494598834E-2</c:v>
              </c:pt>
            </c:numLit>
          </c:yVal>
          <c:smooth val="0"/>
          <c:extLst>
            <c:ext xmlns:c16="http://schemas.microsoft.com/office/drawing/2014/chart" uri="{C3380CC4-5D6E-409C-BE32-E72D297353CC}">
              <c16:uniqueId val="{00000025-092A-480E-97D5-3D07ED76AD1F}"/>
            </c:ext>
          </c:extLst>
        </c:ser>
        <c:ser>
          <c:idx val="32"/>
          <c:order val="32"/>
          <c:spPr>
            <a:ln w="3175">
              <a:solidFill>
                <a:srgbClr val="000000"/>
              </a:solidFill>
              <a:prstDash val="solid"/>
            </a:ln>
          </c:spPr>
          <c:marker>
            <c:symbol val="none"/>
          </c:marker>
          <c:dLbls>
            <c:dLbl>
              <c:idx val="0"/>
              <c:tx>
                <c:rich>
                  <a:bodyPr rot="-54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2600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7.5912583283035486</c:v>
              </c:pt>
            </c:numLit>
          </c:xVal>
          <c:yVal>
            <c:numLit>
              <c:formatCode>General</c:formatCode>
              <c:ptCount val="1"/>
              <c:pt idx="0">
                <c:v>3.2542313045561759E-2</c:v>
              </c:pt>
            </c:numLit>
          </c:yVal>
          <c:smooth val="0"/>
          <c:extLst>
            <c:ext xmlns:c16="http://schemas.microsoft.com/office/drawing/2014/chart" uri="{C3380CC4-5D6E-409C-BE32-E72D297353CC}">
              <c16:uniqueId val="{00000027-092A-480E-97D5-3D07ED76AD1F}"/>
            </c:ext>
          </c:extLst>
        </c:ser>
        <c:ser>
          <c:idx val="33"/>
          <c:order val="33"/>
          <c:spPr>
            <a:ln w="3175">
              <a:solidFill>
                <a:srgbClr val="000000"/>
              </a:solidFill>
              <a:prstDash val="solid"/>
            </a:ln>
          </c:spPr>
          <c:marker>
            <c:symbol val="none"/>
          </c:marker>
          <c:xVal>
            <c:numLit>
              <c:formatCode>General</c:formatCode>
              <c:ptCount val="2"/>
              <c:pt idx="0">
                <c:v>7.069332926750965</c:v>
              </c:pt>
              <c:pt idx="1">
                <c:v>7.0596329180384858</c:v>
              </c:pt>
            </c:numLit>
          </c:xVal>
          <c:yVal>
            <c:numLit>
              <c:formatCode>General</c:formatCode>
              <c:ptCount val="2"/>
              <c:pt idx="0">
                <c:v>3.1279615356557502E-2</c:v>
              </c:pt>
              <c:pt idx="1">
                <c:v>3.1501392828483736E-2</c:v>
              </c:pt>
            </c:numLit>
          </c:yVal>
          <c:smooth val="0"/>
          <c:extLst>
            <c:ext xmlns:c16="http://schemas.microsoft.com/office/drawing/2014/chart" uri="{C3380CC4-5D6E-409C-BE32-E72D297353CC}">
              <c16:uniqueId val="{00000028-092A-480E-97D5-3D07ED76AD1F}"/>
            </c:ext>
          </c:extLst>
        </c:ser>
        <c:ser>
          <c:idx val="34"/>
          <c:order val="34"/>
          <c:spPr>
            <a:ln w="3175">
              <a:solidFill>
                <a:srgbClr val="000000"/>
              </a:solidFill>
              <a:prstDash val="solid"/>
            </a:ln>
          </c:spPr>
          <c:marker>
            <c:symbol val="none"/>
          </c:marker>
          <c:xVal>
            <c:numLit>
              <c:formatCode>General</c:formatCode>
              <c:ptCount val="2"/>
              <c:pt idx="0">
                <c:v>6.5567351526053601</c:v>
              </c:pt>
              <c:pt idx="1">
                <c:v>6.5153666591455899</c:v>
              </c:pt>
            </c:numLit>
          </c:xVal>
          <c:yVal>
            <c:numLit>
              <c:formatCode>General</c:formatCode>
              <c:ptCount val="2"/>
              <c:pt idx="0">
                <c:v>3.1260387622117129E-2</c:v>
              </c:pt>
              <c:pt idx="1">
                <c:v>3.1703118520207865E-2</c:v>
              </c:pt>
            </c:numLit>
          </c:yVal>
          <c:smooth val="0"/>
          <c:extLst>
            <c:ext xmlns:c16="http://schemas.microsoft.com/office/drawing/2014/chart" uri="{C3380CC4-5D6E-409C-BE32-E72D297353CC}">
              <c16:uniqueId val="{00000029-092A-480E-97D5-3D07ED76AD1F}"/>
            </c:ext>
          </c:extLst>
        </c:ser>
        <c:ser>
          <c:idx val="35"/>
          <c:order val="35"/>
          <c:spPr>
            <a:ln w="3175">
              <a:solidFill>
                <a:srgbClr val="000000"/>
              </a:solidFill>
              <a:prstDash val="solid"/>
            </a:ln>
          </c:spPr>
          <c:marker>
            <c:symbol val="none"/>
          </c:marker>
          <c:xVal>
            <c:numLit>
              <c:formatCode>General</c:formatCode>
              <c:ptCount val="2"/>
              <c:pt idx="0">
                <c:v>6.048007262567018</c:v>
              </c:pt>
              <c:pt idx="1">
                <c:v>6.0164217039077394</c:v>
              </c:pt>
            </c:numLit>
          </c:xVal>
          <c:yVal>
            <c:numLit>
              <c:formatCode>General</c:formatCode>
              <c:ptCount val="2"/>
              <c:pt idx="0">
                <c:v>3.1227477040677638E-2</c:v>
              </c:pt>
              <c:pt idx="1">
                <c:v>3.1448137262977877E-2</c:v>
              </c:pt>
            </c:numLit>
          </c:yVal>
          <c:smooth val="0"/>
          <c:extLst>
            <c:ext xmlns:c16="http://schemas.microsoft.com/office/drawing/2014/chart" uri="{C3380CC4-5D6E-409C-BE32-E72D297353CC}">
              <c16:uniqueId val="{0000002A-092A-480E-97D5-3D07ED76AD1F}"/>
            </c:ext>
          </c:extLst>
        </c:ser>
        <c:ser>
          <c:idx val="36"/>
          <c:order val="36"/>
          <c:spPr>
            <a:ln w="3175">
              <a:solidFill>
                <a:srgbClr val="000000"/>
              </a:solidFill>
              <a:prstDash val="solid"/>
            </a:ln>
          </c:spPr>
          <c:marker>
            <c:symbol val="none"/>
          </c:marker>
          <c:xVal>
            <c:numLit>
              <c:formatCode>General</c:formatCode>
              <c:ptCount val="2"/>
              <c:pt idx="0">
                <c:v>5.5451140781737465</c:v>
              </c:pt>
              <c:pt idx="1">
                <c:v>5.4603903958097648</c:v>
              </c:pt>
            </c:numLit>
          </c:xVal>
          <c:yVal>
            <c:numLit>
              <c:formatCode>General</c:formatCode>
              <c:ptCount val="2"/>
              <c:pt idx="0">
                <c:v>3.1181274419367078E-2</c:v>
              </c:pt>
              <c:pt idx="1">
                <c:v>3.1620614751625663E-2</c:v>
              </c:pt>
            </c:numLit>
          </c:yVal>
          <c:smooth val="0"/>
          <c:extLst>
            <c:ext xmlns:c16="http://schemas.microsoft.com/office/drawing/2014/chart" uri="{C3380CC4-5D6E-409C-BE32-E72D297353CC}">
              <c16:uniqueId val="{0000002B-092A-480E-97D5-3D07ED76AD1F}"/>
            </c:ext>
          </c:extLst>
        </c:ser>
        <c:ser>
          <c:idx val="37"/>
          <c:order val="37"/>
          <c:spPr>
            <a:ln w="3175">
              <a:solidFill>
                <a:srgbClr val="000000"/>
              </a:solidFill>
              <a:prstDash val="solid"/>
            </a:ln>
          </c:spPr>
          <c:marker>
            <c:symbol val="none"/>
          </c:marker>
          <c:dLbls>
            <c:dLbl>
              <c:idx val="0"/>
              <c:tx>
                <c:rich>
                  <a:bodyPr rot="49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2400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C-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5.3050636448091302</c:v>
              </c:pt>
            </c:numLit>
          </c:xVal>
          <c:yVal>
            <c:numLit>
              <c:formatCode>General</c:formatCode>
              <c:ptCount val="1"/>
              <c:pt idx="0">
                <c:v>3.2426072027433077E-2</c:v>
              </c:pt>
            </c:numLit>
          </c:yVal>
          <c:smooth val="0"/>
          <c:extLst>
            <c:ext xmlns:c16="http://schemas.microsoft.com/office/drawing/2014/chart" uri="{C3380CC4-5D6E-409C-BE32-E72D297353CC}">
              <c16:uniqueId val="{0000002D-092A-480E-97D5-3D07ED76AD1F}"/>
            </c:ext>
          </c:extLst>
        </c:ser>
        <c:ser>
          <c:idx val="38"/>
          <c:order val="38"/>
          <c:spPr>
            <a:ln w="3175">
              <a:solidFill>
                <a:srgbClr val="000000"/>
              </a:solidFill>
              <a:prstDash val="solid"/>
            </a:ln>
          </c:spPr>
          <c:marker>
            <c:symbol val="none"/>
          </c:marker>
          <c:xVal>
            <c:numLit>
              <c:formatCode>General</c:formatCode>
              <c:ptCount val="2"/>
              <c:pt idx="0">
                <c:v>5.0499071430589693</c:v>
              </c:pt>
              <c:pt idx="1">
                <c:v>4.9969337246959471</c:v>
              </c:pt>
            </c:numLit>
          </c:xVal>
          <c:yVal>
            <c:numLit>
              <c:formatCode>General</c:formatCode>
              <c:ptCount val="2"/>
              <c:pt idx="0">
                <c:v>3.1122317270830653E-2</c:v>
              </c:pt>
              <c:pt idx="1">
                <c:v>3.1340724069491309E-2</c:v>
              </c:pt>
            </c:numLit>
          </c:yVal>
          <c:smooth val="0"/>
          <c:extLst>
            <c:ext xmlns:c16="http://schemas.microsoft.com/office/drawing/2014/chart" uri="{C3380CC4-5D6E-409C-BE32-E72D297353CC}">
              <c16:uniqueId val="{0000002E-092A-480E-97D5-3D07ED76AD1F}"/>
            </c:ext>
          </c:extLst>
        </c:ser>
        <c:ser>
          <c:idx val="39"/>
          <c:order val="39"/>
          <c:spPr>
            <a:ln w="3175">
              <a:solidFill>
                <a:srgbClr val="000000"/>
              </a:solidFill>
              <a:prstDash val="solid"/>
            </a:ln>
          </c:spPr>
          <c:marker>
            <c:symbol val="none"/>
          </c:marker>
          <c:xVal>
            <c:numLit>
              <c:formatCode>General</c:formatCode>
              <c:ptCount val="2"/>
              <c:pt idx="0">
                <c:v>4.5640932094034081</c:v>
              </c:pt>
              <c:pt idx="1">
                <c:v>4.437325775520697</c:v>
              </c:pt>
            </c:numLit>
          </c:xVal>
          <c:yVal>
            <c:numLit>
              <c:formatCode>General</c:formatCode>
              <c:ptCount val="2"/>
              <c:pt idx="0">
                <c:v>3.1051272895714872E-2</c:v>
              </c:pt>
              <c:pt idx="1">
                <c:v>3.1485041734102652E-2</c:v>
              </c:pt>
            </c:numLit>
          </c:yVal>
          <c:smooth val="0"/>
          <c:extLst>
            <c:ext xmlns:c16="http://schemas.microsoft.com/office/drawing/2014/chart" uri="{C3380CC4-5D6E-409C-BE32-E72D297353CC}">
              <c16:uniqueId val="{0000002F-092A-480E-97D5-3D07ED76AD1F}"/>
            </c:ext>
          </c:extLst>
        </c:ser>
        <c:ser>
          <c:idx val="40"/>
          <c:order val="40"/>
          <c:spPr>
            <a:ln w="3175">
              <a:solidFill>
                <a:srgbClr val="000000"/>
              </a:solidFill>
              <a:prstDash val="solid"/>
            </a:ln>
          </c:spPr>
          <c:marker>
            <c:symbol val="none"/>
          </c:marker>
          <c:xVal>
            <c:numLit>
              <c:formatCode>General</c:formatCode>
              <c:ptCount val="2"/>
              <c:pt idx="0">
                <c:v>4.0892088691906565</c:v>
              </c:pt>
              <c:pt idx="1">
                <c:v>4.0156490592447414</c:v>
              </c:pt>
            </c:numLit>
          </c:xVal>
          <c:yVal>
            <c:numLit>
              <c:formatCode>General</c:formatCode>
              <c:ptCount val="2"/>
              <c:pt idx="0">
                <c:v>3.0968918248820355E-2</c:v>
              </c:pt>
              <c:pt idx="1">
                <c:v>3.118403792558079E-2</c:v>
              </c:pt>
            </c:numLit>
          </c:yVal>
          <c:smooth val="0"/>
          <c:extLst>
            <c:ext xmlns:c16="http://schemas.microsoft.com/office/drawing/2014/chart" uri="{C3380CC4-5D6E-409C-BE32-E72D297353CC}">
              <c16:uniqueId val="{00000030-092A-480E-97D5-3D07ED76AD1F}"/>
            </c:ext>
          </c:extLst>
        </c:ser>
        <c:ser>
          <c:idx val="41"/>
          <c:order val="41"/>
          <c:spPr>
            <a:ln w="3175">
              <a:solidFill>
                <a:srgbClr val="000000"/>
              </a:solidFill>
              <a:prstDash val="solid"/>
            </a:ln>
          </c:spPr>
          <c:marker>
            <c:symbol val="none"/>
          </c:marker>
          <c:xVal>
            <c:numLit>
              <c:formatCode>General</c:formatCode>
              <c:ptCount val="2"/>
              <c:pt idx="0">
                <c:v>3.6266020041010818</c:v>
              </c:pt>
              <c:pt idx="1">
                <c:v>3.4596563757054137</c:v>
              </c:pt>
            </c:numLit>
          </c:xVal>
          <c:yVal>
            <c:numLit>
              <c:formatCode>General</c:formatCode>
              <c:ptCount val="2"/>
              <c:pt idx="0">
                <c:v>3.0876117725569325E-2</c:v>
              </c:pt>
              <c:pt idx="1">
                <c:v>3.1302379913808007E-2</c:v>
              </c:pt>
            </c:numLit>
          </c:yVal>
          <c:smooth val="0"/>
          <c:extLst>
            <c:ext xmlns:c16="http://schemas.microsoft.com/office/drawing/2014/chart" uri="{C3380CC4-5D6E-409C-BE32-E72D297353CC}">
              <c16:uniqueId val="{00000031-092A-480E-97D5-3D07ED76AD1F}"/>
            </c:ext>
          </c:extLst>
        </c:ser>
        <c:ser>
          <c:idx val="42"/>
          <c:order val="42"/>
          <c:spPr>
            <a:ln w="3175">
              <a:solidFill>
                <a:srgbClr val="000000"/>
              </a:solidFill>
              <a:prstDash val="solid"/>
            </a:ln>
          </c:spPr>
          <c:marker>
            <c:symbol val="none"/>
          </c:marker>
          <c:dLbls>
            <c:dLbl>
              <c:idx val="0"/>
              <c:tx>
                <c:rich>
                  <a:bodyPr rot="44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2-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3.1535893903133561</c:v>
              </c:pt>
            </c:numLit>
          </c:xVal>
          <c:yVal>
            <c:numLit>
              <c:formatCode>General</c:formatCode>
              <c:ptCount val="1"/>
              <c:pt idx="0">
                <c:v>3.2083860592245599E-2</c:v>
              </c:pt>
            </c:numLit>
          </c:yVal>
          <c:smooth val="0"/>
          <c:extLst>
            <c:ext xmlns:c16="http://schemas.microsoft.com/office/drawing/2014/chart" uri="{C3380CC4-5D6E-409C-BE32-E72D297353CC}">
              <c16:uniqueId val="{00000033-092A-480E-97D5-3D07ED76AD1F}"/>
            </c:ext>
          </c:extLst>
        </c:ser>
        <c:ser>
          <c:idx val="43"/>
          <c:order val="43"/>
          <c:spPr>
            <a:ln w="3175">
              <a:solidFill>
                <a:srgbClr val="000000"/>
              </a:solidFill>
              <a:prstDash val="solid"/>
            </a:ln>
          </c:spPr>
          <c:marker>
            <c:symbol val="none"/>
          </c:marker>
          <c:xVal>
            <c:numLit>
              <c:formatCode>General</c:formatCode>
              <c:ptCount val="2"/>
              <c:pt idx="0">
                <c:v>3.1774202657841126</c:v>
              </c:pt>
              <c:pt idx="1">
                <c:v>3.0843221286223432</c:v>
              </c:pt>
            </c:numLit>
          </c:xVal>
          <c:yVal>
            <c:numLit>
              <c:formatCode>General</c:formatCode>
              <c:ptCount val="2"/>
              <c:pt idx="0">
                <c:v>3.0773800028426088E-2</c:v>
              </c:pt>
              <c:pt idx="1">
                <c:v>3.0984738600463791E-2</c:v>
              </c:pt>
            </c:numLit>
          </c:yVal>
          <c:smooth val="0"/>
          <c:extLst>
            <c:ext xmlns:c16="http://schemas.microsoft.com/office/drawing/2014/chart" uri="{C3380CC4-5D6E-409C-BE32-E72D297353CC}">
              <c16:uniqueId val="{00000034-092A-480E-97D5-3D07ED76AD1F}"/>
            </c:ext>
          </c:extLst>
        </c:ser>
        <c:ser>
          <c:idx val="44"/>
          <c:order val="44"/>
          <c:spPr>
            <a:ln w="3175">
              <a:solidFill>
                <a:srgbClr val="000000"/>
              </a:solidFill>
              <a:prstDash val="solid"/>
            </a:ln>
          </c:spPr>
          <c:marker>
            <c:symbol val="none"/>
          </c:marker>
          <c:xVal>
            <c:numLit>
              <c:formatCode>General</c:formatCode>
              <c:ptCount val="2"/>
              <c:pt idx="0">
                <c:v>2.7426063708388666</c:v>
              </c:pt>
              <c:pt idx="1">
                <c:v>2.5377752153033892</c:v>
              </c:pt>
            </c:numLit>
          </c:xVal>
          <c:yVal>
            <c:numLit>
              <c:formatCode>General</c:formatCode>
              <c:ptCount val="2"/>
              <c:pt idx="0">
                <c:v>3.0662935204324095E-2</c:v>
              </c:pt>
              <c:pt idx="1">
                <c:v>3.1080060998795126E-2</c:v>
              </c:pt>
            </c:numLit>
          </c:yVal>
          <c:smooth val="0"/>
          <c:extLst>
            <c:ext xmlns:c16="http://schemas.microsoft.com/office/drawing/2014/chart" uri="{C3380CC4-5D6E-409C-BE32-E72D297353CC}">
              <c16:uniqueId val="{00000035-092A-480E-97D5-3D07ED76AD1F}"/>
            </c:ext>
          </c:extLst>
        </c:ser>
        <c:ser>
          <c:idx val="45"/>
          <c:order val="45"/>
          <c:spPr>
            <a:ln w="3175">
              <a:solidFill>
                <a:srgbClr val="000000"/>
              </a:solidFill>
              <a:prstDash val="solid"/>
            </a:ln>
          </c:spPr>
          <c:marker>
            <c:symbol val="none"/>
          </c:marker>
          <c:xVal>
            <c:numLit>
              <c:formatCode>General</c:formatCode>
              <c:ptCount val="2"/>
              <c:pt idx="0">
                <c:v>2.3228996376269366</c:v>
              </c:pt>
              <c:pt idx="1">
                <c:v>2.2114903441475136</c:v>
              </c:pt>
            </c:numLit>
          </c:xVal>
          <c:yVal>
            <c:numLit>
              <c:formatCode>General</c:formatCode>
              <c:ptCount val="2"/>
              <c:pt idx="0">
                <c:v>3.0544512802476664E-2</c:v>
              </c:pt>
              <c:pt idx="1">
                <c:v>3.0750538076815451E-2</c:v>
              </c:pt>
            </c:numLit>
          </c:yVal>
          <c:smooth val="0"/>
          <c:extLst>
            <c:ext xmlns:c16="http://schemas.microsoft.com/office/drawing/2014/chart" uri="{C3380CC4-5D6E-409C-BE32-E72D297353CC}">
              <c16:uniqueId val="{00000036-092A-480E-97D5-3D07ED76AD1F}"/>
            </c:ext>
          </c:extLst>
        </c:ser>
        <c:ser>
          <c:idx val="46"/>
          <c:order val="46"/>
          <c:spPr>
            <a:ln w="3175">
              <a:solidFill>
                <a:srgbClr val="000000"/>
              </a:solidFill>
              <a:prstDash val="solid"/>
            </a:ln>
          </c:spPr>
          <c:marker>
            <c:symbol val="none"/>
          </c:marker>
          <c:xVal>
            <c:numLit>
              <c:formatCode>General</c:formatCode>
              <c:ptCount val="2"/>
              <c:pt idx="0">
                <c:v>1.9188429271939578</c:v>
              </c:pt>
              <c:pt idx="1">
                <c:v>1.6787076240736989</c:v>
              </c:pt>
            </c:numLit>
          </c:xVal>
          <c:yVal>
            <c:numLit>
              <c:formatCode>General</c:formatCode>
              <c:ptCount val="2"/>
              <c:pt idx="0">
                <c:v>3.04195219111833E-2</c:v>
              </c:pt>
              <c:pt idx="1">
                <c:v>3.0826215707376869E-2</c:v>
              </c:pt>
            </c:numLit>
          </c:yVal>
          <c:smooth val="0"/>
          <c:extLst>
            <c:ext xmlns:c16="http://schemas.microsoft.com/office/drawing/2014/chart" uri="{C3380CC4-5D6E-409C-BE32-E72D297353CC}">
              <c16:uniqueId val="{00000037-092A-480E-97D5-3D07ED76AD1F}"/>
            </c:ext>
          </c:extLst>
        </c:ser>
        <c:ser>
          <c:idx val="47"/>
          <c:order val="47"/>
          <c:spPr>
            <a:ln w="3175">
              <a:solidFill>
                <a:srgbClr val="000000"/>
              </a:solidFill>
              <a:prstDash val="solid"/>
            </a:ln>
          </c:spPr>
          <c:marker>
            <c:symbol val="none"/>
          </c:marker>
          <c:dLbls>
            <c:dLbl>
              <c:idx val="0"/>
              <c:tx>
                <c:rich>
                  <a:bodyPr rot="39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8-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1.2384595683532245</c:v>
              </c:pt>
            </c:numLit>
          </c:xVal>
          <c:yVal>
            <c:numLit>
              <c:formatCode>General</c:formatCode>
              <c:ptCount val="1"/>
              <c:pt idx="0">
                <c:v>3.1571821000398417E-2</c:v>
              </c:pt>
            </c:numLit>
          </c:yVal>
          <c:smooth val="0"/>
          <c:extLst>
            <c:ext xmlns:c16="http://schemas.microsoft.com/office/drawing/2014/chart" uri="{C3380CC4-5D6E-409C-BE32-E72D297353CC}">
              <c16:uniqueId val="{00000039-092A-480E-97D5-3D07ED76AD1F}"/>
            </c:ext>
          </c:extLst>
        </c:ser>
        <c:ser>
          <c:idx val="48"/>
          <c:order val="48"/>
          <c:spPr>
            <a:ln w="3175">
              <a:solidFill>
                <a:srgbClr val="000000"/>
              </a:solidFill>
              <a:prstDash val="solid"/>
            </a:ln>
          </c:spPr>
          <c:marker>
            <c:symbol val="none"/>
          </c:marker>
          <c:xVal>
            <c:numLit>
              <c:formatCode>General</c:formatCode>
              <c:ptCount val="2"/>
              <c:pt idx="0">
                <c:v>1.5307939862731423</c:v>
              </c:pt>
              <c:pt idx="1">
                <c:v>1.4024110002647094</c:v>
              </c:pt>
            </c:numLit>
          </c:xVal>
          <c:yVal>
            <c:numLit>
              <c:formatCode>General</c:formatCode>
              <c:ptCount val="2"/>
              <c:pt idx="0">
                <c:v>3.0288933617716181E-2</c:v>
              </c:pt>
              <c:pt idx="1">
                <c:v>3.0489482195238671E-2</c:v>
              </c:pt>
            </c:numLit>
          </c:yVal>
          <c:smooth val="0"/>
          <c:extLst>
            <c:ext xmlns:c16="http://schemas.microsoft.com/office/drawing/2014/chart" uri="{C3380CC4-5D6E-409C-BE32-E72D297353CC}">
              <c16:uniqueId val="{0000003A-092A-480E-97D5-3D07ED76AD1F}"/>
            </c:ext>
          </c:extLst>
        </c:ser>
        <c:ser>
          <c:idx val="49"/>
          <c:order val="49"/>
          <c:spPr>
            <a:ln w="3175">
              <a:solidFill>
                <a:srgbClr val="000000"/>
              </a:solidFill>
              <a:prstDash val="solid"/>
            </a:ln>
          </c:spPr>
          <c:marker>
            <c:symbol val="none"/>
          </c:marker>
          <c:xVal>
            <c:numLit>
              <c:formatCode>General</c:formatCode>
              <c:ptCount val="2"/>
              <c:pt idx="0">
                <c:v>1.1589401224706948</c:v>
              </c:pt>
              <c:pt idx="1">
                <c:v>0.88623755629086753</c:v>
              </c:pt>
            </c:numLit>
          </c:xVal>
          <c:yVal>
            <c:numLit>
              <c:formatCode>General</c:formatCode>
              <c:ptCount val="2"/>
              <c:pt idx="0">
                <c:v>3.0153686220164965E-2</c:v>
              </c:pt>
              <c:pt idx="1">
                <c:v>3.0548987058172033E-2</c:v>
              </c:pt>
            </c:numLit>
          </c:yVal>
          <c:smooth val="0"/>
          <c:extLst>
            <c:ext xmlns:c16="http://schemas.microsoft.com/office/drawing/2014/chart" uri="{C3380CC4-5D6E-409C-BE32-E72D297353CC}">
              <c16:uniqueId val="{0000003B-092A-480E-97D5-3D07ED76AD1F}"/>
            </c:ext>
          </c:extLst>
        </c:ser>
        <c:ser>
          <c:idx val="50"/>
          <c:order val="50"/>
          <c:spPr>
            <a:ln w="3175">
              <a:solidFill>
                <a:srgbClr val="000000"/>
              </a:solidFill>
              <a:prstDash val="solid"/>
            </a:ln>
          </c:spPr>
          <c:marker>
            <c:symbol val="none"/>
          </c:marker>
          <c:xVal>
            <c:numLit>
              <c:formatCode>General</c:formatCode>
              <c:ptCount val="2"/>
              <c:pt idx="0">
                <c:v>0.80331515702341572</c:v>
              </c:pt>
              <c:pt idx="1">
                <c:v>0.65934333895963149</c:v>
              </c:pt>
            </c:numLit>
          </c:xVal>
          <c:yVal>
            <c:numLit>
              <c:formatCode>General</c:formatCode>
              <c:ptCount val="2"/>
              <c:pt idx="0">
                <c:v>3.0014673322626941E-2</c:v>
              </c:pt>
              <c:pt idx="1">
                <c:v>3.0209344893826089E-2</c:v>
              </c:pt>
            </c:numLit>
          </c:yVal>
          <c:smooth val="0"/>
          <c:extLst>
            <c:ext xmlns:c16="http://schemas.microsoft.com/office/drawing/2014/chart" uri="{C3380CC4-5D6E-409C-BE32-E72D297353CC}">
              <c16:uniqueId val="{0000003C-092A-480E-97D5-3D07ED76AD1F}"/>
            </c:ext>
          </c:extLst>
        </c:ser>
        <c:ser>
          <c:idx val="51"/>
          <c:order val="51"/>
          <c:spPr>
            <a:ln w="3175">
              <a:solidFill>
                <a:srgbClr val="000000"/>
              </a:solidFill>
              <a:prstDash val="solid"/>
            </a:ln>
          </c:spPr>
          <c:marker>
            <c:symbol val="none"/>
          </c:marker>
          <c:xVal>
            <c:numLit>
              <c:formatCode>General</c:formatCode>
              <c:ptCount val="2"/>
              <c:pt idx="0">
                <c:v>0.4638176802814884</c:v>
              </c:pt>
              <c:pt idx="1">
                <c:v>0.1613241522935524</c:v>
              </c:pt>
            </c:numLit>
          </c:xVal>
          <c:yVal>
            <c:numLit>
              <c:formatCode>General</c:formatCode>
              <c:ptCount val="2"/>
              <c:pt idx="0">
                <c:v>2.9872734777880133E-2</c:v>
              </c:pt>
              <c:pt idx="1">
                <c:v>3.0255994839789281E-2</c:v>
              </c:pt>
            </c:numLit>
          </c:yVal>
          <c:smooth val="0"/>
          <c:extLst>
            <c:ext xmlns:c16="http://schemas.microsoft.com/office/drawing/2014/chart" uri="{C3380CC4-5D6E-409C-BE32-E72D297353CC}">
              <c16:uniqueId val="{0000003D-092A-480E-97D5-3D07ED76AD1F}"/>
            </c:ext>
          </c:extLst>
        </c:ser>
        <c:ser>
          <c:idx val="52"/>
          <c:order val="52"/>
          <c:spPr>
            <a:ln w="3175">
              <a:solidFill>
                <a:srgbClr val="000000"/>
              </a:solidFill>
              <a:prstDash val="solid"/>
            </a:ln>
          </c:spPr>
          <c:marker>
            <c:symbol val="none"/>
          </c:marker>
          <c:dLbls>
            <c:dLbl>
              <c:idx val="0"/>
              <c:tx>
                <c:rich>
                  <a:bodyPr rot="36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-0.39324731568433041</c:v>
              </c:pt>
            </c:numLit>
          </c:xVal>
          <c:yVal>
            <c:numLit>
              <c:formatCode>General</c:formatCode>
              <c:ptCount val="1"/>
              <c:pt idx="0">
                <c:v>3.0958638286622722E-2</c:v>
              </c:pt>
            </c:numLit>
          </c:yVal>
          <c:smooth val="0"/>
          <c:extLst>
            <c:ext xmlns:c16="http://schemas.microsoft.com/office/drawing/2014/chart" uri="{C3380CC4-5D6E-409C-BE32-E72D297353CC}">
              <c16:uniqueId val="{0000003F-092A-480E-97D5-3D07ED76AD1F}"/>
            </c:ext>
          </c:extLst>
        </c:ser>
        <c:ser>
          <c:idx val="53"/>
          <c:order val="53"/>
          <c:spPr>
            <a:ln w="3175">
              <a:solidFill>
                <a:srgbClr val="000000"/>
              </a:solidFill>
              <a:prstDash val="solid"/>
            </a:ln>
          </c:spPr>
          <c:marker>
            <c:symbol val="none"/>
          </c:marker>
          <c:xVal>
            <c:numLit>
              <c:formatCode>General</c:formatCode>
              <c:ptCount val="2"/>
              <c:pt idx="0">
                <c:v>0.14022975872621024</c:v>
              </c:pt>
              <c:pt idx="1">
                <c:v>-1.7951032158228471E-2</c:v>
              </c:pt>
            </c:numLit>
          </c:xVal>
          <c:yVal>
            <c:numLit>
              <c:formatCode>General</c:formatCode>
              <c:ptCount val="2"/>
              <c:pt idx="0">
                <c:v>2.9728650311281322E-2</c:v>
              </c:pt>
              <c:pt idx="1">
                <c:v>2.9917192817951636E-2</c:v>
              </c:pt>
            </c:numLit>
          </c:yVal>
          <c:smooth val="0"/>
          <c:extLst>
            <c:ext xmlns:c16="http://schemas.microsoft.com/office/drawing/2014/chart" uri="{C3380CC4-5D6E-409C-BE32-E72D297353CC}">
              <c16:uniqueId val="{00000040-092A-480E-97D5-3D07ED76AD1F}"/>
            </c:ext>
          </c:extLst>
        </c:ser>
        <c:ser>
          <c:idx val="54"/>
          <c:order val="54"/>
          <c:spPr>
            <a:ln w="3175">
              <a:solidFill>
                <a:srgbClr val="000000"/>
              </a:solidFill>
              <a:prstDash val="solid"/>
            </a:ln>
          </c:spPr>
          <c:marker>
            <c:symbol val="none"/>
          </c:marker>
          <c:xVal>
            <c:numLit>
              <c:formatCode>General</c:formatCode>
              <c:ptCount val="2"/>
              <c:pt idx="0">
                <c:v>-0.16776460974090424</c:v>
              </c:pt>
              <c:pt idx="1">
                <c:v>-0.49732595015837133</c:v>
              </c:pt>
            </c:numLit>
          </c:xVal>
          <c:yVal>
            <c:numLit>
              <c:formatCode>General</c:formatCode>
              <c:ptCount val="2"/>
              <c:pt idx="0">
                <c:v>2.95831355675608E-2</c:v>
              </c:pt>
              <c:pt idx="1">
                <c:v>2.9953984234741979E-2</c:v>
              </c:pt>
            </c:numLit>
          </c:yVal>
          <c:smooth val="0"/>
          <c:extLst>
            <c:ext xmlns:c16="http://schemas.microsoft.com/office/drawing/2014/chart" uri="{C3380CC4-5D6E-409C-BE32-E72D297353CC}">
              <c16:uniqueId val="{00000041-092A-480E-97D5-3D07ED76AD1F}"/>
            </c:ext>
          </c:extLst>
        </c:ser>
        <c:ser>
          <c:idx val="55"/>
          <c:order val="55"/>
          <c:spPr>
            <a:ln w="3175">
              <a:solidFill>
                <a:srgbClr val="000000"/>
              </a:solidFill>
              <a:prstDash val="solid"/>
            </a:ln>
          </c:spPr>
          <c:marker>
            <c:symbol val="none"/>
          </c:marker>
          <c:xVal>
            <c:numLit>
              <c:formatCode>General</c:formatCode>
              <c:ptCount val="2"/>
              <c:pt idx="0">
                <c:v>-0.46056184007219381</c:v>
              </c:pt>
              <c:pt idx="1">
                <c:v>-0.63161673664516982</c:v>
              </c:pt>
            </c:numLit>
          </c:xVal>
          <c:yVal>
            <c:numLit>
              <c:formatCode>General</c:formatCode>
              <c:ptCount val="2"/>
              <c:pt idx="0">
                <c:v>2.9436840266009144E-2</c:v>
              </c:pt>
              <c:pt idx="1">
                <c:v>2.9619129700280768E-2</c:v>
              </c:pt>
            </c:numLit>
          </c:yVal>
          <c:smooth val="0"/>
          <c:extLst>
            <c:ext xmlns:c16="http://schemas.microsoft.com/office/drawing/2014/chart" uri="{C3380CC4-5D6E-409C-BE32-E72D297353CC}">
              <c16:uniqueId val="{00000042-092A-480E-97D5-3D07ED76AD1F}"/>
            </c:ext>
          </c:extLst>
        </c:ser>
        <c:ser>
          <c:idx val="56"/>
          <c:order val="56"/>
          <c:spPr>
            <a:ln w="3175">
              <a:solidFill>
                <a:srgbClr val="000000"/>
              </a:solidFill>
              <a:prstDash val="solid"/>
            </a:ln>
          </c:spPr>
          <c:marker>
            <c:symbol val="none"/>
          </c:marker>
          <c:xVal>
            <c:numLit>
              <c:formatCode>General</c:formatCode>
              <c:ptCount val="2"/>
              <c:pt idx="0">
                <c:v>-0.73862230174342836</c:v>
              </c:pt>
              <c:pt idx="1">
                <c:v>-1.0926489718181465</c:v>
              </c:pt>
            </c:numLit>
          </c:xVal>
          <c:yVal>
            <c:numLit>
              <c:formatCode>General</c:formatCode>
              <c:ptCount val="2"/>
              <c:pt idx="0">
                <c:v>2.9290348124299693E-2</c:v>
              </c:pt>
              <c:pt idx="1">
                <c:v>2.9648648758198254E-2</c:v>
              </c:pt>
            </c:numLit>
          </c:yVal>
          <c:smooth val="0"/>
          <c:extLst>
            <c:ext xmlns:c16="http://schemas.microsoft.com/office/drawing/2014/chart" uri="{C3380CC4-5D6E-409C-BE32-E72D297353CC}">
              <c16:uniqueId val="{00000043-092A-480E-97D5-3D07ED76AD1F}"/>
            </c:ext>
          </c:extLst>
        </c:ser>
        <c:ser>
          <c:idx val="57"/>
          <c:order val="57"/>
          <c:spPr>
            <a:ln w="3175">
              <a:solidFill>
                <a:srgbClr val="000000"/>
              </a:solidFill>
              <a:prstDash val="solid"/>
            </a:ln>
          </c:spPr>
          <c:marker>
            <c:symbol val="none"/>
          </c:marker>
          <c:dLbls>
            <c:dLbl>
              <c:idx val="0"/>
              <c:tx>
                <c:rich>
                  <a:bodyPr rot="32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1600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4-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-1.74169786695513</c:v>
              </c:pt>
            </c:numLit>
          </c:xVal>
          <c:yVal>
            <c:numLit>
              <c:formatCode>General</c:formatCode>
              <c:ptCount val="1"/>
              <c:pt idx="0">
                <c:v>3.0305533253678942E-2</c:v>
              </c:pt>
            </c:numLit>
          </c:yVal>
          <c:smooth val="0"/>
          <c:extLst>
            <c:ext xmlns:c16="http://schemas.microsoft.com/office/drawing/2014/chart" uri="{C3380CC4-5D6E-409C-BE32-E72D297353CC}">
              <c16:uniqueId val="{00000045-092A-480E-97D5-3D07ED76AD1F}"/>
            </c:ext>
          </c:extLst>
        </c:ser>
        <c:ser>
          <c:idx val="58"/>
          <c:order val="58"/>
          <c:spPr>
            <a:ln w="3175">
              <a:solidFill>
                <a:srgbClr val="000000"/>
              </a:solidFill>
              <a:prstDash val="solid"/>
            </a:ln>
          </c:spPr>
          <c:marker>
            <c:symbol val="none"/>
          </c:marker>
          <c:xVal>
            <c:numLit>
              <c:formatCode>General</c:formatCode>
              <c:ptCount val="2"/>
              <c:pt idx="0">
                <c:v>-1.002455319966258</c:v>
              </c:pt>
              <c:pt idx="1">
                <c:v>-1.1851222196798212</c:v>
              </c:pt>
            </c:numLit>
          </c:xVal>
          <c:yVal>
            <c:numLit>
              <c:formatCode>General</c:formatCode>
              <c:ptCount val="2"/>
              <c:pt idx="0">
                <c:v>2.9144178210618831E-2</c:v>
              </c:pt>
              <c:pt idx="1">
                <c:v>2.932019631513209E-2</c:v>
              </c:pt>
            </c:numLit>
          </c:yVal>
          <c:smooth val="0"/>
          <c:extLst>
            <c:ext xmlns:c16="http://schemas.microsoft.com/office/drawing/2014/chart" uri="{C3380CC4-5D6E-409C-BE32-E72D297353CC}">
              <c16:uniqueId val="{00000046-092A-480E-97D5-3D07ED76AD1F}"/>
            </c:ext>
          </c:extLst>
        </c:ser>
        <c:ser>
          <c:idx val="59"/>
          <c:order val="59"/>
          <c:spPr>
            <a:ln w="3175">
              <a:solidFill>
                <a:srgbClr val="000000"/>
              </a:solidFill>
              <a:prstDash val="solid"/>
            </a:ln>
          </c:spPr>
          <c:marker>
            <c:symbol val="none"/>
          </c:marker>
          <c:xVal>
            <c:numLit>
              <c:formatCode>General</c:formatCode>
              <c:ptCount val="2"/>
              <c:pt idx="0">
                <c:v>-1.2526057824083219</c:v>
              </c:pt>
              <c:pt idx="1">
                <c:v>-1.6286603159401067</c:v>
              </c:pt>
            </c:numLit>
          </c:xVal>
          <c:yVal>
            <c:numLit>
              <c:formatCode>General</c:formatCode>
              <c:ptCount val="2"/>
              <c:pt idx="0">
                <c:v>2.8998787401373648E-2</c:v>
              </c:pt>
              <c:pt idx="1">
                <c:v>2.9344592575718233E-2</c:v>
              </c:pt>
            </c:numLit>
          </c:yVal>
          <c:smooth val="0"/>
          <c:extLst>
            <c:ext xmlns:c16="http://schemas.microsoft.com/office/drawing/2014/chart" uri="{C3380CC4-5D6E-409C-BE32-E72D297353CC}">
              <c16:uniqueId val="{00000047-092A-480E-97D5-3D07ED76AD1F}"/>
            </c:ext>
          </c:extLst>
        </c:ser>
        <c:ser>
          <c:idx val="60"/>
          <c:order val="60"/>
          <c:spPr>
            <a:ln w="3175">
              <a:solidFill>
                <a:srgbClr val="000000"/>
              </a:solidFill>
              <a:prstDash val="solid"/>
            </a:ln>
          </c:spPr>
          <c:marker>
            <c:symbol val="none"/>
          </c:marker>
          <c:xVal>
            <c:numLit>
              <c:formatCode>General</c:formatCode>
              <c:ptCount val="2"/>
              <c:pt idx="0">
                <c:v>-1.4896424028400646</c:v>
              </c:pt>
              <c:pt idx="1">
                <c:v>-1.6827490257580664</c:v>
              </c:pt>
            </c:numLit>
          </c:xVal>
          <c:yVal>
            <c:numLit>
              <c:formatCode>General</c:formatCode>
              <c:ptCount val="2"/>
              <c:pt idx="0">
                <c:v>2.8854573651448525E-2</c:v>
              </c:pt>
              <c:pt idx="1">
                <c:v>2.9024385943979564E-2</c:v>
              </c:pt>
            </c:numLit>
          </c:yVal>
          <c:smooth val="0"/>
          <c:extLst>
            <c:ext xmlns:c16="http://schemas.microsoft.com/office/drawing/2014/chart" uri="{C3380CC4-5D6E-409C-BE32-E72D297353CC}">
              <c16:uniqueId val="{00000048-092A-480E-97D5-3D07ED76AD1F}"/>
            </c:ext>
          </c:extLst>
        </c:ser>
        <c:ser>
          <c:idx val="61"/>
          <c:order val="61"/>
          <c:spPr>
            <a:ln w="3175">
              <a:solidFill>
                <a:srgbClr val="000000"/>
              </a:solidFill>
              <a:prstDash val="solid"/>
            </a:ln>
          </c:spPr>
          <c:marker>
            <c:symbol val="none"/>
          </c:marker>
          <c:xVal>
            <c:numLit>
              <c:formatCode>General</c:formatCode>
              <c:ptCount val="2"/>
              <c:pt idx="0">
                <c:v>-1.7141476200677335</c:v>
              </c:pt>
              <c:pt idx="1">
                <c:v>-2.1099825180706362</c:v>
              </c:pt>
            </c:numLit>
          </c:xVal>
          <c:yVal>
            <c:numLit>
              <c:formatCode>General</c:formatCode>
              <c:ptCount val="2"/>
              <c:pt idx="0">
                <c:v>2.8711879820593082E-2</c:v>
              </c:pt>
              <c:pt idx="1">
                <c:v>2.9045388955761357E-2</c:v>
              </c:pt>
            </c:numLit>
          </c:yVal>
          <c:smooth val="0"/>
          <c:extLst>
            <c:ext xmlns:c16="http://schemas.microsoft.com/office/drawing/2014/chart" uri="{C3380CC4-5D6E-409C-BE32-E72D297353CC}">
              <c16:uniqueId val="{00000049-092A-480E-97D5-3D07ED76AD1F}"/>
            </c:ext>
          </c:extLst>
        </c:ser>
        <c:ser>
          <c:idx val="62"/>
          <c:order val="62"/>
          <c:spPr>
            <a:ln w="3175">
              <a:solidFill>
                <a:srgbClr val="000000"/>
              </a:solidFill>
              <a:prstDash val="solid"/>
            </a:ln>
          </c:spPr>
          <c:marker>
            <c:symbol val="none"/>
          </c:marker>
          <c:dLbls>
            <c:dLbl>
              <c:idx val="0"/>
              <c:tx>
                <c:rich>
                  <a:bodyPr rot="29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1400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A-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-2.8356798310759577</c:v>
              </c:pt>
            </c:numLit>
          </c:xVal>
          <c:yVal>
            <c:numLit>
              <c:formatCode>General</c:formatCode>
              <c:ptCount val="1"/>
              <c:pt idx="0">
                <c:v>2.9656822370236528E-2</c:v>
              </c:pt>
            </c:numLit>
          </c:yVal>
          <c:smooth val="0"/>
          <c:extLst>
            <c:ext xmlns:c16="http://schemas.microsoft.com/office/drawing/2014/chart" uri="{C3380CC4-5D6E-409C-BE32-E72D297353CC}">
              <c16:uniqueId val="{0000004B-092A-480E-97D5-3D07ED76AD1F}"/>
            </c:ext>
          </c:extLst>
        </c:ser>
        <c:ser>
          <c:idx val="63"/>
          <c:order val="63"/>
          <c:spPr>
            <a:ln w="3175">
              <a:solidFill>
                <a:srgbClr val="000000"/>
              </a:solidFill>
              <a:prstDash val="solid"/>
            </a:ln>
          </c:spPr>
          <c:marker>
            <c:symbol val="none"/>
          </c:marker>
          <c:xVal>
            <c:numLit>
              <c:formatCode>General</c:formatCode>
              <c:ptCount val="2"/>
              <c:pt idx="0">
                <c:v>-1.9267090572547372</c:v>
              </c:pt>
              <c:pt idx="1">
                <c:v>-2.1291813941959106</c:v>
              </c:pt>
            </c:numLit>
          </c:xVal>
          <c:yVal>
            <c:numLit>
              <c:formatCode>General</c:formatCode>
              <c:ptCount val="2"/>
              <c:pt idx="0">
                <c:v>2.8570997838905359E-2</c:v>
              </c:pt>
              <c:pt idx="1">
                <c:v>2.8734733506881903E-2</c:v>
              </c:pt>
            </c:numLit>
          </c:yVal>
          <c:smooth val="0"/>
          <c:extLst>
            <c:ext xmlns:c16="http://schemas.microsoft.com/office/drawing/2014/chart" uri="{C3380CC4-5D6E-409C-BE32-E72D297353CC}">
              <c16:uniqueId val="{0000004C-092A-480E-97D5-3D07ED76AD1F}"/>
            </c:ext>
          </c:extLst>
        </c:ser>
        <c:ser>
          <c:idx val="64"/>
          <c:order val="64"/>
          <c:spPr>
            <a:ln w="3175">
              <a:solidFill>
                <a:srgbClr val="000000"/>
              </a:solidFill>
              <a:prstDash val="solid"/>
            </a:ln>
          </c:spPr>
          <c:marker>
            <c:symbol val="none"/>
          </c:marker>
          <c:xVal>
            <c:numLit>
              <c:formatCode>General</c:formatCode>
              <c:ptCount val="2"/>
              <c:pt idx="0">
                <c:v>-2.1279124307072412</c:v>
              </c:pt>
              <c:pt idx="1">
                <c:v>-2.5414801063089798</c:v>
              </c:pt>
            </c:numLit>
          </c:xVal>
          <c:yVal>
            <c:numLit>
              <c:formatCode>General</c:formatCode>
              <c:ptCount val="2"/>
              <c:pt idx="0">
                <c:v>2.8432173033455556E-2</c:v>
              </c:pt>
              <c:pt idx="1">
                <c:v>2.8753694734889368E-2</c:v>
              </c:pt>
            </c:numLit>
          </c:yVal>
          <c:smooth val="0"/>
          <c:extLst>
            <c:ext xmlns:c16="http://schemas.microsoft.com/office/drawing/2014/chart" uri="{C3380CC4-5D6E-409C-BE32-E72D297353CC}">
              <c16:uniqueId val="{0000004D-092A-480E-97D5-3D07ED76AD1F}"/>
            </c:ext>
          </c:extLst>
        </c:ser>
        <c:ser>
          <c:idx val="65"/>
          <c:order val="65"/>
          <c:spPr>
            <a:ln w="3175">
              <a:solidFill>
                <a:srgbClr val="000000"/>
              </a:solidFill>
              <a:prstDash val="solid"/>
            </a:ln>
          </c:spPr>
          <c:marker>
            <c:symbol val="none"/>
          </c:marker>
          <c:xVal>
            <c:numLit>
              <c:formatCode>General</c:formatCode>
              <c:ptCount val="2"/>
              <c:pt idx="0">
                <c:v>-2.3183357754510565</c:v>
              </c:pt>
              <c:pt idx="1">
                <c:v>-2.529200113496437</c:v>
              </c:pt>
            </c:numLit>
          </c:xVal>
          <c:yVal>
            <c:numLit>
              <c:formatCode>General</c:formatCode>
              <c:ptCount val="2"/>
              <c:pt idx="0">
                <c:v>2.8295608474779587E-2</c:v>
              </c:pt>
              <c:pt idx="1">
                <c:v>2.8453442942096292E-2</c:v>
              </c:pt>
            </c:numLit>
          </c:yVal>
          <c:smooth val="0"/>
          <c:extLst>
            <c:ext xmlns:c16="http://schemas.microsoft.com/office/drawing/2014/chart" uri="{C3380CC4-5D6E-409C-BE32-E72D297353CC}">
              <c16:uniqueId val="{0000004E-092A-480E-97D5-3D07ED76AD1F}"/>
            </c:ext>
          </c:extLst>
        </c:ser>
        <c:ser>
          <c:idx val="66"/>
          <c:order val="66"/>
          <c:spPr>
            <a:ln w="3175">
              <a:solidFill>
                <a:srgbClr val="000000"/>
              </a:solidFill>
              <a:prstDash val="solid"/>
            </a:ln>
          </c:spPr>
          <c:marker>
            <c:symbol val="none"/>
          </c:marker>
          <c:xVal>
            <c:numLit>
              <c:formatCode>General</c:formatCode>
              <c:ptCount val="2"/>
              <c:pt idx="0">
                <c:v>-2.4985448444866902</c:v>
              </c:pt>
              <c:pt idx="1">
                <c:v>-2.9279967663932625</c:v>
              </c:pt>
            </c:numLit>
          </c:xVal>
          <c:yVal>
            <c:numLit>
              <c:formatCode>General</c:formatCode>
              <c:ptCount val="2"/>
              <c:pt idx="0">
                <c:v>2.8161469234973899E-2</c:v>
              </c:pt>
              <c:pt idx="1">
                <c:v>2.8471389345044212E-2</c:v>
              </c:pt>
            </c:numLit>
          </c:yVal>
          <c:smooth val="0"/>
          <c:extLst>
            <c:ext xmlns:c16="http://schemas.microsoft.com/office/drawing/2014/chart" uri="{C3380CC4-5D6E-409C-BE32-E72D297353CC}">
              <c16:uniqueId val="{0000004F-092A-480E-97D5-3D07ED76AD1F}"/>
            </c:ext>
          </c:extLst>
        </c:ser>
        <c:ser>
          <c:idx val="67"/>
          <c:order val="67"/>
          <c:spPr>
            <a:ln w="3175">
              <a:solidFill>
                <a:srgbClr val="000000"/>
              </a:solidFill>
              <a:prstDash val="solid"/>
            </a:ln>
          </c:spPr>
          <c:marker>
            <c:symbol val="none"/>
          </c:marker>
          <c:dLbls>
            <c:dLbl>
              <c:idx val="0"/>
              <c:tx>
                <c:rich>
                  <a:bodyPr rot="26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0-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-3.7153252898886451</c:v>
              </c:pt>
            </c:numLit>
          </c:xVal>
          <c:yVal>
            <c:numLit>
              <c:formatCode>General</c:formatCode>
              <c:ptCount val="1"/>
              <c:pt idx="0">
                <c:v>2.9039576213506446E-2</c:v>
              </c:pt>
            </c:numLit>
          </c:yVal>
          <c:smooth val="0"/>
          <c:extLst>
            <c:ext xmlns:c16="http://schemas.microsoft.com/office/drawing/2014/chart" uri="{C3380CC4-5D6E-409C-BE32-E72D297353CC}">
              <c16:uniqueId val="{00000051-092A-480E-97D5-3D07ED76AD1F}"/>
            </c:ext>
          </c:extLst>
        </c:ser>
        <c:ser>
          <c:idx val="68"/>
          <c:order val="68"/>
          <c:spPr>
            <a:ln w="3175">
              <a:solidFill>
                <a:srgbClr val="000000"/>
              </a:solidFill>
              <a:prstDash val="solid"/>
            </a:ln>
          </c:spPr>
          <c:marker>
            <c:symbol val="none"/>
          </c:marker>
          <c:xVal>
            <c:numLit>
              <c:formatCode>General</c:formatCode>
              <c:ptCount val="2"/>
              <c:pt idx="0">
                <c:v>-2.669089536724063</c:v>
              </c:pt>
              <c:pt idx="1">
                <c:v>-2.8874700267967222</c:v>
              </c:pt>
            </c:numLit>
          </c:xVal>
          <c:yVal>
            <c:numLit>
              <c:formatCode>General</c:formatCode>
              <c:ptCount val="2"/>
              <c:pt idx="0">
                <c:v>2.8029886477800841E-2</c:v>
              </c:pt>
              <c:pt idx="1">
                <c:v>2.8182026902325148E-2</c:v>
              </c:pt>
            </c:numLit>
          </c:yVal>
          <c:smooth val="0"/>
          <c:extLst>
            <c:ext xmlns:c16="http://schemas.microsoft.com/office/drawing/2014/chart" uri="{C3380CC4-5D6E-409C-BE32-E72D297353CC}">
              <c16:uniqueId val="{00000052-092A-480E-97D5-3D07ED76AD1F}"/>
            </c:ext>
          </c:extLst>
        </c:ser>
        <c:ser>
          <c:idx val="69"/>
          <c:order val="69"/>
          <c:spPr>
            <a:ln w="3175">
              <a:solidFill>
                <a:srgbClr val="000000"/>
              </a:solidFill>
              <a:prstDash val="solid"/>
            </a:ln>
          </c:spPr>
          <c:marker>
            <c:symbol val="none"/>
          </c:marker>
          <c:xVal>
            <c:numLit>
              <c:formatCode>General</c:formatCode>
              <c:ptCount val="2"/>
              <c:pt idx="0">
                <c:v>-2.8305012128620142</c:v>
              </c:pt>
              <c:pt idx="1">
                <c:v>-3.274179836270386</c:v>
              </c:pt>
            </c:numLit>
          </c:xVal>
          <c:yVal>
            <c:numLit>
              <c:formatCode>General</c:formatCode>
              <c:ptCount val="2"/>
              <c:pt idx="0">
                <c:v>2.7900961325394373E-2</c:v>
              </c:pt>
              <c:pt idx="1">
                <c:v>2.8199716810768417E-2</c:v>
              </c:pt>
            </c:numLit>
          </c:yVal>
          <c:smooth val="0"/>
          <c:extLst>
            <c:ext xmlns:c16="http://schemas.microsoft.com/office/drawing/2014/chart" uri="{C3380CC4-5D6E-409C-BE32-E72D297353CC}">
              <c16:uniqueId val="{00000053-092A-480E-97D5-3D07ED76AD1F}"/>
            </c:ext>
          </c:extLst>
        </c:ser>
        <c:ser>
          <c:idx val="70"/>
          <c:order val="70"/>
          <c:spPr>
            <a:ln w="3175">
              <a:solidFill>
                <a:srgbClr val="000000"/>
              </a:solidFill>
              <a:prstDash val="solid"/>
            </a:ln>
          </c:spPr>
          <c:marker>
            <c:symbol val="none"/>
          </c:marker>
          <c:xVal>
            <c:numLit>
              <c:formatCode>General</c:formatCode>
              <c:ptCount val="2"/>
              <c:pt idx="0">
                <c:v>-2.9832907668862556</c:v>
              </c:pt>
              <c:pt idx="1">
                <c:v>-3.20840414046239</c:v>
              </c:pt>
            </c:numLit>
          </c:xVal>
          <c:yVal>
            <c:numLit>
              <c:formatCode>General</c:formatCode>
              <c:ptCount val="2"/>
              <c:pt idx="0">
                <c:v>2.777476846598936E-2</c:v>
              </c:pt>
              <c:pt idx="1">
                <c:v>2.7921442075974846E-2</c:v>
              </c:pt>
            </c:numLit>
          </c:yVal>
          <c:smooth val="0"/>
          <c:extLst>
            <c:ext xmlns:c16="http://schemas.microsoft.com/office/drawing/2014/chart" uri="{C3380CC4-5D6E-409C-BE32-E72D297353CC}">
              <c16:uniqueId val="{00000054-092A-480E-97D5-3D07ED76AD1F}"/>
            </c:ext>
          </c:extLst>
        </c:ser>
        <c:ser>
          <c:idx val="71"/>
          <c:order val="71"/>
          <c:spPr>
            <a:ln w="3175">
              <a:solidFill>
                <a:srgbClr val="000000"/>
              </a:solidFill>
              <a:prstDash val="solid"/>
            </a:ln>
          </c:spPr>
          <c:marker>
            <c:symbol val="none"/>
          </c:marker>
          <c:xVal>
            <c:numLit>
              <c:formatCode>General</c:formatCode>
              <c:ptCount val="2"/>
              <c:pt idx="0">
                <c:v>-3.1279473318097732</c:v>
              </c:pt>
              <c:pt idx="1">
                <c:v>-3.5843736460301914</c:v>
              </c:pt>
            </c:numLit>
          </c:xVal>
          <c:yVal>
            <c:numLit>
              <c:formatCode>General</c:formatCode>
              <c:ptCount val="2"/>
              <c:pt idx="0">
                <c:v>2.765135948293641E-2</c:v>
              </c:pt>
              <c:pt idx="1">
                <c:v>2.7939417746490825E-2</c:v>
              </c:pt>
            </c:numLit>
          </c:yVal>
          <c:smooth val="0"/>
          <c:extLst>
            <c:ext xmlns:c16="http://schemas.microsoft.com/office/drawing/2014/chart" uri="{C3380CC4-5D6E-409C-BE32-E72D297353CC}">
              <c16:uniqueId val="{00000055-092A-480E-97D5-3D07ED76AD1F}"/>
            </c:ext>
          </c:extLst>
        </c:ser>
        <c:ser>
          <c:idx val="72"/>
          <c:order val="72"/>
          <c:spPr>
            <a:ln w="3175">
              <a:solidFill>
                <a:srgbClr val="000000"/>
              </a:solidFill>
              <a:prstDash val="solid"/>
            </a:ln>
          </c:spPr>
          <c:marker>
            <c:symbol val="none"/>
          </c:marker>
          <c:dLbls>
            <c:dLbl>
              <c:idx val="0"/>
              <c:tx>
                <c:rich>
                  <a:bodyPr rot="24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6-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-4.4211552221009596</c:v>
              </c:pt>
            </c:numLit>
          </c:xVal>
          <c:yVal>
            <c:numLit>
              <c:formatCode>General</c:formatCode>
              <c:ptCount val="1"/>
              <c:pt idx="0">
                <c:v>2.8467524563007256E-2</c:v>
              </c:pt>
            </c:numLit>
          </c:yVal>
          <c:smooth val="0"/>
          <c:extLst>
            <c:ext xmlns:c16="http://schemas.microsoft.com/office/drawing/2014/chart" uri="{C3380CC4-5D6E-409C-BE32-E72D297353CC}">
              <c16:uniqueId val="{00000057-092A-480E-97D5-3D07ED76AD1F}"/>
            </c:ext>
          </c:extLst>
        </c:ser>
        <c:ser>
          <c:idx val="73"/>
          <c:order val="73"/>
          <c:spPr>
            <a:ln w="3175">
              <a:solidFill>
                <a:srgbClr val="000000"/>
              </a:solidFill>
              <a:prstDash val="solid"/>
            </a:ln>
          </c:spPr>
          <c:marker>
            <c:symbol val="none"/>
          </c:marker>
          <c:xVal>
            <c:numLit>
              <c:formatCode>General</c:formatCode>
              <c:ptCount val="2"/>
              <c:pt idx="0">
                <c:v>-3.3947050354255355</c:v>
              </c:pt>
              <c:pt idx="1">
                <c:v>-3.6286344290417976</c:v>
              </c:pt>
            </c:numLit>
          </c:xVal>
          <c:yVal>
            <c:numLit>
              <c:formatCode>General</c:formatCode>
              <c:ptCount val="2"/>
              <c:pt idx="0">
                <c:v>2.741300192776747E-2</c:v>
              </c:pt>
              <c:pt idx="1">
                <c:v>2.7551923397648202E-2</c:v>
              </c:pt>
            </c:numLit>
          </c:yVal>
          <c:smooth val="0"/>
          <c:extLst>
            <c:ext xmlns:c16="http://schemas.microsoft.com/office/drawing/2014/chart" uri="{C3380CC4-5D6E-409C-BE32-E72D297353CC}">
              <c16:uniqueId val="{00000058-092A-480E-97D5-3D07ED76AD1F}"/>
            </c:ext>
          </c:extLst>
        </c:ser>
        <c:ser>
          <c:idx val="74"/>
          <c:order val="74"/>
          <c:spPr>
            <a:ln w="3175">
              <a:solidFill>
                <a:srgbClr val="000000"/>
              </a:solidFill>
              <a:prstDash val="solid"/>
            </a:ln>
          </c:spPr>
          <c:marker>
            <c:symbol val="none"/>
          </c:marker>
          <c:xVal>
            <c:numLit>
              <c:formatCode>General</c:formatCode>
              <c:ptCount val="2"/>
              <c:pt idx="0">
                <c:v>-3.6342329977636059</c:v>
              </c:pt>
              <c:pt idx="1">
                <c:v>-3.8732951334299695</c:v>
              </c:pt>
            </c:numLit>
          </c:xVal>
          <c:yVal>
            <c:numLit>
              <c:formatCode>General</c:formatCode>
              <c:ptCount val="2"/>
              <c:pt idx="0">
                <c:v>2.7185947823718054E-2</c:v>
              </c:pt>
              <c:pt idx="1">
                <c:v>2.7320003848512013E-2</c:v>
              </c:pt>
            </c:numLit>
          </c:yVal>
          <c:smooth val="0"/>
          <c:extLst>
            <c:ext xmlns:c16="http://schemas.microsoft.com/office/drawing/2014/chart" uri="{C3380CC4-5D6E-409C-BE32-E72D297353CC}">
              <c16:uniqueId val="{00000059-092A-480E-97D5-3D07ED76AD1F}"/>
            </c:ext>
          </c:extLst>
        </c:ser>
        <c:ser>
          <c:idx val="75"/>
          <c:order val="75"/>
          <c:spPr>
            <a:ln w="3175">
              <a:solidFill>
                <a:srgbClr val="000000"/>
              </a:solidFill>
              <a:prstDash val="solid"/>
            </a:ln>
          </c:spPr>
          <c:marker>
            <c:symbol val="none"/>
          </c:marker>
          <c:xVal>
            <c:numLit>
              <c:formatCode>General</c:formatCode>
              <c:ptCount val="2"/>
              <c:pt idx="0">
                <c:v>-3.8496301535387389</c:v>
              </c:pt>
              <c:pt idx="1">
                <c:v>-4.0933079425431407</c:v>
              </c:pt>
            </c:numLit>
          </c:xVal>
          <c:yVal>
            <c:numLit>
              <c:formatCode>General</c:formatCode>
              <c:ptCount val="2"/>
              <c:pt idx="0">
                <c:v>2.6970052763706429E-2</c:v>
              </c:pt>
              <c:pt idx="1">
                <c:v>2.7099482465785852E-2</c:v>
              </c:pt>
            </c:numLit>
          </c:yVal>
          <c:smooth val="0"/>
          <c:extLst>
            <c:ext xmlns:c16="http://schemas.microsoft.com/office/drawing/2014/chart" uri="{C3380CC4-5D6E-409C-BE32-E72D297353CC}">
              <c16:uniqueId val="{0000005A-092A-480E-97D5-3D07ED76AD1F}"/>
            </c:ext>
          </c:extLst>
        </c:ser>
        <c:ser>
          <c:idx val="76"/>
          <c:order val="76"/>
          <c:spPr>
            <a:ln w="3175">
              <a:solidFill>
                <a:srgbClr val="000000"/>
              </a:solidFill>
              <a:prstDash val="solid"/>
            </a:ln>
          </c:spPr>
          <c:marker>
            <c:symbol val="none"/>
          </c:marker>
          <c:xVal>
            <c:numLit>
              <c:formatCode>General</c:formatCode>
              <c:ptCount val="2"/>
              <c:pt idx="0">
                <c:v>-4.0436530888624631</c:v>
              </c:pt>
              <c:pt idx="1">
                <c:v>-4.2914885121952313</c:v>
              </c:pt>
            </c:numLit>
          </c:xVal>
          <c:yVal>
            <c:numLit>
              <c:formatCode>General</c:formatCode>
              <c:ptCount val="2"/>
              <c:pt idx="0">
                <c:v>2.6765028589466222E-2</c:v>
              </c:pt>
              <c:pt idx="1">
                <c:v>2.6890064916383356E-2</c:v>
              </c:pt>
            </c:numLit>
          </c:yVal>
          <c:smooth val="0"/>
          <c:extLst>
            <c:ext xmlns:c16="http://schemas.microsoft.com/office/drawing/2014/chart" uri="{C3380CC4-5D6E-409C-BE32-E72D297353CC}">
              <c16:uniqueId val="{0000005B-092A-480E-97D5-3D07ED76AD1F}"/>
            </c:ext>
          </c:extLst>
        </c:ser>
        <c:ser>
          <c:idx val="77"/>
          <c:order val="77"/>
          <c:spPr>
            <a:ln w="3175">
              <a:solidFill>
                <a:srgbClr val="000000"/>
              </a:solidFill>
              <a:prstDash val="solid"/>
            </a:ln>
          </c:spPr>
          <c:marker>
            <c:symbol val="none"/>
          </c:marker>
          <c:xVal>
            <c:numLit>
              <c:formatCode>General</c:formatCode>
              <c:ptCount val="2"/>
              <c:pt idx="0">
                <c:v>-4.2187412428710447</c:v>
              </c:pt>
              <c:pt idx="1">
                <c:v>-4.7219158675655173</c:v>
              </c:pt>
            </c:numLit>
          </c:xVal>
          <c:yVal>
            <c:numLit>
              <c:formatCode>General</c:formatCode>
              <c:ptCount val="2"/>
              <c:pt idx="0">
                <c:v>2.6570489823461451E-2</c:v>
              </c:pt>
              <c:pt idx="1">
                <c:v>2.6812225101609799E-2</c:v>
              </c:pt>
            </c:numLit>
          </c:yVal>
          <c:smooth val="0"/>
          <c:extLst>
            <c:ext xmlns:c16="http://schemas.microsoft.com/office/drawing/2014/chart" uri="{C3380CC4-5D6E-409C-BE32-E72D297353CC}">
              <c16:uniqueId val="{0000005C-092A-480E-97D5-3D07ED76AD1F}"/>
            </c:ext>
          </c:extLst>
        </c:ser>
        <c:ser>
          <c:idx val="78"/>
          <c:order val="78"/>
          <c:spPr>
            <a:ln w="3175">
              <a:solidFill>
                <a:srgbClr val="000000"/>
              </a:solidFill>
              <a:prstDash val="solid"/>
            </a:ln>
          </c:spPr>
          <c:marker>
            <c:symbol val="none"/>
          </c:marker>
          <c:dLbls>
            <c:dLbl>
              <c:idx val="0"/>
              <c:tx>
                <c:rich>
                  <a:bodyPr rot="19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D-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-5.6444026795053848</c:v>
              </c:pt>
            </c:numLit>
          </c:xVal>
          <c:yVal>
            <c:numLit>
              <c:formatCode>General</c:formatCode>
              <c:ptCount val="1"/>
              <c:pt idx="0">
                <c:v>2.725540644488177E-2</c:v>
              </c:pt>
            </c:numLit>
          </c:yVal>
          <c:smooth val="0"/>
          <c:extLst>
            <c:ext xmlns:c16="http://schemas.microsoft.com/office/drawing/2014/chart" uri="{C3380CC4-5D6E-409C-BE32-E72D297353CC}">
              <c16:uniqueId val="{0000005E-092A-480E-97D5-3D07ED76AD1F}"/>
            </c:ext>
          </c:extLst>
        </c:ser>
        <c:ser>
          <c:idx val="79"/>
          <c:order val="79"/>
          <c:spPr>
            <a:ln w="3175">
              <a:solidFill>
                <a:srgbClr val="000000"/>
              </a:solidFill>
              <a:prstDash val="solid"/>
            </a:ln>
          </c:spPr>
          <c:marker>
            <c:symbol val="none"/>
          </c:marker>
          <c:xVal>
            <c:numLit>
              <c:formatCode>General</c:formatCode>
              <c:ptCount val="2"/>
              <c:pt idx="0">
                <c:v>-4.3770457171884622</c:v>
              </c:pt>
              <c:pt idx="1">
                <c:v>-4.6320252682710734</c:v>
              </c:pt>
            </c:numLit>
          </c:xVal>
          <c:yVal>
            <c:numLit>
              <c:formatCode>General</c:formatCode>
              <c:ptCount val="2"/>
              <c:pt idx="0">
                <c:v>2.6385989057197627E-2</c:v>
              </c:pt>
              <c:pt idx="1">
                <c:v>2.6502903108423292E-2</c:v>
              </c:pt>
            </c:numLit>
          </c:yVal>
          <c:smooth val="0"/>
          <c:extLst>
            <c:ext xmlns:c16="http://schemas.microsoft.com/office/drawing/2014/chart" uri="{C3380CC4-5D6E-409C-BE32-E72D297353CC}">
              <c16:uniqueId val="{0000005F-092A-480E-97D5-3D07ED76AD1F}"/>
            </c:ext>
          </c:extLst>
        </c:ser>
        <c:ser>
          <c:idx val="80"/>
          <c:order val="80"/>
          <c:spPr>
            <a:ln w="3175">
              <a:solidFill>
                <a:srgbClr val="000000"/>
              </a:solidFill>
              <a:prstDash val="solid"/>
            </a:ln>
          </c:spPr>
          <c:marker>
            <c:symbol val="none"/>
          </c:marker>
          <c:xVal>
            <c:numLit>
              <c:formatCode>General</c:formatCode>
              <c:ptCount val="2"/>
              <c:pt idx="0">
                <c:v>-4.5204589487479616</c:v>
              </c:pt>
              <c:pt idx="1">
                <c:v>-4.7785116405068475</c:v>
              </c:pt>
            </c:numLit>
          </c:xVal>
          <c:yVal>
            <c:numLit>
              <c:formatCode>General</c:formatCode>
              <c:ptCount val="2"/>
              <c:pt idx="0">
                <c:v>2.6211043462266981E-2</c:v>
              </c:pt>
              <c:pt idx="1">
                <c:v>2.632420867931556E-2</c:v>
              </c:pt>
            </c:numLit>
          </c:yVal>
          <c:smooth val="0"/>
          <c:extLst>
            <c:ext xmlns:c16="http://schemas.microsoft.com/office/drawing/2014/chart" uri="{C3380CC4-5D6E-409C-BE32-E72D297353CC}">
              <c16:uniqueId val="{00000060-092A-480E-97D5-3D07ED76AD1F}"/>
            </c:ext>
          </c:extLst>
        </c:ser>
        <c:ser>
          <c:idx val="81"/>
          <c:order val="81"/>
          <c:spPr>
            <a:ln w="3175">
              <a:solidFill>
                <a:srgbClr val="000000"/>
              </a:solidFill>
              <a:prstDash val="solid"/>
            </a:ln>
          </c:spPr>
          <c:marker>
            <c:symbol val="none"/>
          </c:marker>
          <c:xVal>
            <c:numLit>
              <c:formatCode>General</c:formatCode>
              <c:ptCount val="2"/>
              <c:pt idx="0">
                <c:v>-4.6506435459878448</c:v>
              </c:pt>
              <c:pt idx="1">
                <c:v>-4.9114859076875854</c:v>
              </c:pt>
            </c:numLit>
          </c:xVal>
          <c:yVal>
            <c:numLit>
              <c:formatCode>General</c:formatCode>
              <c:ptCount val="2"/>
              <c:pt idx="0">
                <c:v>2.6045154305456879E-2</c:v>
              </c:pt>
              <c:pt idx="1">
                <c:v>2.615476475485953E-2</c:v>
              </c:pt>
            </c:numLit>
          </c:yVal>
          <c:smooth val="0"/>
          <c:extLst>
            <c:ext xmlns:c16="http://schemas.microsoft.com/office/drawing/2014/chart" uri="{C3380CC4-5D6E-409C-BE32-E72D297353CC}">
              <c16:uniqueId val="{00000061-092A-480E-97D5-3D07ED76AD1F}"/>
            </c:ext>
          </c:extLst>
        </c:ser>
        <c:ser>
          <c:idx val="82"/>
          <c:order val="82"/>
          <c:spPr>
            <a:ln w="3175">
              <a:solidFill>
                <a:srgbClr val="000000"/>
              </a:solidFill>
              <a:prstDash val="solid"/>
            </a:ln>
          </c:spPr>
          <c:marker>
            <c:symbol val="none"/>
          </c:marker>
          <c:xVal>
            <c:numLit>
              <c:formatCode>General</c:formatCode>
              <c:ptCount val="2"/>
              <c:pt idx="0">
                <c:v>-4.7690593110363508</c:v>
              </c:pt>
              <c:pt idx="1">
                <c:v>-5.0324391534157025</c:v>
              </c:pt>
            </c:numLit>
          </c:xVal>
          <c:yVal>
            <c:numLit>
              <c:formatCode>General</c:formatCode>
              <c:ptCount val="2"/>
              <c:pt idx="0">
                <c:v>2.5887821037250434E-2</c:v>
              </c:pt>
              <c:pt idx="1">
                <c:v>2.5994060059477228E-2</c:v>
              </c:pt>
            </c:numLit>
          </c:yVal>
          <c:smooth val="0"/>
          <c:extLst>
            <c:ext xmlns:c16="http://schemas.microsoft.com/office/drawing/2014/chart" uri="{C3380CC4-5D6E-409C-BE32-E72D297353CC}">
              <c16:uniqueId val="{00000062-092A-480E-97D5-3D07ED76AD1F}"/>
            </c:ext>
          </c:extLst>
        </c:ser>
        <c:ser>
          <c:idx val="83"/>
          <c:order val="83"/>
          <c:spPr>
            <a:ln w="3175">
              <a:solidFill>
                <a:srgbClr val="000000"/>
              </a:solidFill>
              <a:prstDash val="solid"/>
            </a:ln>
          </c:spPr>
          <c:marker>
            <c:symbol val="none"/>
          </c:marker>
          <c:xVal>
            <c:numLit>
              <c:formatCode>General</c:formatCode>
              <c:ptCount val="2"/>
              <c:pt idx="0">
                <c:v>-4.8769879543111792</c:v>
              </c:pt>
              <c:pt idx="1">
                <c:v>-5.4083731523530867</c:v>
              </c:pt>
            </c:numLit>
          </c:xVal>
          <c:yVal>
            <c:numLit>
              <c:formatCode>General</c:formatCode>
              <c:ptCount val="2"/>
              <c:pt idx="0">
                <c:v>2.573855122669123E-2</c:v>
              </c:pt>
              <c:pt idx="1">
                <c:v>2.5944631993549423E-2</c:v>
              </c:pt>
            </c:numLit>
          </c:yVal>
          <c:smooth val="0"/>
          <c:extLst>
            <c:ext xmlns:c16="http://schemas.microsoft.com/office/drawing/2014/chart" uri="{C3380CC4-5D6E-409C-BE32-E72D297353CC}">
              <c16:uniqueId val="{00000063-092A-480E-97D5-3D07ED76AD1F}"/>
            </c:ext>
          </c:extLst>
        </c:ser>
        <c:ser>
          <c:idx val="84"/>
          <c:order val="84"/>
          <c:spPr>
            <a:ln w="3175">
              <a:solidFill>
                <a:srgbClr val="000000"/>
              </a:solidFill>
              <a:prstDash val="solid"/>
            </a:ln>
          </c:spPr>
          <c:marker>
            <c:symbol val="none"/>
          </c:marker>
          <c:dLbls>
            <c:dLbl>
              <c:idx val="0"/>
              <c:tx>
                <c:rich>
                  <a:bodyPr rot="16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4-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-6.3825793487632509</c:v>
              </c:pt>
            </c:numLit>
          </c:xVal>
          <c:yVal>
            <c:numLit>
              <c:formatCode>General</c:formatCode>
              <c:ptCount val="1"/>
              <c:pt idx="0">
                <c:v>2.632244673278945E-2</c:v>
              </c:pt>
            </c:numLit>
          </c:yVal>
          <c:smooth val="0"/>
          <c:extLst>
            <c:ext xmlns:c16="http://schemas.microsoft.com/office/drawing/2014/chart" uri="{C3380CC4-5D6E-409C-BE32-E72D297353CC}">
              <c16:uniqueId val="{00000065-092A-480E-97D5-3D07ED76AD1F}"/>
            </c:ext>
          </c:extLst>
        </c:ser>
        <c:ser>
          <c:idx val="85"/>
          <c:order val="85"/>
          <c:spPr>
            <a:ln w="3175">
              <a:solidFill>
                <a:srgbClr val="000000"/>
              </a:solidFill>
              <a:prstDash val="solid"/>
            </a:ln>
          </c:spPr>
          <c:marker>
            <c:symbol val="none"/>
          </c:marker>
          <c:xVal>
            <c:numLit>
              <c:formatCode>General</c:formatCode>
              <c:ptCount val="2"/>
              <c:pt idx="0">
                <c:v>-4.97555532075208</c:v>
              </c:pt>
              <c:pt idx="1">
                <c:v>-5.2433600776253391</c:v>
              </c:pt>
            </c:numLit>
          </c:xVal>
          <c:yVal>
            <c:numLit>
              <c:formatCode>General</c:formatCode>
              <c:ptCount val="2"/>
              <c:pt idx="0">
                <c:v>2.5596867354371416E-2</c:v>
              </c:pt>
              <c:pt idx="1">
                <c:v>2.5696871654822231E-2</c:v>
              </c:pt>
            </c:numLit>
          </c:yVal>
          <c:smooth val="0"/>
          <c:extLst>
            <c:ext xmlns:c16="http://schemas.microsoft.com/office/drawing/2014/chart" uri="{C3380CC4-5D6E-409C-BE32-E72D297353CC}">
              <c16:uniqueId val="{00000066-092A-480E-97D5-3D07ED76AD1F}"/>
            </c:ext>
          </c:extLst>
        </c:ser>
        <c:ser>
          <c:idx val="86"/>
          <c:order val="86"/>
          <c:spPr>
            <a:ln w="3175">
              <a:solidFill>
                <a:srgbClr val="000000"/>
              </a:solidFill>
              <a:prstDash val="solid"/>
            </a:ln>
          </c:spPr>
          <c:marker>
            <c:symbol val="none"/>
          </c:marker>
          <c:xVal>
            <c:numLit>
              <c:formatCode>General</c:formatCode>
              <c:ptCount val="2"/>
              <c:pt idx="0">
                <c:v>-5.0657511406962898</c:v>
              </c:pt>
              <c:pt idx="1">
                <c:v>-5.335488665139783</c:v>
              </c:pt>
            </c:numLit>
          </c:xVal>
          <c:yVal>
            <c:numLit>
              <c:formatCode>General</c:formatCode>
              <c:ptCount val="2"/>
              <c:pt idx="0">
                <c:v>2.5462311255383133E-2</c:v>
              </c:pt>
              <c:pt idx="1">
                <c:v>2.5559432210855628E-2</c:v>
              </c:pt>
            </c:numLit>
          </c:yVal>
          <c:smooth val="0"/>
          <c:extLst>
            <c:ext xmlns:c16="http://schemas.microsoft.com/office/drawing/2014/chart" uri="{C3380CC4-5D6E-409C-BE32-E72D297353CC}">
              <c16:uniqueId val="{00000067-092A-480E-97D5-3D07ED76AD1F}"/>
            </c:ext>
          </c:extLst>
        </c:ser>
        <c:ser>
          <c:idx val="87"/>
          <c:order val="87"/>
          <c:spPr>
            <a:ln w="3175">
              <a:solidFill>
                <a:srgbClr val="000000"/>
              </a:solidFill>
              <a:prstDash val="solid"/>
            </a:ln>
          </c:spPr>
          <c:marker>
            <c:symbol val="none"/>
          </c:marker>
          <c:xVal>
            <c:numLit>
              <c:formatCode>General</c:formatCode>
              <c:ptCount val="2"/>
              <c:pt idx="0">
                <c:v>-5.1484464315058194</c:v>
              </c:pt>
              <c:pt idx="1">
                <c:v>-5.4199559978952303</c:v>
              </c:pt>
            </c:numLit>
          </c:xVal>
          <c:yVal>
            <c:numLit>
              <c:formatCode>General</c:formatCode>
              <c:ptCount val="2"/>
              <c:pt idx="0">
                <c:v>2.5334446824497189E-2</c:v>
              </c:pt>
              <c:pt idx="1">
                <c:v>2.5428827827879273E-2</c:v>
              </c:pt>
            </c:numLit>
          </c:yVal>
          <c:smooth val="0"/>
          <c:extLst>
            <c:ext xmlns:c16="http://schemas.microsoft.com/office/drawing/2014/chart" uri="{C3380CC4-5D6E-409C-BE32-E72D297353CC}">
              <c16:uniqueId val="{00000068-092A-480E-97D5-3D07ED76AD1F}"/>
            </c:ext>
          </c:extLst>
        </c:ser>
        <c:ser>
          <c:idx val="88"/>
          <c:order val="88"/>
          <c:spPr>
            <a:ln w="3175">
              <a:solidFill>
                <a:srgbClr val="000000"/>
              </a:solidFill>
              <a:prstDash val="solid"/>
            </a:ln>
          </c:spPr>
          <c:marker>
            <c:symbol val="none"/>
          </c:marker>
          <c:xVal>
            <c:numLit>
              <c:formatCode>General</c:formatCode>
              <c:ptCount val="2"/>
              <c:pt idx="0">
                <c:v>-5.2244087358312541</c:v>
              </c:pt>
              <c:pt idx="1">
                <c:v>-5.497546065884781</c:v>
              </c:pt>
            </c:numLit>
          </c:xVal>
          <c:yVal>
            <c:numLit>
              <c:formatCode>General</c:formatCode>
              <c:ptCount val="2"/>
              <c:pt idx="0">
                <c:v>2.5212861452320056E-2</c:v>
              </c:pt>
              <c:pt idx="1">
                <c:v>2.530463705486977E-2</c:v>
              </c:pt>
            </c:numLit>
          </c:yVal>
          <c:smooth val="0"/>
          <c:extLst>
            <c:ext xmlns:c16="http://schemas.microsoft.com/office/drawing/2014/chart" uri="{C3380CC4-5D6E-409C-BE32-E72D297353CC}">
              <c16:uniqueId val="{00000069-092A-480E-97D5-3D07ED76AD1F}"/>
            </c:ext>
          </c:extLst>
        </c:ser>
        <c:ser>
          <c:idx val="89"/>
          <c:order val="89"/>
          <c:spPr>
            <a:ln w="3175">
              <a:solidFill>
                <a:srgbClr val="000000"/>
              </a:solidFill>
              <a:prstDash val="solid"/>
            </a:ln>
          </c:spPr>
          <c:marker>
            <c:symbol val="none"/>
          </c:marker>
          <c:xVal>
            <c:numLit>
              <c:formatCode>General</c:formatCode>
              <c:ptCount val="2"/>
              <c:pt idx="0">
                <c:v>-5.2943154079273143</c:v>
              </c:pt>
              <c:pt idx="1">
                <c:v>-5.8435860682670562</c:v>
              </c:pt>
            </c:numLit>
          </c:xVal>
          <c:yVal>
            <c:numLit>
              <c:formatCode>General</c:formatCode>
              <c:ptCount val="2"/>
              <c:pt idx="0">
                <c:v>2.5097166548278888E-2</c:v>
              </c:pt>
              <c:pt idx="1">
                <c:v>2.5275759400347982E-2</c:v>
              </c:pt>
            </c:numLit>
          </c:yVal>
          <c:smooth val="0"/>
          <c:extLst>
            <c:ext xmlns:c16="http://schemas.microsoft.com/office/drawing/2014/chart" uri="{C3380CC4-5D6E-409C-BE32-E72D297353CC}">
              <c16:uniqueId val="{0000006A-092A-480E-97D5-3D07ED76AD1F}"/>
            </c:ext>
          </c:extLst>
        </c:ser>
        <c:ser>
          <c:idx val="90"/>
          <c:order val="90"/>
          <c:spPr>
            <a:ln w="3175">
              <a:solidFill>
                <a:srgbClr val="000000"/>
              </a:solidFill>
              <a:prstDash val="solid"/>
            </a:ln>
          </c:spPr>
          <c:marker>
            <c:symbol val="none"/>
          </c:marker>
          <c:dLbls>
            <c:dLbl>
              <c:idx val="0"/>
              <c:tx>
                <c:rich>
                  <a:bodyPr rot="14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B-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-6.8505822788899158</c:v>
              </c:pt>
            </c:numLit>
          </c:xVal>
          <c:yVal>
            <c:numLit>
              <c:formatCode>General</c:formatCode>
              <c:ptCount val="1"/>
              <c:pt idx="0">
                <c:v>2.5603179629141326E-2</c:v>
              </c:pt>
            </c:numLit>
          </c:yVal>
          <c:smooth val="0"/>
          <c:extLst>
            <c:ext xmlns:c16="http://schemas.microsoft.com/office/drawing/2014/chart" uri="{C3380CC4-5D6E-409C-BE32-E72D297353CC}">
              <c16:uniqueId val="{0000006C-092A-480E-97D5-3D07ED76AD1F}"/>
            </c:ext>
          </c:extLst>
        </c:ser>
        <c:ser>
          <c:idx val="91"/>
          <c:order val="91"/>
          <c:spPr>
            <a:ln w="3175">
              <a:solidFill>
                <a:srgbClr val="000000"/>
              </a:solidFill>
              <a:prstDash val="solid"/>
            </a:ln>
          </c:spPr>
          <c:marker>
            <c:symbol val="none"/>
          </c:marker>
          <c:xVal>
            <c:numLit>
              <c:formatCode>General</c:formatCode>
              <c:ptCount val="2"/>
              <c:pt idx="0">
                <c:v>-5.358765163744196</c:v>
              </c:pt>
              <c:pt idx="1">
                <c:v>-5.6347815601101443</c:v>
              </c:pt>
            </c:numLit>
          </c:xVal>
          <c:yVal>
            <c:numLit>
              <c:formatCode>General</c:formatCode>
              <c:ptCount val="2"/>
              <c:pt idx="0">
                <c:v>2.4986997418511792E-2</c:v>
              </c:pt>
              <c:pt idx="1">
                <c:v>2.5073933077479904E-2</c:v>
              </c:pt>
            </c:numLit>
          </c:yVal>
          <c:smooth val="0"/>
          <c:extLst>
            <c:ext xmlns:c16="http://schemas.microsoft.com/office/drawing/2014/chart" uri="{C3380CC4-5D6E-409C-BE32-E72D297353CC}">
              <c16:uniqueId val="{0000006D-092A-480E-97D5-3D07ED76AD1F}"/>
            </c:ext>
          </c:extLst>
        </c:ser>
        <c:ser>
          <c:idx val="92"/>
          <c:order val="92"/>
          <c:spPr>
            <a:ln w="3175">
              <a:solidFill>
                <a:srgbClr val="000000"/>
              </a:solidFill>
              <a:prstDash val="solid"/>
            </a:ln>
          </c:spPr>
          <c:marker>
            <c:symbol val="none"/>
          </c:marker>
          <c:xVal>
            <c:numLit>
              <c:formatCode>General</c:formatCode>
              <c:ptCount val="2"/>
              <c:pt idx="0">
                <c:v>-5.4182881023183391</c:v>
              </c:pt>
              <c:pt idx="1">
                <c:v>-5.6955799902251618</c:v>
              </c:pt>
            </c:numLit>
          </c:xVal>
          <c:yVal>
            <c:numLit>
              <c:formatCode>General</c:formatCode>
              <c:ptCount val="2"/>
              <c:pt idx="0">
                <c:v>2.4882012699129402E-2</c:v>
              </c:pt>
              <c:pt idx="1">
                <c:v>2.4966698685539319E-2</c:v>
              </c:pt>
            </c:numLit>
          </c:yVal>
          <c:smooth val="0"/>
          <c:extLst>
            <c:ext xmlns:c16="http://schemas.microsoft.com/office/drawing/2014/chart" uri="{C3380CC4-5D6E-409C-BE32-E72D297353CC}">
              <c16:uniqueId val="{0000006E-092A-480E-97D5-3D07ED76AD1F}"/>
            </c:ext>
          </c:extLst>
        </c:ser>
        <c:ser>
          <c:idx val="93"/>
          <c:order val="93"/>
          <c:spPr>
            <a:ln w="3175">
              <a:solidFill>
                <a:srgbClr val="000000"/>
              </a:solidFill>
              <a:prstDash val="solid"/>
            </a:ln>
          </c:spPr>
          <c:marker>
            <c:symbol val="none"/>
          </c:marker>
          <c:xVal>
            <c:numLit>
              <c:formatCode>General</c:formatCode>
              <c:ptCount val="2"/>
              <c:pt idx="0">
                <c:v>-5.4733543909858673</c:v>
              </c:pt>
              <c:pt idx="1">
                <c:v>-5.7518262707927077</c:v>
              </c:pt>
            </c:numLit>
          </c:xVal>
          <c:yVal>
            <c:numLit>
              <c:formatCode>General</c:formatCode>
              <c:ptCount val="2"/>
              <c:pt idx="0">
                <c:v>2.4781893493615731E-2</c:v>
              </c:pt>
              <c:pt idx="1">
                <c:v>2.4864434068478925E-2</c:v>
              </c:pt>
            </c:numLit>
          </c:yVal>
          <c:smooth val="0"/>
          <c:extLst>
            <c:ext xmlns:c16="http://schemas.microsoft.com/office/drawing/2014/chart" uri="{C3380CC4-5D6E-409C-BE32-E72D297353CC}">
              <c16:uniqueId val="{0000006F-092A-480E-97D5-3D07ED76AD1F}"/>
            </c:ext>
          </c:extLst>
        </c:ser>
        <c:ser>
          <c:idx val="94"/>
          <c:order val="94"/>
          <c:spPr>
            <a:ln w="3175">
              <a:solidFill>
                <a:srgbClr val="000000"/>
              </a:solidFill>
              <a:prstDash val="solid"/>
            </a:ln>
          </c:spPr>
          <c:marker>
            <c:symbol val="none"/>
          </c:marker>
          <c:xVal>
            <c:numLit>
              <c:formatCode>General</c:formatCode>
              <c:ptCount val="2"/>
              <c:pt idx="0">
                <c:v>-5.5243817887928159</c:v>
              </c:pt>
              <c:pt idx="1">
                <c:v>-5.8039471128383777</c:v>
              </c:pt>
            </c:numLit>
          </c:xVal>
          <c:yVal>
            <c:numLit>
              <c:formatCode>General</c:formatCode>
              <c:ptCount val="2"/>
              <c:pt idx="0">
                <c:v>2.4686342323848191E-2</c:v>
              </c:pt>
              <c:pt idx="1">
                <c:v>2.4766835373644939E-2</c:v>
              </c:pt>
            </c:numLit>
          </c:yVal>
          <c:smooth val="0"/>
          <c:extLst>
            <c:ext xmlns:c16="http://schemas.microsoft.com/office/drawing/2014/chart" uri="{C3380CC4-5D6E-409C-BE32-E72D297353CC}">
              <c16:uniqueId val="{00000070-092A-480E-97D5-3D07ED76AD1F}"/>
            </c:ext>
          </c:extLst>
        </c:ser>
        <c:ser>
          <c:idx val="95"/>
          <c:order val="95"/>
          <c:spPr>
            <a:ln w="3175">
              <a:solidFill>
                <a:srgbClr val="000000"/>
              </a:solidFill>
              <a:prstDash val="solid"/>
            </a:ln>
          </c:spPr>
          <c:marker>
            <c:symbol val="none"/>
          </c:marker>
          <c:xVal>
            <c:numLit>
              <c:formatCode>General</c:formatCode>
              <c:ptCount val="2"/>
              <c:pt idx="0">
                <c:v>-5.571742163443429</c:v>
              </c:pt>
              <c:pt idx="1">
                <c:v>-5.8523223526600745</c:v>
              </c:pt>
            </c:numLit>
          </c:xVal>
          <c:yVal>
            <c:numLit>
              <c:formatCode>General</c:formatCode>
              <c:ptCount val="2"/>
              <c:pt idx="0">
                <c:v>2.4595081974519786E-2</c:v>
              </c:pt>
              <c:pt idx="1">
                <c:v>2.4673619445402351E-2</c:v>
              </c:pt>
            </c:numLit>
          </c:yVal>
          <c:smooth val="0"/>
          <c:extLst>
            <c:ext xmlns:c16="http://schemas.microsoft.com/office/drawing/2014/chart" uri="{C3380CC4-5D6E-409C-BE32-E72D297353CC}">
              <c16:uniqueId val="{00000071-092A-480E-97D5-3D07ED76AD1F}"/>
            </c:ext>
          </c:extLst>
        </c:ser>
        <c:ser>
          <c:idx val="96"/>
          <c:order val="96"/>
          <c:spPr>
            <a:ln w="3175">
              <a:solidFill>
                <a:srgbClr val="000000"/>
              </a:solidFill>
              <a:prstDash val="solid"/>
            </a:ln>
          </c:spPr>
          <c:marker>
            <c:symbol val="none"/>
          </c:marker>
          <c:dLbls>
            <c:dLbl>
              <c:idx val="0"/>
              <c:tx>
                <c:rich>
                  <a:bodyPr rot="12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2-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-7.1616965690044161</c:v>
              </c:pt>
            </c:numLit>
          </c:xVal>
          <c:yVal>
            <c:numLit>
              <c:formatCode>General</c:formatCode>
              <c:ptCount val="1"/>
              <c:pt idx="0">
                <c:v>2.5040127642854328E-2</c:v>
              </c:pt>
            </c:numLit>
          </c:yVal>
          <c:smooth val="0"/>
          <c:extLst>
            <c:ext xmlns:c16="http://schemas.microsoft.com/office/drawing/2014/chart" uri="{C3380CC4-5D6E-409C-BE32-E72D297353CC}">
              <c16:uniqueId val="{00000073-092A-480E-97D5-3D07ED76AD1F}"/>
            </c:ext>
          </c:extLst>
        </c:ser>
        <c:ser>
          <c:idx val="97"/>
          <c:order val="97"/>
          <c:spPr>
            <a:ln w="3175">
              <a:solidFill>
                <a:srgbClr val="000000"/>
              </a:solidFill>
              <a:prstDash val="solid"/>
            </a:ln>
          </c:spPr>
          <c:marker>
            <c:symbol val="none"/>
          </c:marker>
          <c:xVal>
            <c:numLit>
              <c:formatCode>General</c:formatCode>
              <c:ptCount val="2"/>
              <c:pt idx="0">
                <c:v>-5.6567529906365968</c:v>
              </c:pt>
              <c:pt idx="1">
                <c:v>-5.9391548404359531</c:v>
              </c:pt>
            </c:numLit>
          </c:xVal>
          <c:yVal>
            <c:numLit>
              <c:formatCode>General</c:formatCode>
              <c:ptCount val="2"/>
              <c:pt idx="0">
                <c:v>2.4424418953236802E-2</c:v>
              </c:pt>
              <c:pt idx="1">
                <c:v>2.4499299359377589E-2</c:v>
              </c:pt>
            </c:numLit>
          </c:yVal>
          <c:smooth val="0"/>
          <c:extLst>
            <c:ext xmlns:c16="http://schemas.microsoft.com/office/drawing/2014/chart" uri="{C3380CC4-5D6E-409C-BE32-E72D297353CC}">
              <c16:uniqueId val="{00000074-092A-480E-97D5-3D07ED76AD1F}"/>
            </c:ext>
          </c:extLst>
        </c:ser>
        <c:ser>
          <c:idx val="98"/>
          <c:order val="98"/>
          <c:spPr>
            <a:ln w="3175">
              <a:solidFill>
                <a:srgbClr val="000000"/>
              </a:solidFill>
              <a:prstDash val="solid"/>
            </a:ln>
          </c:spPr>
          <c:marker>
            <c:symbol val="none"/>
          </c:marker>
          <c:xVal>
            <c:numLit>
              <c:formatCode>General</c:formatCode>
              <c:ptCount val="2"/>
              <c:pt idx="0">
                <c:v>-5.7306406407761212</c:v>
              </c:pt>
              <c:pt idx="1">
                <c:v>-6.0146257973641815</c:v>
              </c:pt>
            </c:numLit>
          </c:xVal>
          <c:yVal>
            <c:numLit>
              <c:formatCode>General</c:formatCode>
              <c:ptCount val="2"/>
              <c:pt idx="0">
                <c:v>2.4268046190440859E-2</c:v>
              </c:pt>
              <c:pt idx="1">
                <c:v>2.433957575166459E-2</c:v>
              </c:pt>
            </c:numLit>
          </c:yVal>
          <c:smooth val="0"/>
          <c:extLst>
            <c:ext xmlns:c16="http://schemas.microsoft.com/office/drawing/2014/chart" uri="{C3380CC4-5D6E-409C-BE32-E72D297353CC}">
              <c16:uniqueId val="{00000075-092A-480E-97D5-3D07ED76AD1F}"/>
            </c:ext>
          </c:extLst>
        </c:ser>
        <c:ser>
          <c:idx val="99"/>
          <c:order val="99"/>
          <c:spPr>
            <a:ln w="3175">
              <a:solidFill>
                <a:srgbClr val="000000"/>
              </a:solidFill>
              <a:prstDash val="solid"/>
            </a:ln>
          </c:spPr>
          <c:marker>
            <c:symbol val="none"/>
          </c:marker>
          <c:xVal>
            <c:numLit>
              <c:formatCode>General</c:formatCode>
              <c:ptCount val="2"/>
              <c:pt idx="0">
                <c:v>-5.7952165720117108</c:v>
              </c:pt>
              <c:pt idx="1">
                <c:v>-6.0805854985548189</c:v>
              </c:pt>
            </c:numLit>
          </c:xVal>
          <c:yVal>
            <c:numLit>
              <c:formatCode>General</c:formatCode>
              <c:ptCount val="2"/>
              <c:pt idx="0">
                <c:v>2.4124353808164946E-2</c:v>
              </c:pt>
              <c:pt idx="1">
                <c:v>2.4192804246911337E-2</c:v>
              </c:pt>
            </c:numLit>
          </c:yVal>
          <c:smooth val="0"/>
          <c:extLst>
            <c:ext xmlns:c16="http://schemas.microsoft.com/office/drawing/2014/chart" uri="{C3380CC4-5D6E-409C-BE32-E72D297353CC}">
              <c16:uniqueId val="{00000076-092A-480E-97D5-3D07ED76AD1F}"/>
            </c:ext>
          </c:extLst>
        </c:ser>
        <c:ser>
          <c:idx val="100"/>
          <c:order val="100"/>
          <c:spPr>
            <a:ln w="3175">
              <a:solidFill>
                <a:srgbClr val="000000"/>
              </a:solidFill>
              <a:prstDash val="solid"/>
            </a:ln>
          </c:spPr>
          <c:marker>
            <c:symbol val="none"/>
          </c:marker>
          <c:xVal>
            <c:numLit>
              <c:formatCode>General</c:formatCode>
              <c:ptCount val="2"/>
              <c:pt idx="0">
                <c:v>-5.851947118469381</c:v>
              </c:pt>
              <c:pt idx="1">
                <c:v>-6.1385316995794392</c:v>
              </c:pt>
            </c:numLit>
          </c:xVal>
          <c:yVal>
            <c:numLit>
              <c:formatCode>General</c:formatCode>
              <c:ptCount val="2"/>
              <c:pt idx="0">
                <c:v>2.3991946017564908E-2</c:v>
              </c:pt>
              <c:pt idx="1">
                <c:v>2.4057559146512728E-2</c:v>
              </c:pt>
            </c:numLit>
          </c:yVal>
          <c:smooth val="0"/>
          <c:extLst>
            <c:ext xmlns:c16="http://schemas.microsoft.com/office/drawing/2014/chart" uri="{C3380CC4-5D6E-409C-BE32-E72D297353CC}">
              <c16:uniqueId val="{00000077-092A-480E-97D5-3D07ED76AD1F}"/>
            </c:ext>
          </c:extLst>
        </c:ser>
        <c:ser>
          <c:idx val="101"/>
          <c:order val="101"/>
          <c:spPr>
            <a:ln w="3175">
              <a:solidFill>
                <a:srgbClr val="000000"/>
              </a:solidFill>
              <a:prstDash val="solid"/>
            </a:ln>
          </c:spPr>
          <c:marker>
            <c:symbol val="none"/>
          </c:marker>
          <c:xVal>
            <c:numLit>
              <c:formatCode>General</c:formatCode>
              <c:ptCount val="2"/>
              <c:pt idx="0">
                <c:v>-5.9020274437754896</c:v>
              </c:pt>
              <c:pt idx="1">
                <c:v>-6.4773429056515814</c:v>
              </c:pt>
            </c:numLit>
          </c:xVal>
          <c:yVal>
            <c:numLit>
              <c:formatCode>General</c:formatCode>
              <c:ptCount val="2"/>
              <c:pt idx="0">
                <c:v>2.3869610711458024E-2</c:v>
              </c:pt>
              <c:pt idx="1">
                <c:v>2.3995594027663367E-2</c:v>
              </c:pt>
            </c:numLit>
          </c:yVal>
          <c:smooth val="0"/>
          <c:extLst>
            <c:ext xmlns:c16="http://schemas.microsoft.com/office/drawing/2014/chart" uri="{C3380CC4-5D6E-409C-BE32-E72D297353CC}">
              <c16:uniqueId val="{00000078-092A-480E-97D5-3D07ED76AD1F}"/>
            </c:ext>
          </c:extLst>
        </c:ser>
        <c:ser>
          <c:idx val="102"/>
          <c:order val="102"/>
          <c:spPr>
            <a:ln w="3175">
              <a:solidFill>
                <a:srgbClr val="000000"/>
              </a:solidFill>
              <a:prstDash val="solid"/>
            </a:ln>
          </c:spPr>
          <c:marker>
            <c:symbol val="none"/>
          </c:marker>
          <c:dLbls>
            <c:dLbl>
              <c:idx val="0"/>
              <c:tx>
                <c:rich>
                  <a:bodyPr rot="9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9-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-7.5320879190910839</c:v>
              </c:pt>
            </c:numLit>
          </c:xVal>
          <c:yVal>
            <c:numLit>
              <c:formatCode>General</c:formatCode>
              <c:ptCount val="1"/>
              <c:pt idx="0">
                <c:v>2.4226563440706499E-2</c:v>
              </c:pt>
            </c:numLit>
          </c:yVal>
          <c:smooth val="0"/>
          <c:extLst>
            <c:ext xmlns:c16="http://schemas.microsoft.com/office/drawing/2014/chart" uri="{C3380CC4-5D6E-409C-BE32-E72D297353CC}">
              <c16:uniqueId val="{0000007A-092A-480E-97D5-3D07ED76AD1F}"/>
            </c:ext>
          </c:extLst>
        </c:ser>
        <c:ser>
          <c:idx val="103"/>
          <c:order val="103"/>
          <c:spPr>
            <a:ln w="3175">
              <a:solidFill>
                <a:srgbClr val="000000"/>
              </a:solidFill>
              <a:prstDash val="solid"/>
            </a:ln>
          </c:spPr>
          <c:marker>
            <c:symbol val="none"/>
          </c:marker>
          <c:xVal>
            <c:numLit>
              <c:formatCode>General</c:formatCode>
              <c:ptCount val="2"/>
              <c:pt idx="0">
                <c:v>-6.0041567309797621</c:v>
              </c:pt>
              <c:pt idx="1">
                <c:v>-6.2940029466436149</c:v>
              </c:pt>
            </c:numLit>
          </c:xVal>
          <c:yVal>
            <c:numLit>
              <c:formatCode>General</c:formatCode>
              <c:ptCount val="2"/>
              <c:pt idx="0">
                <c:v>2.3601243359121643E-2</c:v>
              </c:pt>
              <c:pt idx="1">
                <c:v>2.3658484288245678E-2</c:v>
              </c:pt>
            </c:numLit>
          </c:yVal>
          <c:smooth val="0"/>
          <c:extLst>
            <c:ext xmlns:c16="http://schemas.microsoft.com/office/drawing/2014/chart" uri="{C3380CC4-5D6E-409C-BE32-E72D297353CC}">
              <c16:uniqueId val="{0000007B-092A-480E-97D5-3D07ED76AD1F}"/>
            </c:ext>
          </c:extLst>
        </c:ser>
        <c:ser>
          <c:idx val="104"/>
          <c:order val="104"/>
          <c:spPr>
            <a:ln w="3175">
              <a:solidFill>
                <a:srgbClr val="000000"/>
              </a:solidFill>
              <a:prstDash val="solid"/>
            </a:ln>
          </c:spPr>
          <c:marker>
            <c:symbol val="none"/>
          </c:marker>
          <c:xVal>
            <c:numLit>
              <c:formatCode>General</c:formatCode>
              <c:ptCount val="2"/>
              <c:pt idx="0">
                <c:v>-6.0816762741522021</c:v>
              </c:pt>
              <c:pt idx="1">
                <c:v>-6.664690971615868</c:v>
              </c:pt>
            </c:numLit>
          </c:xVal>
          <c:yVal>
            <c:numLit>
              <c:formatCode>General</c:formatCode>
              <c:ptCount val="2"/>
              <c:pt idx="0">
                <c:v>2.3376424442580822E-2</c:v>
              </c:pt>
              <c:pt idx="1">
                <c:v>2.3481271204405716E-2</c:v>
              </c:pt>
            </c:numLit>
          </c:yVal>
          <c:smooth val="0"/>
          <c:extLst>
            <c:ext xmlns:c16="http://schemas.microsoft.com/office/drawing/2014/chart" uri="{C3380CC4-5D6E-409C-BE32-E72D297353CC}">
              <c16:uniqueId val="{0000007C-092A-480E-97D5-3D07ED76AD1F}"/>
            </c:ext>
          </c:extLst>
        </c:ser>
        <c:ser>
          <c:idx val="105"/>
          <c:order val="105"/>
          <c:spPr>
            <a:ln w="3175">
              <a:solidFill>
                <a:srgbClr val="000000"/>
              </a:solidFill>
              <a:prstDash val="solid"/>
            </a:ln>
          </c:spPr>
          <c:marker>
            <c:symbol val="none"/>
          </c:marker>
          <c:dLbls>
            <c:dLbl>
              <c:idx val="0"/>
              <c:tx>
                <c:rich>
                  <a:bodyPr rot="8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D-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-7.7335512502992545</c:v>
              </c:pt>
            </c:numLit>
          </c:xVal>
          <c:yVal>
            <c:numLit>
              <c:formatCode>General</c:formatCode>
              <c:ptCount val="1"/>
              <c:pt idx="0">
                <c:v>2.3673490267751351E-2</c:v>
              </c:pt>
            </c:numLit>
          </c:yVal>
          <c:smooth val="0"/>
          <c:extLst>
            <c:ext xmlns:c16="http://schemas.microsoft.com/office/drawing/2014/chart" uri="{C3380CC4-5D6E-409C-BE32-E72D297353CC}">
              <c16:uniqueId val="{0000007E-092A-480E-97D5-3D07ED76AD1F}"/>
            </c:ext>
          </c:extLst>
        </c:ser>
        <c:ser>
          <c:idx val="106"/>
          <c:order val="106"/>
          <c:spPr>
            <a:ln w="3175">
              <a:solidFill>
                <a:srgbClr val="000000"/>
              </a:solidFill>
              <a:prstDash val="solid"/>
            </a:ln>
          </c:spPr>
          <c:marker>
            <c:symbol val="none"/>
          </c:marker>
          <c:xVal>
            <c:numLit>
              <c:formatCode>General</c:formatCode>
              <c:ptCount val="2"/>
              <c:pt idx="0">
                <c:v>-6.1418165019856463</c:v>
              </c:pt>
              <c:pt idx="1">
                <c:v>-6.4346125698853394</c:v>
              </c:pt>
            </c:numLit>
          </c:xVal>
          <c:yVal>
            <c:numLit>
              <c:formatCode>General</c:formatCode>
              <c:ptCount val="2"/>
              <c:pt idx="0">
                <c:v>2.3185628388742628E-2</c:v>
              </c:pt>
              <c:pt idx="1">
                <c:v>2.3233963282787113E-2</c:v>
              </c:pt>
            </c:numLit>
          </c:yVal>
          <c:smooth val="0"/>
          <c:extLst>
            <c:ext xmlns:c16="http://schemas.microsoft.com/office/drawing/2014/chart" uri="{C3380CC4-5D6E-409C-BE32-E72D297353CC}">
              <c16:uniqueId val="{0000007F-092A-480E-97D5-3D07ED76AD1F}"/>
            </c:ext>
          </c:extLst>
        </c:ser>
        <c:ser>
          <c:idx val="107"/>
          <c:order val="107"/>
          <c:spPr>
            <a:ln w="3175">
              <a:solidFill>
                <a:srgbClr val="000000"/>
              </a:solidFill>
              <a:prstDash val="solid"/>
            </a:ln>
          </c:spPr>
          <c:marker>
            <c:symbol val="none"/>
          </c:marker>
          <c:xVal>
            <c:numLit>
              <c:formatCode>General</c:formatCode>
              <c:ptCount val="2"/>
              <c:pt idx="0">
                <c:v>-6.1893611787955249</c:v>
              </c:pt>
              <c:pt idx="1">
                <c:v>-6.7769909436010467</c:v>
              </c:pt>
            </c:numLit>
          </c:xVal>
          <c:yVal>
            <c:numLit>
              <c:formatCode>General</c:formatCode>
              <c:ptCount val="2"/>
              <c:pt idx="0">
                <c:v>2.3021845518026735E-2</c:v>
              </c:pt>
              <c:pt idx="1">
                <c:v>2.3111496040227882E-2</c:v>
              </c:pt>
            </c:numLit>
          </c:yVal>
          <c:smooth val="0"/>
          <c:extLst>
            <c:ext xmlns:c16="http://schemas.microsoft.com/office/drawing/2014/chart" uri="{C3380CC4-5D6E-409C-BE32-E72D297353CC}">
              <c16:uniqueId val="{00000080-092A-480E-97D5-3D07ED76AD1F}"/>
            </c:ext>
          </c:extLst>
        </c:ser>
        <c:ser>
          <c:idx val="108"/>
          <c:order val="108"/>
          <c:spPr>
            <a:ln w="3175">
              <a:solidFill>
                <a:srgbClr val="000000"/>
              </a:solidFill>
              <a:prstDash val="solid"/>
            </a:ln>
          </c:spPr>
          <c:marker>
            <c:symbol val="none"/>
          </c:marker>
          <c:dLbls>
            <c:dLbl>
              <c:idx val="0"/>
              <c:tx>
                <c:rich>
                  <a:bodyPr rot="7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1-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-7.8543121790778381</c:v>
              </c:pt>
            </c:numLit>
          </c:xVal>
          <c:yVal>
            <c:numLit>
              <c:formatCode>General</c:formatCode>
              <c:ptCount val="1"/>
              <c:pt idx="0">
                <c:v>2.3275855330929983E-2</c:v>
              </c:pt>
            </c:numLit>
          </c:yVal>
          <c:smooth val="0"/>
          <c:extLst>
            <c:ext xmlns:c16="http://schemas.microsoft.com/office/drawing/2014/chart" uri="{C3380CC4-5D6E-409C-BE32-E72D297353CC}">
              <c16:uniqueId val="{00000082-092A-480E-97D5-3D07ED76AD1F}"/>
            </c:ext>
          </c:extLst>
        </c:ser>
        <c:ser>
          <c:idx val="109"/>
          <c:order val="109"/>
          <c:spPr>
            <a:ln w="3175">
              <a:solidFill>
                <a:srgbClr val="000000"/>
              </a:solidFill>
              <a:prstDash val="solid"/>
            </a:ln>
          </c:spPr>
          <c:marker>
            <c:symbol val="none"/>
          </c:marker>
          <c:xVal>
            <c:numLit>
              <c:formatCode>General</c:formatCode>
              <c:ptCount val="2"/>
              <c:pt idx="0">
                <c:v>-6.2275685419443816</c:v>
              </c:pt>
              <c:pt idx="1">
                <c:v>-6.5222021535574761</c:v>
              </c:pt>
            </c:numLit>
          </c:xVal>
          <c:yVal>
            <c:numLit>
              <c:formatCode>General</c:formatCode>
              <c:ptCount val="2"/>
              <c:pt idx="0">
                <c:v>2.2879826043585575E-2</c:v>
              </c:pt>
              <c:pt idx="1">
                <c:v>2.2921608030233839E-2</c:v>
              </c:pt>
            </c:numLit>
          </c:yVal>
          <c:smooth val="0"/>
          <c:extLst>
            <c:ext xmlns:c16="http://schemas.microsoft.com/office/drawing/2014/chart" uri="{C3380CC4-5D6E-409C-BE32-E72D297353CC}">
              <c16:uniqueId val="{00000083-092A-480E-97D5-3D07ED76AD1F}"/>
            </c:ext>
          </c:extLst>
        </c:ser>
        <c:ser>
          <c:idx val="110"/>
          <c:order val="110"/>
          <c:spPr>
            <a:ln w="3175">
              <a:solidFill>
                <a:srgbClr val="000000"/>
              </a:solidFill>
              <a:prstDash val="solid"/>
            </a:ln>
          </c:spPr>
          <c:marker>
            <c:symbol val="none"/>
          </c:marker>
          <c:xVal>
            <c:numLit>
              <c:formatCode>General</c:formatCode>
              <c:ptCount val="2"/>
              <c:pt idx="0">
                <c:v>-6.2587153367755777</c:v>
              </c:pt>
              <c:pt idx="1">
                <c:v>-6.8493174226373874</c:v>
              </c:pt>
            </c:numLit>
          </c:xVal>
          <c:yVal>
            <c:numLit>
              <c:formatCode>General</c:formatCode>
              <c:ptCount val="2"/>
              <c:pt idx="0">
                <c:v>2.2755572771766694E-2</c:v>
              </c:pt>
              <c:pt idx="1">
                <c:v>2.2833811604842408E-2</c:v>
              </c:pt>
            </c:numLit>
          </c:yVal>
          <c:smooth val="0"/>
          <c:extLst>
            <c:ext xmlns:c16="http://schemas.microsoft.com/office/drawing/2014/chart" uri="{C3380CC4-5D6E-409C-BE32-E72D297353CC}">
              <c16:uniqueId val="{00000084-092A-480E-97D5-3D07ED76AD1F}"/>
            </c:ext>
          </c:extLst>
        </c:ser>
        <c:ser>
          <c:idx val="111"/>
          <c:order val="111"/>
          <c:spPr>
            <a:ln w="3175">
              <a:solidFill>
                <a:srgbClr val="000000"/>
              </a:solidFill>
              <a:prstDash val="solid"/>
            </a:ln>
          </c:spPr>
          <c:marker>
            <c:symbol val="none"/>
          </c:marker>
          <c:dLbls>
            <c:dLbl>
              <c:idx val="0"/>
              <c:tx>
                <c:rich>
                  <a:bodyPr rot="6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5-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-7.9320879133840396</c:v>
              </c:pt>
            </c:numLit>
          </c:xVal>
          <c:yVal>
            <c:numLit>
              <c:formatCode>General</c:formatCode>
              <c:ptCount val="1"/>
              <c:pt idx="0">
                <c:v>2.2977249465481218E-2</c:v>
              </c:pt>
            </c:numLit>
          </c:yVal>
          <c:smooth val="0"/>
          <c:extLst>
            <c:ext xmlns:c16="http://schemas.microsoft.com/office/drawing/2014/chart" uri="{C3380CC4-5D6E-409C-BE32-E72D297353CC}">
              <c16:uniqueId val="{00000086-092A-480E-97D5-3D07ED76AD1F}"/>
            </c:ext>
          </c:extLst>
        </c:ser>
        <c:ser>
          <c:idx val="112"/>
          <c:order val="112"/>
          <c:spPr>
            <a:ln w="3175">
              <a:solidFill>
                <a:srgbClr val="000000"/>
              </a:solidFill>
              <a:prstDash val="solid"/>
            </a:ln>
          </c:spPr>
          <c:marker>
            <c:symbol val="none"/>
          </c:marker>
          <c:xVal>
            <c:numLit>
              <c:formatCode>General</c:formatCode>
              <c:ptCount val="2"/>
              <c:pt idx="0">
                <c:v>-6.3058961870318369</c:v>
              </c:pt>
              <c:pt idx="1">
                <c:v>-6.6022082481825199</c:v>
              </c:pt>
            </c:numLit>
          </c:xVal>
          <c:yVal>
            <c:numLit>
              <c:formatCode>General</c:formatCode>
              <c:ptCount val="2"/>
              <c:pt idx="0">
                <c:v>2.2548671580655582E-2</c:v>
              </c:pt>
              <c:pt idx="1">
                <c:v>2.2583357400241057E-2</c:v>
              </c:pt>
            </c:numLit>
          </c:yVal>
          <c:smooth val="0"/>
          <c:extLst>
            <c:ext xmlns:c16="http://schemas.microsoft.com/office/drawing/2014/chart" uri="{C3380CC4-5D6E-409C-BE32-E72D297353CC}">
              <c16:uniqueId val="{00000087-092A-480E-97D5-3D07ED76AD1F}"/>
            </c:ext>
          </c:extLst>
        </c:ser>
        <c:ser>
          <c:idx val="113"/>
          <c:order val="113"/>
          <c:spPr>
            <a:ln w="3175">
              <a:solidFill>
                <a:srgbClr val="000000"/>
              </a:solidFill>
              <a:prstDash val="solid"/>
            </a:ln>
          </c:spPr>
          <c:marker>
            <c:symbol val="none"/>
          </c:marker>
          <c:xVal>
            <c:numLit>
              <c:formatCode>General</c:formatCode>
              <c:ptCount val="2"/>
              <c:pt idx="0">
                <c:v>-6.3394006467143074</c:v>
              </c:pt>
              <c:pt idx="1">
                <c:v>-6.6364306605724712</c:v>
              </c:pt>
            </c:numLit>
          </c:xVal>
          <c:yVal>
            <c:numLit>
              <c:formatCode>General</c:formatCode>
              <c:ptCount val="2"/>
              <c:pt idx="0">
                <c:v>2.2383467693411988E-2</c:v>
              </c:pt>
              <c:pt idx="1">
                <c:v>2.2414613429699387E-2</c:v>
              </c:pt>
            </c:numLit>
          </c:yVal>
          <c:smooth val="0"/>
          <c:extLst>
            <c:ext xmlns:c16="http://schemas.microsoft.com/office/drawing/2014/chart" uri="{C3380CC4-5D6E-409C-BE32-E72D297353CC}">
              <c16:uniqueId val="{00000088-092A-480E-97D5-3D07ED76AD1F}"/>
            </c:ext>
          </c:extLst>
        </c:ser>
        <c:ser>
          <c:idx val="114"/>
          <c:order val="114"/>
          <c:spPr>
            <a:ln w="3175">
              <a:solidFill>
                <a:srgbClr val="000000"/>
              </a:solidFill>
              <a:prstDash val="solid"/>
            </a:ln>
          </c:spPr>
          <c:marker>
            <c:symbol val="none"/>
          </c:marker>
          <c:xVal>
            <c:numLit>
              <c:formatCode>General</c:formatCode>
              <c:ptCount val="2"/>
              <c:pt idx="0">
                <c:v>-6.3640278309235088</c:v>
              </c:pt>
              <c:pt idx="1">
                <c:v>-6.6615855701575848</c:v>
              </c:pt>
            </c:numLit>
          </c:xVal>
          <c:yVal>
            <c:numLit>
              <c:formatCode>General</c:formatCode>
              <c:ptCount val="2"/>
              <c:pt idx="0">
                <c:v>2.2248609023778468E-2</c:v>
              </c:pt>
              <c:pt idx="1">
                <c:v>2.2276864931430863E-2</c:v>
              </c:pt>
            </c:numLit>
          </c:yVal>
          <c:smooth val="0"/>
          <c:extLst>
            <c:ext xmlns:c16="http://schemas.microsoft.com/office/drawing/2014/chart" uri="{C3380CC4-5D6E-409C-BE32-E72D297353CC}">
              <c16:uniqueId val="{00000089-092A-480E-97D5-3D07ED76AD1F}"/>
            </c:ext>
          </c:extLst>
        </c:ser>
        <c:ser>
          <c:idx val="115"/>
          <c:order val="115"/>
          <c:spPr>
            <a:ln w="3175">
              <a:solidFill>
                <a:srgbClr val="000000"/>
              </a:solidFill>
              <a:prstDash val="solid"/>
            </a:ln>
          </c:spPr>
          <c:marker>
            <c:symbol val="none"/>
          </c:marker>
          <c:xVal>
            <c:numLit>
              <c:formatCode>General</c:formatCode>
              <c:ptCount val="2"/>
              <c:pt idx="0">
                <c:v>-6.382648783342864</c:v>
              </c:pt>
              <c:pt idx="1">
                <c:v>-6.6806055429859255</c:v>
              </c:pt>
            </c:numLit>
          </c:xVal>
          <c:yVal>
            <c:numLit>
              <c:formatCode>General</c:formatCode>
              <c:ptCount val="2"/>
              <c:pt idx="0">
                <c:v>2.2136492726931425E-2</c:v>
              </c:pt>
              <c:pt idx="1">
                <c:v>2.2162346142508529E-2</c:v>
              </c:pt>
            </c:numLit>
          </c:yVal>
          <c:smooth val="0"/>
          <c:extLst>
            <c:ext xmlns:c16="http://schemas.microsoft.com/office/drawing/2014/chart" uri="{C3380CC4-5D6E-409C-BE32-E72D297353CC}">
              <c16:uniqueId val="{0000008A-092A-480E-97D5-3D07ED76AD1F}"/>
            </c:ext>
          </c:extLst>
        </c:ser>
        <c:ser>
          <c:idx val="116"/>
          <c:order val="116"/>
          <c:spPr>
            <a:ln w="3175">
              <a:solidFill>
                <a:srgbClr val="000000"/>
              </a:solidFill>
              <a:prstDash val="solid"/>
            </a:ln>
          </c:spPr>
          <c:marker>
            <c:symbol val="none"/>
          </c:marker>
          <c:xVal>
            <c:numLit>
              <c:formatCode>General</c:formatCode>
              <c:ptCount val="2"/>
              <c:pt idx="0">
                <c:v>-6.3970641036563771</c:v>
              </c:pt>
              <c:pt idx="1">
                <c:v>-6.9935954223845069</c:v>
              </c:pt>
            </c:numLit>
          </c:xVal>
          <c:yVal>
            <c:numLit>
              <c:formatCode>General</c:formatCode>
              <c:ptCount val="2"/>
              <c:pt idx="0">
                <c:v>2.2041845203134694E-2</c:v>
              </c:pt>
              <c:pt idx="1">
                <c:v>2.2089495711840466E-2</c:v>
              </c:pt>
            </c:numLit>
          </c:yVal>
          <c:smooth val="0"/>
          <c:extLst>
            <c:ext xmlns:c16="http://schemas.microsoft.com/office/drawing/2014/chart" uri="{C3380CC4-5D6E-409C-BE32-E72D297353CC}">
              <c16:uniqueId val="{0000008B-092A-480E-97D5-3D07ED76AD1F}"/>
            </c:ext>
          </c:extLst>
        </c:ser>
        <c:ser>
          <c:idx val="117"/>
          <c:order val="117"/>
          <c:spPr>
            <a:ln w="3175">
              <a:solidFill>
                <a:srgbClr val="000000"/>
              </a:solidFill>
              <a:prstDash val="solid"/>
            </a:ln>
          </c:spPr>
          <c:marker>
            <c:symbol val="none"/>
          </c:marker>
          <c:dLbls>
            <c:dLbl>
              <c:idx val="0"/>
              <c:tx>
                <c:rich>
                  <a:bodyPr rot="3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C-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-8.0872361733860796</c:v>
              </c:pt>
            </c:numLit>
          </c:xVal>
          <c:yVal>
            <c:numLit>
              <c:formatCode>General</c:formatCode>
              <c:ptCount val="1"/>
              <c:pt idx="0">
                <c:v>2.2176854977801051E-2</c:v>
              </c:pt>
            </c:numLit>
          </c:yVal>
          <c:smooth val="0"/>
          <c:extLst>
            <c:ext xmlns:c16="http://schemas.microsoft.com/office/drawing/2014/chart" uri="{C3380CC4-5D6E-409C-BE32-E72D297353CC}">
              <c16:uniqueId val="{0000008D-092A-480E-97D5-3D07ED76AD1F}"/>
            </c:ext>
          </c:extLst>
        </c:ser>
        <c:ser>
          <c:idx val="118"/>
          <c:order val="118"/>
          <c:spPr>
            <a:ln w="3175">
              <a:solidFill>
                <a:srgbClr val="000000"/>
              </a:solidFill>
              <a:prstDash val="solid"/>
            </a:ln>
          </c:spPr>
          <c:marker>
            <c:symbol val="none"/>
          </c:marker>
          <c:xVal>
            <c:numLit>
              <c:formatCode>General</c:formatCode>
              <c:ptCount val="2"/>
              <c:pt idx="0">
                <c:v>-6.436353647558132</c:v>
              </c:pt>
              <c:pt idx="1">
                <c:v>-6.7354612257200923</c:v>
              </c:pt>
            </c:numLit>
          </c:xVal>
          <c:yVal>
            <c:numLit>
              <c:formatCode>General</c:formatCode>
              <c:ptCount val="2"/>
              <c:pt idx="0">
                <c:v>2.172811889106761E-2</c:v>
              </c:pt>
              <c:pt idx="1">
                <c:v>2.1745221438733343E-2</c:v>
              </c:pt>
            </c:numLit>
          </c:yVal>
          <c:smooth val="0"/>
          <c:extLst>
            <c:ext xmlns:c16="http://schemas.microsoft.com/office/drawing/2014/chart" uri="{C3380CC4-5D6E-409C-BE32-E72D297353CC}">
              <c16:uniqueId val="{0000008E-092A-480E-97D5-3D07ED76AD1F}"/>
            </c:ext>
          </c:extLst>
        </c:ser>
        <c:ser>
          <c:idx val="119"/>
          <c:order val="119"/>
          <c:spPr>
            <a:ln w="3175">
              <a:solidFill>
                <a:srgbClr val="000000"/>
              </a:solidFill>
              <a:prstDash val="solid"/>
            </a:ln>
          </c:spPr>
          <c:marker>
            <c:symbol val="none"/>
          </c:marker>
          <c:xVal>
            <c:numLit>
              <c:formatCode>General</c:formatCode>
              <c:ptCount val="2"/>
              <c:pt idx="0">
                <c:v>-6.4527022004217862</c:v>
              </c:pt>
              <c:pt idx="1">
                <c:v>-7.0516180090112908</c:v>
              </c:pt>
            </c:numLit>
          </c:xVal>
          <c:yVal>
            <c:numLit>
              <c:formatCode>General</c:formatCode>
              <c:ptCount val="2"/>
              <c:pt idx="0">
                <c:v>2.1552224945278583E-2</c:v>
              </c:pt>
              <c:pt idx="1">
                <c:v>2.1578891728647666E-2</c:v>
              </c:pt>
            </c:numLit>
          </c:yVal>
          <c:smooth val="0"/>
          <c:extLst>
            <c:ext xmlns:c16="http://schemas.microsoft.com/office/drawing/2014/chart" uri="{C3380CC4-5D6E-409C-BE32-E72D297353CC}">
              <c16:uniqueId val="{0000008F-092A-480E-97D5-3D07ED76AD1F}"/>
            </c:ext>
          </c:extLst>
        </c:ser>
        <c:ser>
          <c:idx val="120"/>
          <c:order val="120"/>
          <c:spPr>
            <a:ln w="3175">
              <a:solidFill>
                <a:srgbClr val="000000"/>
              </a:solidFill>
              <a:prstDash val="solid"/>
            </a:ln>
          </c:spPr>
          <c:marker>
            <c:symbol val="none"/>
          </c:marker>
          <c:dLbls>
            <c:dLbl>
              <c:idx val="0"/>
              <c:tx>
                <c:rich>
                  <a:bodyPr rot="1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0-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-8.1496303247587161</c:v>
              </c:pt>
            </c:numLit>
          </c:xVal>
          <c:yVal>
            <c:numLit>
              <c:formatCode>General</c:formatCode>
              <c:ptCount val="1"/>
              <c:pt idx="0">
                <c:v>2.1627780831490983E-2</c:v>
              </c:pt>
            </c:numLit>
          </c:yVal>
          <c:smooth val="0"/>
          <c:extLst>
            <c:ext xmlns:c16="http://schemas.microsoft.com/office/drawing/2014/chart" uri="{C3380CC4-5D6E-409C-BE32-E72D297353CC}">
              <c16:uniqueId val="{00000091-092A-480E-97D5-3D07ED76AD1F}"/>
            </c:ext>
          </c:extLst>
        </c:ser>
        <c:ser>
          <c:idx val="121"/>
          <c:order val="121"/>
          <c:spPr>
            <a:ln w="3175">
              <a:solidFill>
                <a:srgbClr val="000000"/>
              </a:solidFill>
              <a:prstDash val="solid"/>
            </a:ln>
          </c:spPr>
          <c:marker>
            <c:symbol val="none"/>
          </c:marker>
          <c:xVal>
            <c:numLit>
              <c:formatCode>General</c:formatCode>
              <c:ptCount val="2"/>
              <c:pt idx="0">
                <c:v>-6.4658267837767367</c:v>
              </c:pt>
              <c:pt idx="1">
                <c:v>-6.7655659291433814</c:v>
              </c:pt>
            </c:numLit>
          </c:xVal>
          <c:yVal>
            <c:numLit>
              <c:formatCode>General</c:formatCode>
              <c:ptCount val="2"/>
              <c:pt idx="0">
                <c:v>2.1361728347072451E-2</c:v>
              </c:pt>
              <c:pt idx="1">
                <c:v>2.1370979668795431E-2</c:v>
              </c:pt>
            </c:numLit>
          </c:yVal>
          <c:smooth val="0"/>
          <c:extLst>
            <c:ext xmlns:c16="http://schemas.microsoft.com/office/drawing/2014/chart" uri="{C3380CC4-5D6E-409C-BE32-E72D297353CC}">
              <c16:uniqueId val="{00000092-092A-480E-97D5-3D07ED76AD1F}"/>
            </c:ext>
          </c:extLst>
        </c:ser>
        <c:ser>
          <c:idx val="122"/>
          <c:order val="122"/>
          <c:spPr>
            <a:ln w="3175">
              <a:solidFill>
                <a:srgbClr val="000000"/>
              </a:solidFill>
              <a:prstDash val="solid"/>
            </a:ln>
          </c:spPr>
          <c:marker>
            <c:symbol val="none"/>
          </c:marker>
          <c:xVal>
            <c:numLit>
              <c:formatCode>General</c:formatCode>
              <c:ptCount val="2"/>
              <c:pt idx="0">
                <c:v>-6.4708678812703511</c:v>
              </c:pt>
              <c:pt idx="1">
                <c:v>-7.07056221903908</c:v>
              </c:pt>
            </c:numLit>
          </c:xVal>
          <c:yVal>
            <c:numLit>
              <c:formatCode>General</c:formatCode>
              <c:ptCount val="2"/>
              <c:pt idx="0">
                <c:v>2.1260488451156453E-2</c:v>
              </c:pt>
              <c:pt idx="1">
                <c:v>2.1274652241920301E-2</c:v>
              </c:pt>
            </c:numLit>
          </c:yVal>
          <c:smooth val="0"/>
          <c:extLst>
            <c:ext xmlns:c16="http://schemas.microsoft.com/office/drawing/2014/chart" uri="{C3380CC4-5D6E-409C-BE32-E72D297353CC}">
              <c16:uniqueId val="{00000093-092A-480E-97D5-3D07ED76AD1F}"/>
            </c:ext>
          </c:extLst>
        </c:ser>
        <c:ser>
          <c:idx val="123"/>
          <c:order val="123"/>
          <c:spPr>
            <a:ln w="3175">
              <a:solidFill>
                <a:srgbClr val="000000"/>
              </a:solidFill>
              <a:prstDash val="solid"/>
            </a:ln>
          </c:spPr>
          <c:marker>
            <c:symbol val="none"/>
          </c:marker>
          <c:dLbls>
            <c:dLbl>
              <c:idx val="0"/>
              <c:tx>
                <c:rich>
                  <a:bodyPr rot="12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-40000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4-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-8.1700018382817508</c:v>
              </c:pt>
            </c:numLit>
          </c:xVal>
          <c:yVal>
            <c:numLit>
              <c:formatCode>General</c:formatCode>
              <c:ptCount val="1"/>
              <c:pt idx="0">
                <c:v>2.1300619191654022E-2</c:v>
              </c:pt>
            </c:numLit>
          </c:yVal>
          <c:smooth val="0"/>
          <c:extLst>
            <c:ext xmlns:c16="http://schemas.microsoft.com/office/drawing/2014/chart" uri="{C3380CC4-5D6E-409C-BE32-E72D297353CC}">
              <c16:uniqueId val="{00000095-092A-480E-97D5-3D07ED76AD1F}"/>
            </c:ext>
          </c:extLst>
        </c:ser>
        <c:ser>
          <c:idx val="124"/>
          <c:order val="124"/>
          <c:spPr>
            <a:ln w="3175">
              <a:solidFill>
                <a:srgbClr val="000000"/>
              </a:solidFill>
              <a:prstDash val="solid"/>
            </a:ln>
          </c:spPr>
          <c:marker>
            <c:symbol val="none"/>
          </c:marker>
          <c:xVal>
            <c:numLit>
              <c:formatCode>General</c:formatCode>
              <c:ptCount val="2"/>
              <c:pt idx="0">
                <c:v>-6.4780000000000006</c:v>
              </c:pt>
              <c:pt idx="1">
                <c:v>-7.0780000000000003</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96-092A-480E-97D5-3D07ED76AD1F}"/>
            </c:ext>
          </c:extLst>
        </c:ser>
        <c:ser>
          <c:idx val="125"/>
          <c:order val="125"/>
          <c:spPr>
            <a:ln w="3175">
              <a:solidFill>
                <a:srgbClr val="000000"/>
              </a:solidFill>
              <a:prstDash val="solid"/>
            </a:ln>
          </c:spPr>
          <c:marker>
            <c:symbol val="none"/>
          </c:marker>
          <c:dLbls>
            <c:dLbl>
              <c:idx val="0"/>
              <c:tx>
                <c:rich>
                  <a:bodyPr rot="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7-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-8.1780000000000008</c:v>
              </c:pt>
            </c:numLit>
          </c:xVal>
          <c:yVal>
            <c:numLit>
              <c:formatCode>General</c:formatCode>
              <c:ptCount val="1"/>
              <c:pt idx="0">
                <c:v>2.0930000000000001E-2</c:v>
              </c:pt>
            </c:numLit>
          </c:yVal>
          <c:smooth val="0"/>
          <c:extLst>
            <c:ext xmlns:c16="http://schemas.microsoft.com/office/drawing/2014/chart" uri="{C3380CC4-5D6E-409C-BE32-E72D297353CC}">
              <c16:uniqueId val="{00000098-092A-480E-97D5-3D07ED76AD1F}"/>
            </c:ext>
          </c:extLst>
        </c:ser>
        <c:ser>
          <c:idx val="126"/>
          <c:order val="126"/>
          <c:spPr>
            <a:ln w="3175">
              <a:solidFill>
                <a:srgbClr val="000000"/>
              </a:solidFill>
              <a:prstDash val="solid"/>
            </a:ln>
          </c:spPr>
          <c:marker>
            <c:symbol val="none"/>
          </c:marker>
          <c:xVal>
            <c:numLit>
              <c:formatCode>General</c:formatCode>
              <c:ptCount val="2"/>
              <c:pt idx="0">
                <c:v>-6.4687544134534143</c:v>
              </c:pt>
              <c:pt idx="1">
                <c:v>-7.0683581740299886</c:v>
              </c:pt>
            </c:numLit>
          </c:xVal>
          <c:yVal>
            <c:numLit>
              <c:formatCode>General</c:formatCode>
              <c:ptCount val="2"/>
              <c:pt idx="0">
                <c:v>2.0553731515266696E-2</c:v>
              </c:pt>
              <c:pt idx="1">
                <c:v>2.0537605723063838E-2</c:v>
              </c:pt>
            </c:numLit>
          </c:yVal>
          <c:smooth val="0"/>
          <c:extLst>
            <c:ext xmlns:c16="http://schemas.microsoft.com/office/drawing/2014/chart" uri="{C3380CC4-5D6E-409C-BE32-E72D297353CC}">
              <c16:uniqueId val="{00000099-092A-480E-97D5-3D07ED76AD1F}"/>
            </c:ext>
          </c:extLst>
        </c:ser>
        <c:ser>
          <c:idx val="127"/>
          <c:order val="127"/>
          <c:spPr>
            <a:ln w="3175">
              <a:solidFill>
                <a:srgbClr val="000000"/>
              </a:solidFill>
              <a:prstDash val="solid"/>
            </a:ln>
          </c:spPr>
          <c:marker>
            <c:symbol val="none"/>
          </c:marker>
          <c:dLbls>
            <c:dLbl>
              <c:idx val="0"/>
              <c:tx>
                <c:rich>
                  <a:bodyPr rot="-12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40000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A-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-8.167631735087042</c:v>
              </c:pt>
            </c:numLit>
          </c:xVal>
          <c:yVal>
            <c:numLit>
              <c:formatCode>General</c:formatCode>
              <c:ptCount val="1"/>
              <c:pt idx="0">
                <c:v>2.0508041770691935E-2</c:v>
              </c:pt>
            </c:numLit>
          </c:yVal>
          <c:smooth val="0"/>
          <c:extLst>
            <c:ext xmlns:c16="http://schemas.microsoft.com/office/drawing/2014/chart" uri="{C3380CC4-5D6E-409C-BE32-E72D297353CC}">
              <c16:uniqueId val="{0000009B-092A-480E-97D5-3D07ED76AD1F}"/>
            </c:ext>
          </c:extLst>
        </c:ser>
        <c:ser>
          <c:idx val="128"/>
          <c:order val="128"/>
          <c:spPr>
            <a:ln w="3175">
              <a:solidFill>
                <a:srgbClr val="000000"/>
              </a:solidFill>
              <a:prstDash val="solid"/>
            </a:ln>
          </c:spPr>
          <c:marker>
            <c:symbol val="none"/>
          </c:marker>
          <c:xVal>
            <c:numLit>
              <c:formatCode>General</c:formatCode>
              <c:ptCount val="2"/>
              <c:pt idx="0">
                <c:v>-6.4607910353144655</c:v>
              </c:pt>
              <c:pt idx="1">
                <c:v>-6.7604222717854903</c:v>
              </c:pt>
            </c:numLit>
          </c:xVal>
          <c:yVal>
            <c:numLit>
              <c:formatCode>General</c:formatCode>
              <c:ptCount val="2"/>
              <c:pt idx="0">
                <c:v>2.0416729629222568E-2</c:v>
              </c:pt>
              <c:pt idx="1">
                <c:v>2.0405730978420196E-2</c:v>
              </c:pt>
            </c:numLit>
          </c:yVal>
          <c:smooth val="0"/>
          <c:extLst>
            <c:ext xmlns:c16="http://schemas.microsoft.com/office/drawing/2014/chart" uri="{C3380CC4-5D6E-409C-BE32-E72D297353CC}">
              <c16:uniqueId val="{0000009C-092A-480E-97D5-3D07ED76AD1F}"/>
            </c:ext>
          </c:extLst>
        </c:ser>
        <c:ser>
          <c:idx val="129"/>
          <c:order val="129"/>
          <c:spPr>
            <a:ln w="3175">
              <a:solidFill>
                <a:srgbClr val="000000"/>
              </a:solidFill>
              <a:prstDash val="solid"/>
            </a:ln>
          </c:spPr>
          <c:marker>
            <c:symbol val="none"/>
          </c:marker>
          <c:xVal>
            <c:numLit>
              <c:formatCode>General</c:formatCode>
              <c:ptCount val="2"/>
              <c:pt idx="0">
                <c:v>-6.4354532742589932</c:v>
              </c:pt>
              <c:pt idx="1">
                <c:v>-7.0336298431558069</c:v>
              </c:pt>
            </c:numLit>
          </c:xVal>
          <c:yVal>
            <c:numLit>
              <c:formatCode>General</c:formatCode>
              <c:ptCount val="2"/>
              <c:pt idx="0">
                <c:v>2.0123312766063169E-2</c:v>
              </c:pt>
              <c:pt idx="1">
                <c:v>2.0088740456037306E-2</c:v>
              </c:pt>
            </c:numLit>
          </c:yVal>
          <c:smooth val="0"/>
          <c:extLst>
            <c:ext xmlns:c16="http://schemas.microsoft.com/office/drawing/2014/chart" uri="{C3380CC4-5D6E-409C-BE32-E72D297353CC}">
              <c16:uniqueId val="{0000009D-092A-480E-97D5-3D07ED76AD1F}"/>
            </c:ext>
          </c:extLst>
        </c:ser>
        <c:ser>
          <c:idx val="130"/>
          <c:order val="130"/>
          <c:spPr>
            <a:ln w="3175">
              <a:solidFill>
                <a:srgbClr val="000000"/>
              </a:solidFill>
              <a:prstDash val="solid"/>
            </a:ln>
          </c:spPr>
          <c:marker>
            <c:symbol val="none"/>
          </c:marker>
          <c:dLbls>
            <c:dLbl>
              <c:idx val="0"/>
              <c:tx>
                <c:rich>
                  <a:bodyPr rot="-24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20000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E-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-8.1302868861332982</c:v>
              </c:pt>
            </c:numLit>
          </c:xVal>
          <c:yVal>
            <c:numLit>
              <c:formatCode>General</c:formatCode>
              <c:ptCount val="1"/>
              <c:pt idx="0">
                <c:v>2.0025357887656553E-2</c:v>
              </c:pt>
            </c:numLit>
          </c:yVal>
          <c:smooth val="0"/>
          <c:extLst>
            <c:ext xmlns:c16="http://schemas.microsoft.com/office/drawing/2014/chart" uri="{C3380CC4-5D6E-409C-BE32-E72D297353CC}">
              <c16:uniqueId val="{0000009F-092A-480E-97D5-3D07ED76AD1F}"/>
            </c:ext>
          </c:extLst>
        </c:ser>
        <c:ser>
          <c:idx val="131"/>
          <c:order val="131"/>
          <c:spPr>
            <a:ln w="3175">
              <a:solidFill>
                <a:srgbClr val="000000"/>
              </a:solidFill>
              <a:prstDash val="solid"/>
            </a:ln>
          </c:spPr>
          <c:marker>
            <c:symbol val="none"/>
          </c:marker>
          <c:xVal>
            <c:numLit>
              <c:formatCode>General</c:formatCode>
              <c:ptCount val="2"/>
              <c:pt idx="0">
                <c:v>-6.3946145573537017</c:v>
              </c:pt>
              <c:pt idx="1">
                <c:v>-6.9910408955260026</c:v>
              </c:pt>
            </c:numLit>
          </c:xVal>
          <c:yVal>
            <c:numLit>
              <c:formatCode>General</c:formatCode>
              <c:ptCount val="2"/>
              <c:pt idx="0">
                <c:v>1.9801504574826875E-2</c:v>
              </c:pt>
              <c:pt idx="1">
                <c:v>1.9753140485176599E-2</c:v>
              </c:pt>
            </c:numLit>
          </c:yVal>
          <c:smooth val="0"/>
          <c:extLst>
            <c:ext xmlns:c16="http://schemas.microsoft.com/office/drawing/2014/chart" uri="{C3380CC4-5D6E-409C-BE32-E72D297353CC}">
              <c16:uniqueId val="{000000A0-092A-480E-97D5-3D07ED76AD1F}"/>
            </c:ext>
          </c:extLst>
        </c:ser>
        <c:ser>
          <c:idx val="132"/>
          <c:order val="132"/>
          <c:spPr>
            <a:ln w="3175">
              <a:solidFill>
                <a:srgbClr val="000000"/>
              </a:solidFill>
              <a:prstDash val="solid"/>
            </a:ln>
          </c:spPr>
          <c:marker>
            <c:symbol val="none"/>
          </c:marker>
          <c:dLbls>
            <c:dLbl>
              <c:idx val="0"/>
              <c:tx>
                <c:rich>
                  <a:bodyPr rot="-36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15000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1-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-8.0844891821752221</c:v>
              </c:pt>
            </c:numLit>
          </c:xVal>
          <c:yVal>
            <c:numLit>
              <c:formatCode>General</c:formatCode>
              <c:ptCount val="1"/>
              <c:pt idx="0">
                <c:v>1.9664472987484423E-2</c:v>
              </c:pt>
            </c:numLit>
          </c:yVal>
          <c:smooth val="0"/>
          <c:extLst>
            <c:ext xmlns:c16="http://schemas.microsoft.com/office/drawing/2014/chart" uri="{C3380CC4-5D6E-409C-BE32-E72D297353CC}">
              <c16:uniqueId val="{000000A2-092A-480E-97D5-3D07ED76AD1F}"/>
            </c:ext>
          </c:extLst>
        </c:ser>
        <c:ser>
          <c:idx val="133"/>
          <c:order val="133"/>
          <c:spPr>
            <a:ln w="3175">
              <a:solidFill>
                <a:srgbClr val="000000"/>
              </a:solidFill>
              <a:prstDash val="solid"/>
            </a:ln>
          </c:spPr>
          <c:marker>
            <c:symbol val="none"/>
          </c:marker>
          <c:xVal>
            <c:numLit>
              <c:formatCode>General</c:formatCode>
              <c:ptCount val="2"/>
              <c:pt idx="0">
                <c:v>-6.3795129803289274</c:v>
              </c:pt>
              <c:pt idx="1">
                <c:v>-6.6774025441931197</c:v>
              </c:pt>
            </c:numLit>
          </c:xVal>
          <c:yVal>
            <c:numLit>
              <c:formatCode>General</c:formatCode>
              <c:ptCount val="2"/>
              <c:pt idx="0">
                <c:v>1.9703897767998347E-2</c:v>
              </c:pt>
              <c:pt idx="1">
                <c:v>1.967762414874117E-2</c:v>
              </c:pt>
            </c:numLit>
          </c:yVal>
          <c:smooth val="0"/>
          <c:extLst>
            <c:ext xmlns:c16="http://schemas.microsoft.com/office/drawing/2014/chart" uri="{C3380CC4-5D6E-409C-BE32-E72D297353CC}">
              <c16:uniqueId val="{000000A3-092A-480E-97D5-3D07ED76AD1F}"/>
            </c:ext>
          </c:extLst>
        </c:ser>
        <c:ser>
          <c:idx val="134"/>
          <c:order val="134"/>
          <c:spPr>
            <a:ln w="3175">
              <a:solidFill>
                <a:srgbClr val="000000"/>
              </a:solidFill>
              <a:prstDash val="solid"/>
            </a:ln>
          </c:spPr>
          <c:marker>
            <c:symbol val="none"/>
          </c:marker>
          <c:xVal>
            <c:numLit>
              <c:formatCode>General</c:formatCode>
              <c:ptCount val="2"/>
              <c:pt idx="0">
                <c:v>-6.3599248979775851</c:v>
              </c:pt>
              <c:pt idx="1">
                <c:v>-6.6573947172199626</c:v>
              </c:pt>
            </c:numLit>
          </c:xVal>
          <c:yVal>
            <c:numLit>
              <c:formatCode>General</c:formatCode>
              <c:ptCount val="2"/>
              <c:pt idx="0">
                <c:v>1.9587964977189561E-2</c:v>
              </c:pt>
              <c:pt idx="1">
                <c:v>1.9559207083843622E-2</c:v>
              </c:pt>
            </c:numLit>
          </c:yVal>
          <c:smooth val="0"/>
          <c:extLst>
            <c:ext xmlns:c16="http://schemas.microsoft.com/office/drawing/2014/chart" uri="{C3380CC4-5D6E-409C-BE32-E72D297353CC}">
              <c16:uniqueId val="{000000A4-092A-480E-97D5-3D07ED76AD1F}"/>
            </c:ext>
          </c:extLst>
        </c:ser>
        <c:ser>
          <c:idx val="135"/>
          <c:order val="135"/>
          <c:spPr>
            <a:ln w="3175">
              <a:solidFill>
                <a:srgbClr val="000000"/>
              </a:solidFill>
              <a:prstDash val="solid"/>
            </a:ln>
          </c:spPr>
          <c:marker>
            <c:symbol val="none"/>
          </c:marker>
          <c:xVal>
            <c:numLit>
              <c:formatCode>General</c:formatCode>
              <c:ptCount val="2"/>
              <c:pt idx="0">
                <c:v>-6.3338909498930658</c:v>
              </c:pt>
              <c:pt idx="1">
                <c:v>-6.9277148477456256</c:v>
              </c:pt>
            </c:numLit>
          </c:xVal>
          <c:yVal>
            <c:numLit>
              <c:formatCode>General</c:formatCode>
              <c:ptCount val="2"/>
              <c:pt idx="0">
                <c:v>1.9448070774442654E-2</c:v>
              </c:pt>
              <c:pt idx="1">
                <c:v>1.9384559521918768E-2</c:v>
              </c:pt>
            </c:numLit>
          </c:yVal>
          <c:smooth val="0"/>
          <c:extLst>
            <c:ext xmlns:c16="http://schemas.microsoft.com/office/drawing/2014/chart" uri="{C3380CC4-5D6E-409C-BE32-E72D297353CC}">
              <c16:uniqueId val="{000000A5-092A-480E-97D5-3D07ED76AD1F}"/>
            </c:ext>
          </c:extLst>
        </c:ser>
        <c:ser>
          <c:idx val="136"/>
          <c:order val="136"/>
          <c:spPr>
            <a:ln w="3175">
              <a:solidFill>
                <a:srgbClr val="000000"/>
              </a:solidFill>
              <a:prstDash val="solid"/>
            </a:ln>
          </c:spPr>
          <c:marker>
            <c:symbol val="none"/>
          </c:marker>
          <c:xVal>
            <c:numLit>
              <c:formatCode>General</c:formatCode>
              <c:ptCount val="2"/>
              <c:pt idx="0">
                <c:v>-6.2982611859413211</c:v>
              </c:pt>
              <c:pt idx="1">
                <c:v>-6.5944096399257788</c:v>
              </c:pt>
            </c:numLit>
          </c:xVal>
          <c:yVal>
            <c:numLit>
              <c:formatCode>General</c:formatCode>
              <c:ptCount val="2"/>
              <c:pt idx="0">
                <c:v>1.9276040595639192E-2</c:v>
              </c:pt>
              <c:pt idx="1">
                <c:v>1.9240598608402888E-2</c:v>
              </c:pt>
            </c:numLit>
          </c:yVal>
          <c:smooth val="0"/>
          <c:extLst>
            <c:ext xmlns:c16="http://schemas.microsoft.com/office/drawing/2014/chart" uri="{C3380CC4-5D6E-409C-BE32-E72D297353CC}">
              <c16:uniqueId val="{000000A6-092A-480E-97D5-3D07ED76AD1F}"/>
            </c:ext>
          </c:extLst>
        </c:ser>
        <c:ser>
          <c:idx val="137"/>
          <c:order val="137"/>
          <c:spPr>
            <a:ln w="3175">
              <a:solidFill>
                <a:srgbClr val="000000"/>
              </a:solidFill>
              <a:prstDash val="solid"/>
            </a:ln>
          </c:spPr>
          <c:marker>
            <c:symbol val="none"/>
          </c:marker>
          <c:xVal>
            <c:numLit>
              <c:formatCode>General</c:formatCode>
              <c:ptCount val="2"/>
              <c:pt idx="0">
                <c:v>-6.2477177107241779</c:v>
              </c:pt>
              <c:pt idx="1">
                <c:v>-6.8378484697552135</c:v>
              </c:pt>
            </c:numLit>
          </c:xVal>
          <c:yVal>
            <c:numLit>
              <c:formatCode>General</c:formatCode>
              <c:ptCount val="2"/>
              <c:pt idx="0">
                <c:v>1.9059579257765528E-2</c:v>
              </c:pt>
              <c:pt idx="1">
                <c:v>1.8979418368812621E-2</c:v>
              </c:pt>
            </c:numLit>
          </c:yVal>
          <c:smooth val="0"/>
          <c:extLst>
            <c:ext xmlns:c16="http://schemas.microsoft.com/office/drawing/2014/chart" uri="{C3380CC4-5D6E-409C-BE32-E72D297353CC}">
              <c16:uniqueId val="{000000A7-092A-480E-97D5-3D07ED76AD1F}"/>
            </c:ext>
          </c:extLst>
        </c:ser>
        <c:ser>
          <c:idx val="138"/>
          <c:order val="138"/>
          <c:spPr>
            <a:ln w="3175">
              <a:solidFill>
                <a:srgbClr val="000000"/>
              </a:solidFill>
              <a:prstDash val="solid"/>
            </a:ln>
          </c:spPr>
          <c:marker>
            <c:symbol val="none"/>
          </c:marker>
          <c:dLbls>
            <c:dLbl>
              <c:idx val="0"/>
              <c:tx>
                <c:rich>
                  <a:bodyPr rot="-6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8-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-7.9197548613121134</c:v>
              </c:pt>
            </c:numLit>
          </c:xVal>
          <c:yVal>
            <c:numLit>
              <c:formatCode>General</c:formatCode>
              <c:ptCount val="1"/>
              <c:pt idx="0">
                <c:v>1.8832456739065626E-2</c:v>
              </c:pt>
            </c:numLit>
          </c:yVal>
          <c:smooth val="0"/>
          <c:extLst>
            <c:ext xmlns:c16="http://schemas.microsoft.com/office/drawing/2014/chart" uri="{C3380CC4-5D6E-409C-BE32-E72D297353CC}">
              <c16:uniqueId val="{000000A9-092A-480E-97D5-3D07ED76AD1F}"/>
            </c:ext>
          </c:extLst>
        </c:ser>
        <c:ser>
          <c:idx val="139"/>
          <c:order val="139"/>
          <c:spPr>
            <a:ln w="3175">
              <a:solidFill>
                <a:srgbClr val="000000"/>
              </a:solidFill>
              <a:prstDash val="solid"/>
            </a:ln>
          </c:spPr>
          <c:marker>
            <c:symbol val="none"/>
          </c:marker>
          <c:xVal>
            <c:numLit>
              <c:formatCode>General</c:formatCode>
              <c:ptCount val="2"/>
              <c:pt idx="0">
                <c:v>-6.2141364364601657</c:v>
              </c:pt>
              <c:pt idx="1">
                <c:v>-6.5084822172414558</c:v>
              </c:pt>
            </c:numLit>
          </c:xVal>
          <c:yVal>
            <c:numLit>
              <c:formatCode>General</c:formatCode>
              <c:ptCount val="2"/>
              <c:pt idx="0">
                <c:v>1.8929051078036645E-2</c:v>
              </c:pt>
              <c:pt idx="1">
                <c:v>1.8886173601137431E-2</c:v>
              </c:pt>
            </c:numLit>
          </c:yVal>
          <c:smooth val="0"/>
          <c:extLst>
            <c:ext xmlns:c16="http://schemas.microsoft.com/office/drawing/2014/chart" uri="{C3380CC4-5D6E-409C-BE32-E72D297353CC}">
              <c16:uniqueId val="{000000AA-092A-480E-97D5-3D07ED76AD1F}"/>
            </c:ext>
          </c:extLst>
        </c:ser>
        <c:ser>
          <c:idx val="140"/>
          <c:order val="140"/>
          <c:spPr>
            <a:ln w="3175">
              <a:solidFill>
                <a:srgbClr val="000000"/>
              </a:solidFill>
              <a:prstDash val="solid"/>
            </a:ln>
          </c:spPr>
          <c:marker>
            <c:symbol val="none"/>
          </c:marker>
          <c:xVal>
            <c:numLit>
              <c:formatCode>General</c:formatCode>
              <c:ptCount val="2"/>
              <c:pt idx="0">
                <c:v>-6.1727292094729158</c:v>
              </c:pt>
              <c:pt idx="1">
                <c:v>-6.7596461755931836</c:v>
              </c:pt>
            </c:numLit>
          </c:xVal>
          <c:yVal>
            <c:numLit>
              <c:formatCode>General</c:formatCode>
              <c:ptCount val="2"/>
              <c:pt idx="0">
                <c:v>1.8779375962421206E-2</c:v>
              </c:pt>
              <c:pt idx="1">
                <c:v>1.8687206360810688E-2</c:v>
              </c:pt>
            </c:numLit>
          </c:yVal>
          <c:smooth val="0"/>
          <c:extLst>
            <c:ext xmlns:c16="http://schemas.microsoft.com/office/drawing/2014/chart" uri="{C3380CC4-5D6E-409C-BE32-E72D297353CC}">
              <c16:uniqueId val="{000000AB-092A-480E-97D5-3D07ED76AD1F}"/>
            </c:ext>
          </c:extLst>
        </c:ser>
        <c:ser>
          <c:idx val="141"/>
          <c:order val="141"/>
          <c:spPr>
            <a:ln w="3175">
              <a:solidFill>
                <a:srgbClr val="000000"/>
              </a:solidFill>
              <a:prstDash val="solid"/>
            </a:ln>
          </c:spPr>
          <c:marker>
            <c:symbol val="none"/>
          </c:marker>
          <c:xVal>
            <c:numLit>
              <c:formatCode>General</c:formatCode>
              <c:ptCount val="2"/>
              <c:pt idx="0">
                <c:v>-6.1208981028564446</c:v>
              </c:pt>
              <c:pt idx="1">
                <c:v>-6.4132459193462266</c:v>
              </c:pt>
            </c:numLit>
          </c:xVal>
          <c:yVal>
            <c:numLit>
              <c:formatCode>General</c:formatCode>
              <c:ptCount val="2"/>
              <c:pt idx="0">
                <c:v>1.8606133509740334E-2</c:v>
              </c:pt>
              <c:pt idx="1">
                <c:v>1.8556336370663343E-2</c:v>
              </c:pt>
            </c:numLit>
          </c:yVal>
          <c:smooth val="0"/>
          <c:extLst>
            <c:ext xmlns:c16="http://schemas.microsoft.com/office/drawing/2014/chart" uri="{C3380CC4-5D6E-409C-BE32-E72D297353CC}">
              <c16:uniqueId val="{000000AC-092A-480E-97D5-3D07ED76AD1F}"/>
            </c:ext>
          </c:extLst>
        </c:ser>
        <c:ser>
          <c:idx val="142"/>
          <c:order val="142"/>
          <c:spPr>
            <a:ln w="3175">
              <a:solidFill>
                <a:srgbClr val="000000"/>
              </a:solidFill>
              <a:prstDash val="solid"/>
            </a:ln>
          </c:spPr>
          <c:marker>
            <c:symbol val="none"/>
          </c:marker>
          <c:xVal>
            <c:numLit>
              <c:formatCode>General</c:formatCode>
              <c:ptCount val="2"/>
              <c:pt idx="0">
                <c:v>-6.0548906661909623</c:v>
              </c:pt>
              <c:pt idx="1">
                <c:v>-6.6367574090277168</c:v>
              </c:pt>
            </c:numLit>
          </c:xVal>
          <c:yVal>
            <c:numLit>
              <c:formatCode>General</c:formatCode>
              <c:ptCount val="2"/>
              <c:pt idx="0">
                <c:v>1.8403482795007753E-2</c:v>
              </c:pt>
              <c:pt idx="1">
                <c:v>1.8295203486222371E-2</c:v>
              </c:pt>
            </c:numLit>
          </c:yVal>
          <c:smooth val="0"/>
          <c:extLst>
            <c:ext xmlns:c16="http://schemas.microsoft.com/office/drawing/2014/chart" uri="{C3380CC4-5D6E-409C-BE32-E72D297353CC}">
              <c16:uniqueId val="{000000AD-092A-480E-97D5-3D07ED76AD1F}"/>
            </c:ext>
          </c:extLst>
        </c:ser>
        <c:ser>
          <c:idx val="143"/>
          <c:order val="143"/>
          <c:spPr>
            <a:ln w="3175">
              <a:solidFill>
                <a:srgbClr val="000000"/>
              </a:solidFill>
              <a:prstDash val="solid"/>
            </a:ln>
          </c:spPr>
          <c:marker>
            <c:symbol val="none"/>
          </c:marker>
          <c:xVal>
            <c:numLit>
              <c:formatCode>General</c:formatCode>
              <c:ptCount val="2"/>
              <c:pt idx="0">
                <c:v>-5.969139454636716</c:v>
              </c:pt>
              <c:pt idx="1">
                <c:v>-6.2582353000932178</c:v>
              </c:pt>
            </c:numLit>
          </c:xVal>
          <c:yVal>
            <c:numLit>
              <c:formatCode>General</c:formatCode>
              <c:ptCount val="2"/>
              <c:pt idx="0">
                <c:v>1.8163573931641964E-2</c:v>
              </c:pt>
              <c:pt idx="1">
                <c:v>1.8104293373034291E-2</c:v>
              </c:pt>
            </c:numLit>
          </c:yVal>
          <c:smooth val="0"/>
          <c:extLst>
            <c:ext xmlns:c16="http://schemas.microsoft.com/office/drawing/2014/chart" uri="{C3380CC4-5D6E-409C-BE32-E72D297353CC}">
              <c16:uniqueId val="{000000AE-092A-480E-97D5-3D07ED76AD1F}"/>
            </c:ext>
          </c:extLst>
        </c:ser>
        <c:ser>
          <c:idx val="144"/>
          <c:order val="144"/>
          <c:spPr>
            <a:ln w="3175">
              <a:solidFill>
                <a:srgbClr val="000000"/>
              </a:solidFill>
              <a:prstDash val="solid"/>
            </a:ln>
          </c:spPr>
          <c:marker>
            <c:symbol val="none"/>
          </c:marker>
          <c:xVal>
            <c:numLit>
              <c:formatCode>General</c:formatCode>
              <c:ptCount val="2"/>
              <c:pt idx="0">
                <c:v>-5.8551287645325596</c:v>
              </c:pt>
              <c:pt idx="1">
                <c:v>-6.4284342830125256</c:v>
              </c:pt>
            </c:numLit>
          </c:xVal>
          <c:yVal>
            <c:numLit>
              <c:formatCode>General</c:formatCode>
              <c:ptCount val="2"/>
              <c:pt idx="0">
                <c:v>1.7875666923032288E-2</c:v>
              </c:pt>
              <c:pt idx="1">
                <c:v>1.7744766934019388E-2</c:v>
              </c:pt>
            </c:numLit>
          </c:yVal>
          <c:smooth val="0"/>
          <c:extLst>
            <c:ext xmlns:c16="http://schemas.microsoft.com/office/drawing/2014/chart" uri="{C3380CC4-5D6E-409C-BE32-E72D297353CC}">
              <c16:uniqueId val="{000000AF-092A-480E-97D5-3D07ED76AD1F}"/>
            </c:ext>
          </c:extLst>
        </c:ser>
        <c:ser>
          <c:idx val="145"/>
          <c:order val="145"/>
          <c:spPr>
            <a:ln w="3175">
              <a:solidFill>
                <a:srgbClr val="000000"/>
              </a:solidFill>
              <a:prstDash val="solid"/>
            </a:ln>
          </c:spPr>
          <c:marker>
            <c:symbol val="none"/>
          </c:marker>
          <c:dLbls>
            <c:dLbl>
              <c:idx val="0"/>
              <c:tx>
                <c:rich>
                  <a:bodyPr rot="-10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7000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0-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-7.4794944002257981</c:v>
              </c:pt>
            </c:numLit>
          </c:xVal>
          <c:yVal>
            <c:numLit>
              <c:formatCode>General</c:formatCode>
              <c:ptCount val="1"/>
              <c:pt idx="0">
                <c:v>1.7504783620829068E-2</c:v>
              </c:pt>
            </c:numLit>
          </c:yVal>
          <c:smooth val="0"/>
          <c:extLst>
            <c:ext xmlns:c16="http://schemas.microsoft.com/office/drawing/2014/chart" uri="{C3380CC4-5D6E-409C-BE32-E72D297353CC}">
              <c16:uniqueId val="{000000B1-092A-480E-97D5-3D07ED76AD1F}"/>
            </c:ext>
          </c:extLst>
        </c:ser>
        <c:ser>
          <c:idx val="146"/>
          <c:order val="146"/>
          <c:spPr>
            <a:ln w="3175">
              <a:solidFill>
                <a:srgbClr val="000000"/>
              </a:solidFill>
              <a:prstDash val="solid"/>
            </a:ln>
          </c:spPr>
          <c:marker>
            <c:symbol val="none"/>
          </c:marker>
          <c:xVal>
            <c:numLit>
              <c:formatCode>General</c:formatCode>
              <c:ptCount val="2"/>
              <c:pt idx="0">
                <c:v>-5.7988285531075912</c:v>
              </c:pt>
              <c:pt idx="1">
                <c:v>-6.0842748792456121</c:v>
              </c:pt>
            </c:numLit>
          </c:xVal>
          <c:yVal>
            <c:numLit>
              <c:formatCode>General</c:formatCode>
              <c:ptCount val="2"/>
              <c:pt idx="0">
                <c:v>1.7743895976123102E-2</c:v>
              </c:pt>
              <c:pt idx="1">
                <c:v>1.7675622318468597E-2</c:v>
              </c:pt>
            </c:numLit>
          </c:yVal>
          <c:smooth val="0"/>
          <c:extLst>
            <c:ext xmlns:c16="http://schemas.microsoft.com/office/drawing/2014/chart" uri="{C3380CC4-5D6E-409C-BE32-E72D297353CC}">
              <c16:uniqueId val="{000000B2-092A-480E-97D5-3D07ED76AD1F}"/>
            </c:ext>
          </c:extLst>
        </c:ser>
        <c:ser>
          <c:idx val="147"/>
          <c:order val="147"/>
          <c:spPr>
            <a:ln w="3175">
              <a:solidFill>
                <a:srgbClr val="000000"/>
              </a:solidFill>
              <a:prstDash val="solid"/>
            </a:ln>
          </c:spPr>
          <c:marker>
            <c:symbol val="none"/>
          </c:marker>
          <c:xVal>
            <c:numLit>
              <c:formatCode>General</c:formatCode>
              <c:ptCount val="2"/>
              <c:pt idx="0">
                <c:v>-5.7347616757504305</c:v>
              </c:pt>
              <c:pt idx="1">
                <c:v>-6.0188351402307969</c:v>
              </c:pt>
            </c:numLit>
          </c:xVal>
          <c:yVal>
            <c:numLit>
              <c:formatCode>General</c:formatCode>
              <c:ptCount val="2"/>
              <c:pt idx="0">
                <c:v>1.7600918061456586E-2</c:v>
              </c:pt>
              <c:pt idx="1">
                <c:v>1.7529580591344941E-2</c:v>
              </c:pt>
            </c:numLit>
          </c:yVal>
          <c:smooth val="0"/>
          <c:extLst>
            <c:ext xmlns:c16="http://schemas.microsoft.com/office/drawing/2014/chart" uri="{C3380CC4-5D6E-409C-BE32-E72D297353CC}">
              <c16:uniqueId val="{000000B3-092A-480E-97D5-3D07ED76AD1F}"/>
            </c:ext>
          </c:extLst>
        </c:ser>
        <c:ser>
          <c:idx val="148"/>
          <c:order val="148"/>
          <c:spPr>
            <a:ln w="3175">
              <a:solidFill>
                <a:srgbClr val="000000"/>
              </a:solidFill>
              <a:prstDash val="solid"/>
            </a:ln>
          </c:spPr>
          <c:marker>
            <c:symbol val="none"/>
          </c:marker>
          <c:xVal>
            <c:numLit>
              <c:formatCode>General</c:formatCode>
              <c:ptCount val="2"/>
              <c:pt idx="0">
                <c:v>-5.6614799564344587</c:v>
              </c:pt>
              <c:pt idx="1">
                <c:v>-5.9439830983580544</c:v>
              </c:pt>
            </c:numLit>
          </c:xVal>
          <c:yVal>
            <c:numLit>
              <c:formatCode>General</c:formatCode>
              <c:ptCount val="2"/>
              <c:pt idx="0">
                <c:v>1.7445349228540973E-2</c:v>
              </c:pt>
              <c:pt idx="1">
                <c:v>1.7370678140581138E-2</c:v>
              </c:pt>
            </c:numLit>
          </c:yVal>
          <c:smooth val="0"/>
          <c:extLst>
            <c:ext xmlns:c16="http://schemas.microsoft.com/office/drawing/2014/chart" uri="{C3380CC4-5D6E-409C-BE32-E72D297353CC}">
              <c16:uniqueId val="{000000B4-092A-480E-97D5-3D07ED76AD1F}"/>
            </c:ext>
          </c:extLst>
        </c:ser>
        <c:ser>
          <c:idx val="149"/>
          <c:order val="149"/>
          <c:spPr>
            <a:ln w="3175">
              <a:solidFill>
                <a:srgbClr val="000000"/>
              </a:solidFill>
              <a:prstDash val="solid"/>
            </a:ln>
          </c:spPr>
          <c:marker>
            <c:symbol val="none"/>
          </c:marker>
          <c:xVal>
            <c:numLit>
              <c:formatCode>General</c:formatCode>
              <c:ptCount val="2"/>
              <c:pt idx="0">
                <c:v>-5.5771951197065643</c:v>
              </c:pt>
              <c:pt idx="1">
                <c:v>-5.8578921579859919</c:v>
              </c:pt>
            </c:numLit>
          </c:xVal>
          <c:yVal>
            <c:numLit>
              <c:formatCode>General</c:formatCode>
              <c:ptCount val="2"/>
              <c:pt idx="0">
                <c:v>1.7275593374812867E-2</c:v>
              </c:pt>
              <c:pt idx="1">
                <c:v>1.7197284661415999E-2</c:v>
              </c:pt>
            </c:numLit>
          </c:yVal>
          <c:smooth val="0"/>
          <c:extLst>
            <c:ext xmlns:c16="http://schemas.microsoft.com/office/drawing/2014/chart" uri="{C3380CC4-5D6E-409C-BE32-E72D297353CC}">
              <c16:uniqueId val="{000000B5-092A-480E-97D5-3D07ED76AD1F}"/>
            </c:ext>
          </c:extLst>
        </c:ser>
        <c:ser>
          <c:idx val="150"/>
          <c:order val="150"/>
          <c:spPr>
            <a:ln w="3175">
              <a:solidFill>
                <a:srgbClr val="000000"/>
              </a:solidFill>
              <a:prstDash val="solid"/>
            </a:ln>
          </c:spPr>
          <c:marker>
            <c:symbol val="none"/>
          </c:marker>
          <c:xVal>
            <c:numLit>
              <c:formatCode>General</c:formatCode>
              <c:ptCount val="2"/>
              <c:pt idx="0">
                <c:v>-5.4796832004534721</c:v>
              </c:pt>
              <c:pt idx="1">
                <c:v>-6.0368981947586198</c:v>
              </c:pt>
            </c:numLit>
          </c:xVal>
          <c:yVal>
            <c:numLit>
              <c:formatCode>General</c:formatCode>
              <c:ptCount val="2"/>
              <c:pt idx="0">
                <c:v>1.7089808191527837E-2</c:v>
              </c:pt>
              <c:pt idx="1">
                <c:v>1.6925228542593318E-2</c:v>
              </c:pt>
            </c:numLit>
          </c:yVal>
          <c:smooth val="0"/>
          <c:extLst>
            <c:ext xmlns:c16="http://schemas.microsoft.com/office/drawing/2014/chart" uri="{C3380CC4-5D6E-409C-BE32-E72D297353CC}">
              <c16:uniqueId val="{000000B6-092A-480E-97D5-3D07ED76AD1F}"/>
            </c:ext>
          </c:extLst>
        </c:ser>
        <c:ser>
          <c:idx val="151"/>
          <c:order val="151"/>
          <c:spPr>
            <a:ln w="3175">
              <a:solidFill>
                <a:srgbClr val="000000"/>
              </a:solidFill>
              <a:prstDash val="solid"/>
            </a:ln>
          </c:spPr>
          <c:marker>
            <c:symbol val="none"/>
          </c:marker>
          <c:dLbls>
            <c:dLbl>
              <c:idx val="0"/>
              <c:tx>
                <c:rich>
                  <a:bodyPr rot="-13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6000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7-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-7.0584590176513924</c:v>
              </c:pt>
            </c:numLit>
          </c:xVal>
          <c:yVal>
            <c:numLit>
              <c:formatCode>General</c:formatCode>
              <c:ptCount val="1"/>
              <c:pt idx="0">
                <c:v>1.6623499186213361E-2</c:v>
              </c:pt>
            </c:numLit>
          </c:yVal>
          <c:smooth val="0"/>
          <c:extLst>
            <c:ext xmlns:c16="http://schemas.microsoft.com/office/drawing/2014/chart" uri="{C3380CC4-5D6E-409C-BE32-E72D297353CC}">
              <c16:uniqueId val="{000000B8-092A-480E-97D5-3D07ED76AD1F}"/>
            </c:ext>
          </c:extLst>
        </c:ser>
        <c:ser>
          <c:idx val="152"/>
          <c:order val="152"/>
          <c:spPr>
            <a:ln w="3175">
              <a:solidFill>
                <a:srgbClr val="000000"/>
              </a:solidFill>
              <a:prstDash val="solid"/>
            </a:ln>
          </c:spPr>
          <c:marker>
            <c:symbol val="none"/>
          </c:marker>
          <c:xVal>
            <c:numLit>
              <c:formatCode>General</c:formatCode>
              <c:ptCount val="2"/>
              <c:pt idx="0">
                <c:v>-5.4251226750385708</c:v>
              </c:pt>
              <c:pt idx="1">
                <c:v>-5.7025610180751114</c:v>
              </c:pt>
            </c:numLit>
          </c:xVal>
          <c:yVal>
            <c:numLit>
              <c:formatCode>General</c:formatCode>
              <c:ptCount val="2"/>
              <c:pt idx="0">
                <c:v>1.6990252446736603E-2</c:v>
              </c:pt>
              <c:pt idx="1">
                <c:v>1.6905829284880956E-2</c:v>
              </c:pt>
            </c:numLit>
          </c:yVal>
          <c:smooth val="0"/>
          <c:extLst>
            <c:ext xmlns:c16="http://schemas.microsoft.com/office/drawing/2014/chart" uri="{C3380CC4-5D6E-409C-BE32-E72D297353CC}">
              <c16:uniqueId val="{000000B9-092A-480E-97D5-3D07ED76AD1F}"/>
            </c:ext>
          </c:extLst>
        </c:ser>
        <c:ser>
          <c:idx val="153"/>
          <c:order val="153"/>
          <c:spPr>
            <a:ln w="3175">
              <a:solidFill>
                <a:srgbClr val="000000"/>
              </a:solidFill>
              <a:prstDash val="solid"/>
            </a:ln>
          </c:spPr>
          <c:marker>
            <c:symbol val="none"/>
          </c:marker>
          <c:xVal>
            <c:numLit>
              <c:formatCode>General</c:formatCode>
              <c:ptCount val="2"/>
              <c:pt idx="0">
                <c:v>-5.3661582607451805</c:v>
              </c:pt>
              <c:pt idx="1">
                <c:v>-5.6423330806182914</c:v>
              </c:pt>
            </c:numLit>
          </c:xVal>
          <c:yVal>
            <c:numLit>
              <c:formatCode>General</c:formatCode>
              <c:ptCount val="2"/>
              <c:pt idx="0">
                <c:v>1.6885867994288942E-2</c:v>
              </c:pt>
              <c:pt idx="1">
                <c:v>1.6799208022737992E-2</c:v>
              </c:pt>
            </c:numLit>
          </c:yVal>
          <c:smooth val="0"/>
          <c:extLst>
            <c:ext xmlns:c16="http://schemas.microsoft.com/office/drawing/2014/chart" uri="{C3380CC4-5D6E-409C-BE32-E72D297353CC}">
              <c16:uniqueId val="{000000BA-092A-480E-97D5-3D07ED76AD1F}"/>
            </c:ext>
          </c:extLst>
        </c:ser>
        <c:ser>
          <c:idx val="154"/>
          <c:order val="154"/>
          <c:spPr>
            <a:ln w="3175">
              <a:solidFill>
                <a:srgbClr val="000000"/>
              </a:solidFill>
              <a:prstDash val="solid"/>
            </a:ln>
          </c:spPr>
          <c:marker>
            <c:symbol val="none"/>
          </c:marker>
          <c:xVal>
            <c:numLit>
              <c:formatCode>General</c:formatCode>
              <c:ptCount val="2"/>
              <c:pt idx="0">
                <c:v>-5.3023264552641391</c:v>
              </c:pt>
              <c:pt idx="1">
                <c:v>-5.5771334507340855</c:v>
              </c:pt>
            </c:numLit>
          </c:xVal>
          <c:yVal>
            <c:numLit>
              <c:formatCode>General</c:formatCode>
              <c:ptCount val="2"/>
              <c:pt idx="0">
                <c:v>1.677633856600267E-2</c:v>
              </c:pt>
              <c:pt idx="1">
                <c:v>1.6687331535274155E-2</c:v>
              </c:pt>
            </c:numLit>
          </c:yVal>
          <c:smooth val="0"/>
          <c:extLst>
            <c:ext xmlns:c16="http://schemas.microsoft.com/office/drawing/2014/chart" uri="{C3380CC4-5D6E-409C-BE32-E72D297353CC}">
              <c16:uniqueId val="{000000BB-092A-480E-97D5-3D07ED76AD1F}"/>
            </c:ext>
          </c:extLst>
        </c:ser>
        <c:ser>
          <c:idx val="155"/>
          <c:order val="155"/>
          <c:spPr>
            <a:ln w="3175">
              <a:solidFill>
                <a:srgbClr val="000000"/>
              </a:solidFill>
              <a:prstDash val="solid"/>
            </a:ln>
          </c:spPr>
          <c:marker>
            <c:symbol val="none"/>
          </c:marker>
          <c:xVal>
            <c:numLit>
              <c:formatCode>General</c:formatCode>
              <c:ptCount val="2"/>
              <c:pt idx="0">
                <c:v>-5.2331047854998651</c:v>
              </c:pt>
              <c:pt idx="1">
                <c:v>-5.5064284594748631</c:v>
              </c:pt>
            </c:numLit>
          </c:xVal>
          <c:yVal>
            <c:numLit>
              <c:formatCode>General</c:formatCode>
              <c:ptCount val="2"/>
              <c:pt idx="0">
                <c:v>1.6661325544174033E-2</c:v>
              </c:pt>
              <c:pt idx="1">
                <c:v>1.6569853948692048E-2</c:v>
              </c:pt>
            </c:numLit>
          </c:yVal>
          <c:smooth val="0"/>
          <c:extLst>
            <c:ext xmlns:c16="http://schemas.microsoft.com/office/drawing/2014/chart" uri="{C3380CC4-5D6E-409C-BE32-E72D297353CC}">
              <c16:uniqueId val="{000000BC-092A-480E-97D5-3D07ED76AD1F}"/>
            </c:ext>
          </c:extLst>
        </c:ser>
        <c:ser>
          <c:idx val="156"/>
          <c:order val="156"/>
          <c:spPr>
            <a:ln w="3175">
              <a:solidFill>
                <a:srgbClr val="000000"/>
              </a:solidFill>
              <a:prstDash val="solid"/>
            </a:ln>
          </c:spPr>
          <c:marker>
            <c:symbol val="none"/>
          </c:marker>
          <c:xVal>
            <c:numLit>
              <c:formatCode>General</c:formatCode>
              <c:ptCount val="2"/>
              <c:pt idx="0">
                <c:v>-5.1579032706065853</c:v>
              </c:pt>
              <c:pt idx="1">
                <c:v>-5.7013276964897246</c:v>
              </c:pt>
            </c:numLit>
          </c:xVal>
          <c:yVal>
            <c:numLit>
              <c:formatCode>General</c:formatCode>
              <c:ptCount val="2"/>
              <c:pt idx="0">
                <c:v>1.6540467071496829E-2</c:v>
              </c:pt>
              <c:pt idx="1">
                <c:v>1.6352344231703834E-2</c:v>
              </c:pt>
            </c:numLit>
          </c:yVal>
          <c:smooth val="0"/>
          <c:extLst>
            <c:ext xmlns:c16="http://schemas.microsoft.com/office/drawing/2014/chart" uri="{C3380CC4-5D6E-409C-BE32-E72D297353CC}">
              <c16:uniqueId val="{000000BD-092A-480E-97D5-3D07ED76AD1F}"/>
            </c:ext>
          </c:extLst>
        </c:ser>
        <c:ser>
          <c:idx val="157"/>
          <c:order val="157"/>
          <c:spPr>
            <a:ln w="3175">
              <a:solidFill>
                <a:srgbClr val="000000"/>
              </a:solidFill>
              <a:prstDash val="solid"/>
            </a:ln>
          </c:spPr>
          <c:marker>
            <c:symbol val="none"/>
          </c:marker>
          <c:dLbls>
            <c:dLbl>
              <c:idx val="0"/>
              <c:tx>
                <c:rich>
                  <a:bodyPr rot="-15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E-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-6.6976058106088132</c:v>
              </c:pt>
            </c:numLit>
          </c:xVal>
          <c:yVal>
            <c:numLit>
              <c:formatCode>General</c:formatCode>
              <c:ptCount val="1"/>
              <c:pt idx="0">
                <c:v>1.6007452358750014E-2</c:v>
              </c:pt>
            </c:numLit>
          </c:yVal>
          <c:smooth val="0"/>
          <c:extLst>
            <c:ext xmlns:c16="http://schemas.microsoft.com/office/drawing/2014/chart" uri="{C3380CC4-5D6E-409C-BE32-E72D297353CC}">
              <c16:uniqueId val="{000000BF-092A-480E-97D5-3D07ED76AD1F}"/>
            </c:ext>
          </c:extLst>
        </c:ser>
        <c:ser>
          <c:idx val="158"/>
          <c:order val="158"/>
          <c:spPr>
            <a:ln w="3175">
              <a:solidFill>
                <a:srgbClr val="000000"/>
              </a:solidFill>
              <a:prstDash val="solid"/>
            </a:ln>
          </c:spPr>
          <c:marker>
            <c:symbol val="none"/>
          </c:marker>
          <c:xVal>
            <c:numLit>
              <c:formatCode>General</c:formatCode>
              <c:ptCount val="2"/>
              <c:pt idx="0">
                <c:v>-5.0760545707644287</c:v>
              </c:pt>
              <c:pt idx="1">
                <c:v>-5.3460128829950957</c:v>
              </c:pt>
            </c:numLit>
          </c:xVal>
          <c:yVal>
            <c:numLit>
              <c:formatCode>General</c:formatCode>
              <c:ptCount val="2"/>
              <c:pt idx="0">
                <c:v>1.6413377441842833E-2</c:v>
              </c:pt>
              <c:pt idx="1">
                <c:v>1.6316592672739466E-2</c:v>
              </c:pt>
            </c:numLit>
          </c:yVal>
          <c:smooth val="0"/>
          <c:extLst>
            <c:ext xmlns:c16="http://schemas.microsoft.com/office/drawing/2014/chart" uri="{C3380CC4-5D6E-409C-BE32-E72D297353CC}">
              <c16:uniqueId val="{000000C0-092A-480E-97D5-3D07ED76AD1F}"/>
            </c:ext>
          </c:extLst>
        </c:ser>
        <c:ser>
          <c:idx val="159"/>
          <c:order val="159"/>
          <c:spPr>
            <a:ln w="3175">
              <a:solidFill>
                <a:srgbClr val="000000"/>
              </a:solidFill>
              <a:prstDash val="solid"/>
            </a:ln>
          </c:spPr>
          <c:marker>
            <c:symbol val="none"/>
          </c:marker>
          <c:xVal>
            <c:numLit>
              <c:formatCode>General</c:formatCode>
              <c:ptCount val="2"/>
              <c:pt idx="0">
                <c:v>-4.9868026312391578</c:v>
              </c:pt>
              <c:pt idx="1">
                <c:v>-5.2548484019085686</c:v>
              </c:pt>
            </c:numLit>
          </c:xVal>
          <c:yVal>
            <c:numLit>
              <c:formatCode>General</c:formatCode>
              <c:ptCount val="2"/>
              <c:pt idx="0">
                <c:v>1.6279646915363419E-2</c:v>
              </c:pt>
              <c:pt idx="1">
                <c:v>1.6179996492121203E-2</c:v>
              </c:pt>
            </c:numLit>
          </c:yVal>
          <c:smooth val="0"/>
          <c:extLst>
            <c:ext xmlns:c16="http://schemas.microsoft.com/office/drawing/2014/chart" uri="{C3380CC4-5D6E-409C-BE32-E72D297353CC}">
              <c16:uniqueId val="{000000C1-092A-480E-97D5-3D07ED76AD1F}"/>
            </c:ext>
          </c:extLst>
        </c:ser>
        <c:ser>
          <c:idx val="160"/>
          <c:order val="160"/>
          <c:spPr>
            <a:ln w="3175">
              <a:solidFill>
                <a:srgbClr val="000000"/>
              </a:solidFill>
              <a:prstDash val="solid"/>
            </a:ln>
          </c:spPr>
          <c:marker>
            <c:symbol val="none"/>
          </c:marker>
          <c:xVal>
            <c:numLit>
              <c:formatCode>General</c:formatCode>
              <c:ptCount val="2"/>
              <c:pt idx="0">
                <c:v>-4.889289615730835</c:v>
              </c:pt>
              <c:pt idx="1">
                <c:v>-5.155245821782211</c:v>
              </c:pt>
            </c:numLit>
          </c:xVal>
          <c:yVal>
            <c:numLit>
              <c:formatCode>General</c:formatCode>
              <c:ptCount val="2"/>
              <c:pt idx="0">
                <c:v>1.6138842151410121E-2</c:v>
              </c:pt>
              <c:pt idx="1">
                <c:v>1.6036174483226053E-2</c:v>
              </c:pt>
            </c:numLit>
          </c:yVal>
          <c:smooth val="0"/>
          <c:extLst>
            <c:ext xmlns:c16="http://schemas.microsoft.com/office/drawing/2014/chart" uri="{C3380CC4-5D6E-409C-BE32-E72D297353CC}">
              <c16:uniqueId val="{000000C2-092A-480E-97D5-3D07ED76AD1F}"/>
            </c:ext>
          </c:extLst>
        </c:ser>
        <c:ser>
          <c:idx val="161"/>
          <c:order val="161"/>
          <c:spPr>
            <a:ln w="3175">
              <a:solidFill>
                <a:srgbClr val="000000"/>
              </a:solidFill>
              <a:prstDash val="solid"/>
            </a:ln>
          </c:spPr>
          <c:marker>
            <c:symbol val="none"/>
          </c:marker>
          <c:xVal>
            <c:numLit>
              <c:formatCode>General</c:formatCode>
              <c:ptCount val="2"/>
              <c:pt idx="0">
                <c:v>-4.7825409137469856</c:v>
              </c:pt>
              <c:pt idx="1">
                <c:v>-5.0462096476129927</c:v>
              </c:pt>
            </c:numLit>
          </c:xVal>
          <c:yVal>
            <c:numLit>
              <c:formatCode>General</c:formatCode>
              <c:ptCount val="2"/>
              <c:pt idx="0">
                <c:v>1.599050751826438E-2</c:v>
              </c:pt>
              <c:pt idx="1">
                <c:v>1.5884661250798619E-2</c:v>
              </c:pt>
            </c:numLit>
          </c:yVal>
          <c:smooth val="0"/>
          <c:extLst>
            <c:ext xmlns:c16="http://schemas.microsoft.com/office/drawing/2014/chart" uri="{C3380CC4-5D6E-409C-BE32-E72D297353CC}">
              <c16:uniqueId val="{000000C3-092A-480E-97D5-3D07ED76AD1F}"/>
            </c:ext>
          </c:extLst>
        </c:ser>
        <c:ser>
          <c:idx val="162"/>
          <c:order val="162"/>
          <c:spPr>
            <a:ln w="3175">
              <a:solidFill>
                <a:srgbClr val="000000"/>
              </a:solidFill>
              <a:prstDash val="solid"/>
            </a:ln>
          </c:spPr>
          <c:marker>
            <c:symbol val="none"/>
          </c:marker>
          <c:xVal>
            <c:numLit>
              <c:formatCode>General</c:formatCode>
              <c:ptCount val="2"/>
              <c:pt idx="0">
                <c:v>-4.6654480091532298</c:v>
              </c:pt>
              <c:pt idx="1">
                <c:v>-5.1877672095455107</c:v>
              </c:pt>
            </c:numLit>
          </c:xVal>
          <c:yVal>
            <c:numLit>
              <c:formatCode>General</c:formatCode>
              <c:ptCount val="2"/>
              <c:pt idx="0">
                <c:v>1.5834167623770514E-2</c:v>
              </c:pt>
              <c:pt idx="1">
                <c:v>1.5615774807646391E-2</c:v>
              </c:pt>
            </c:numLit>
          </c:yVal>
          <c:smooth val="0"/>
          <c:extLst>
            <c:ext xmlns:c16="http://schemas.microsoft.com/office/drawing/2014/chart" uri="{C3380CC4-5D6E-409C-BE32-E72D297353CC}">
              <c16:uniqueId val="{000000C4-092A-480E-97D5-3D07ED76AD1F}"/>
            </c:ext>
          </c:extLst>
        </c:ser>
        <c:ser>
          <c:idx val="163"/>
          <c:order val="163"/>
          <c:spPr>
            <a:ln w="3175">
              <a:solidFill>
                <a:srgbClr val="000000"/>
              </a:solidFill>
              <a:prstDash val="solid"/>
            </a:ln>
          </c:spPr>
          <c:marker>
            <c:symbol val="none"/>
          </c:marker>
          <c:dLbls>
            <c:dLbl>
              <c:idx val="0"/>
              <c:tx>
                <c:rich>
                  <a:bodyPr rot="-17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5-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-6.1453524102646933</c:v>
              </c:pt>
            </c:numLit>
          </c:xVal>
          <c:yVal>
            <c:numLit>
              <c:formatCode>General</c:formatCode>
              <c:ptCount val="1"/>
              <c:pt idx="0">
                <c:v>1.5215387978085504E-2</c:v>
              </c:pt>
            </c:numLit>
          </c:yVal>
          <c:smooth val="0"/>
          <c:extLst>
            <c:ext xmlns:c16="http://schemas.microsoft.com/office/drawing/2014/chart" uri="{C3380CC4-5D6E-409C-BE32-E72D297353CC}">
              <c16:uniqueId val="{000000C6-092A-480E-97D5-3D07ED76AD1F}"/>
            </c:ext>
          </c:extLst>
        </c:ser>
        <c:ser>
          <c:idx val="164"/>
          <c:order val="164"/>
          <c:spPr>
            <a:ln w="3175">
              <a:solidFill>
                <a:srgbClr val="000000"/>
              </a:solidFill>
              <a:prstDash val="solid"/>
            </a:ln>
          </c:spPr>
          <c:marker>
            <c:symbol val="none"/>
          </c:marker>
          <c:xVal>
            <c:numLit>
              <c:formatCode>General</c:formatCode>
              <c:ptCount val="2"/>
              <c:pt idx="0">
                <c:v>-4.5367490194500562</c:v>
              </c:pt>
              <c:pt idx="1">
                <c:v>-4.7951507841525576</c:v>
              </c:pt>
            </c:numLit>
          </c:xVal>
          <c:yVal>
            <c:numLit>
              <c:formatCode>General</c:formatCode>
              <c:ptCount val="2"/>
              <c:pt idx="0">
                <c:v>1.5669331520569488E-2</c:v>
              </c:pt>
              <c:pt idx="1">
                <c:v>1.5556602910295978E-2</c:v>
              </c:pt>
            </c:numLit>
          </c:yVal>
          <c:smooth val="0"/>
          <c:extLst>
            <c:ext xmlns:c16="http://schemas.microsoft.com/office/drawing/2014/chart" uri="{C3380CC4-5D6E-409C-BE32-E72D297353CC}">
              <c16:uniqueId val="{000000C7-092A-480E-97D5-3D07ED76AD1F}"/>
            </c:ext>
          </c:extLst>
        </c:ser>
        <c:ser>
          <c:idx val="165"/>
          <c:order val="165"/>
          <c:spPr>
            <a:ln w="3175">
              <a:solidFill>
                <a:srgbClr val="000000"/>
              </a:solidFill>
              <a:prstDash val="solid"/>
            </a:ln>
          </c:spPr>
          <c:marker>
            <c:symbol val="none"/>
          </c:marker>
          <c:xVal>
            <c:numLit>
              <c:formatCode>General</c:formatCode>
              <c:ptCount val="2"/>
              <c:pt idx="0">
                <c:v>-4.3950067701211761</c:v>
              </c:pt>
              <c:pt idx="1">
                <c:v>-4.650371200909488</c:v>
              </c:pt>
            </c:numLit>
          </c:xVal>
          <c:yVal>
            <c:numLit>
              <c:formatCode>General</c:formatCode>
              <c:ptCount val="2"/>
              <c:pt idx="0">
                <c:v>1.5495499179174118E-2</c:v>
              </c:pt>
              <c:pt idx="1">
                <c:v>1.5379045590156421E-2</c:v>
              </c:pt>
            </c:numLit>
          </c:yVal>
          <c:smooth val="0"/>
          <c:extLst>
            <c:ext xmlns:c16="http://schemas.microsoft.com/office/drawing/2014/chart" uri="{C3380CC4-5D6E-409C-BE32-E72D297353CC}">
              <c16:uniqueId val="{000000C8-092A-480E-97D5-3D07ED76AD1F}"/>
            </c:ext>
          </c:extLst>
        </c:ser>
        <c:ser>
          <c:idx val="166"/>
          <c:order val="166"/>
          <c:spPr>
            <a:ln w="3175">
              <a:solidFill>
                <a:srgbClr val="000000"/>
              </a:solidFill>
              <a:prstDash val="solid"/>
            </a:ln>
          </c:spPr>
          <c:marker>
            <c:symbol val="none"/>
          </c:marker>
          <c:xVal>
            <c:numLit>
              <c:formatCode>General</c:formatCode>
              <c:ptCount val="2"/>
              <c:pt idx="0">
                <c:v>-4.2385843738412259</c:v>
              </c:pt>
              <c:pt idx="1">
                <c:v>-4.4905968961378235</c:v>
              </c:pt>
            </c:numLit>
          </c:xVal>
          <c:yVal>
            <c:numLit>
              <c:formatCode>General</c:formatCode>
              <c:ptCount val="2"/>
              <c:pt idx="0">
                <c:v>1.5312170997110987E-2</c:v>
              </c:pt>
              <c:pt idx="1">
                <c:v>1.5191788947049081E-2</c:v>
              </c:pt>
            </c:numLit>
          </c:yVal>
          <c:smooth val="0"/>
          <c:extLst>
            <c:ext xmlns:c16="http://schemas.microsoft.com/office/drawing/2014/chart" uri="{C3380CC4-5D6E-409C-BE32-E72D297353CC}">
              <c16:uniqueId val="{000000C9-092A-480E-97D5-3D07ED76AD1F}"/>
            </c:ext>
          </c:extLst>
        </c:ser>
        <c:ser>
          <c:idx val="167"/>
          <c:order val="167"/>
          <c:spPr>
            <a:ln w="3175">
              <a:solidFill>
                <a:srgbClr val="000000"/>
              </a:solidFill>
              <a:prstDash val="solid"/>
            </a:ln>
          </c:spPr>
          <c:marker>
            <c:symbol val="none"/>
          </c:marker>
          <c:xVal>
            <c:numLit>
              <c:formatCode>General</c:formatCode>
              <c:ptCount val="2"/>
              <c:pt idx="0">
                <c:v>-4.0656184666577015</c:v>
              </c:pt>
              <c:pt idx="1">
                <c:v>-4.3139245766575094</c:v>
              </c:pt>
            </c:numLit>
          </c:xVal>
          <c:yVal>
            <c:numLit>
              <c:formatCode>General</c:formatCode>
              <c:ptCount val="2"/>
              <c:pt idx="0">
                <c:v>1.5118861327289309E-2</c:v>
              </c:pt>
              <c:pt idx="1">
                <c:v>1.4994336927159794E-2</c:v>
              </c:pt>
            </c:numLit>
          </c:yVal>
          <c:smooth val="0"/>
          <c:extLst>
            <c:ext xmlns:c16="http://schemas.microsoft.com/office/drawing/2014/chart" uri="{C3380CC4-5D6E-409C-BE32-E72D297353CC}">
              <c16:uniqueId val="{000000CA-092A-480E-97D5-3D07ED76AD1F}"/>
            </c:ext>
          </c:extLst>
        </c:ser>
        <c:ser>
          <c:idx val="168"/>
          <c:order val="168"/>
          <c:spPr>
            <a:ln w="3175">
              <a:solidFill>
                <a:srgbClr val="000000"/>
              </a:solidFill>
              <a:prstDash val="solid"/>
            </a:ln>
          </c:spPr>
          <c:marker>
            <c:symbol val="none"/>
          </c:marker>
          <c:xVal>
            <c:numLit>
              <c:formatCode>General</c:formatCode>
              <c:ptCount val="2"/>
              <c:pt idx="0">
                <c:v>-3.8739905493226741</c:v>
              </c:pt>
              <c:pt idx="1">
                <c:v>-4.3623901442936459</c:v>
              </c:pt>
            </c:numLit>
          </c:xVal>
          <c:yVal>
            <c:numLit>
              <c:formatCode>General</c:formatCode>
              <c:ptCount val="2"/>
              <c:pt idx="0">
                <c:v>1.4915117265152884E-2</c:v>
              </c:pt>
              <c:pt idx="1">
                <c:v>1.4657336576516579E-2</c:v>
              </c:pt>
            </c:numLit>
          </c:yVal>
          <c:smooth val="0"/>
          <c:extLst>
            <c:ext xmlns:c16="http://schemas.microsoft.com/office/drawing/2014/chart" uri="{C3380CC4-5D6E-409C-BE32-E72D297353CC}">
              <c16:uniqueId val="{000000CB-092A-480E-97D5-3D07ED76AD1F}"/>
            </c:ext>
          </c:extLst>
        </c:ser>
        <c:ser>
          <c:idx val="169"/>
          <c:order val="169"/>
          <c:spPr>
            <a:ln w="3175">
              <a:solidFill>
                <a:srgbClr val="000000"/>
              </a:solidFill>
              <a:prstDash val="solid"/>
            </a:ln>
          </c:spPr>
          <c:marker>
            <c:symbol val="none"/>
          </c:marker>
          <c:dLbls>
            <c:dLbl>
              <c:idx val="0"/>
              <c:tx>
                <c:rich>
                  <a:bodyPr rot="-21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C-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-5.2577894017404265</c:v>
              </c:pt>
            </c:numLit>
          </c:xVal>
          <c:yVal>
            <c:numLit>
              <c:formatCode>General</c:formatCode>
              <c:ptCount val="1"/>
              <c:pt idx="0">
                <c:v>1.418473864735002E-2</c:v>
              </c:pt>
            </c:numLit>
          </c:yVal>
          <c:smooth val="0"/>
          <c:extLst>
            <c:ext xmlns:c16="http://schemas.microsoft.com/office/drawing/2014/chart" uri="{C3380CC4-5D6E-409C-BE32-E72D297353CC}">
              <c16:uniqueId val="{000000CD-092A-480E-97D5-3D07ED76AD1F}"/>
            </c:ext>
          </c:extLst>
        </c:ser>
        <c:ser>
          <c:idx val="170"/>
          <c:order val="170"/>
          <c:spPr>
            <a:ln w="3175">
              <a:solidFill>
                <a:srgbClr val="000000"/>
              </a:solidFill>
              <a:prstDash val="solid"/>
            </a:ln>
          </c:spPr>
          <c:marker>
            <c:symbol val="none"/>
          </c:marker>
          <c:xVal>
            <c:numLit>
              <c:formatCode>General</c:formatCode>
              <c:ptCount val="2"/>
              <c:pt idx="0">
                <c:v>-3.7704392439481627</c:v>
              </c:pt>
              <c:pt idx="1">
                <c:v>-4.0124200848899099</c:v>
              </c:pt>
            </c:numLit>
          </c:xVal>
          <c:yVal>
            <c:numLit>
              <c:formatCode>General</c:formatCode>
              <c:ptCount val="2"/>
              <c:pt idx="0">
                <c:v>1.4809205883937578E-2</c:v>
              </c:pt>
              <c:pt idx="1">
                <c:v>1.4678046010021956E-2</c:v>
              </c:pt>
            </c:numLit>
          </c:yVal>
          <c:smooth val="0"/>
          <c:extLst>
            <c:ext xmlns:c16="http://schemas.microsoft.com/office/drawing/2014/chart" uri="{C3380CC4-5D6E-409C-BE32-E72D297353CC}">
              <c16:uniqueId val="{000000CE-092A-480E-97D5-3D07ED76AD1F}"/>
            </c:ext>
          </c:extLst>
        </c:ser>
        <c:ser>
          <c:idx val="171"/>
          <c:order val="171"/>
          <c:spPr>
            <a:ln w="3175">
              <a:solidFill>
                <a:srgbClr val="000000"/>
              </a:solidFill>
              <a:prstDash val="solid"/>
            </a:ln>
          </c:spPr>
          <c:marker>
            <c:symbol val="none"/>
          </c:marker>
          <c:xVal>
            <c:numLit>
              <c:formatCode>General</c:formatCode>
              <c:ptCount val="2"/>
              <c:pt idx="0">
                <c:v>-3.6612973419810073</c:v>
              </c:pt>
              <c:pt idx="1">
                <c:v>-4.1405815137801936</c:v>
              </c:pt>
            </c:numLit>
          </c:xVal>
          <c:yVal>
            <c:numLit>
              <c:formatCode>General</c:formatCode>
              <c:ptCount val="2"/>
              <c:pt idx="0">
                <c:v>1.4700544227002829E-2</c:v>
              </c:pt>
              <c:pt idx="1">
                <c:v>1.4433567551017237E-2</c:v>
              </c:pt>
            </c:numLit>
          </c:yVal>
          <c:smooth val="0"/>
          <c:extLst>
            <c:ext xmlns:c16="http://schemas.microsoft.com/office/drawing/2014/chart" uri="{C3380CC4-5D6E-409C-BE32-E72D297353CC}">
              <c16:uniqueId val="{000000CF-092A-480E-97D5-3D07ED76AD1F}"/>
            </c:ext>
          </c:extLst>
        </c:ser>
        <c:ser>
          <c:idx val="172"/>
          <c:order val="172"/>
          <c:spPr>
            <a:ln w="3175">
              <a:solidFill>
                <a:srgbClr val="000000"/>
              </a:solidFill>
              <a:prstDash val="solid"/>
            </a:ln>
          </c:spPr>
          <c:marker>
            <c:symbol val="none"/>
          </c:marker>
          <c:xVal>
            <c:numLit>
              <c:formatCode>General</c:formatCode>
              <c:ptCount val="2"/>
              <c:pt idx="0">
                <c:v>-3.5462151642748525</c:v>
              </c:pt>
              <c:pt idx="1">
                <c:v>-3.7833912035093142</c:v>
              </c:pt>
            </c:numLit>
          </c:xVal>
          <c:yVal>
            <c:numLit>
              <c:formatCode>General</c:formatCode>
              <c:ptCount val="2"/>
              <c:pt idx="0">
                <c:v>1.4589097690626144E-2</c:v>
              </c:pt>
              <c:pt idx="1">
                <c:v>1.4453221212568132E-2</c:v>
              </c:pt>
            </c:numLit>
          </c:yVal>
          <c:smooth val="0"/>
          <c:extLst>
            <c:ext xmlns:c16="http://schemas.microsoft.com/office/drawing/2014/chart" uri="{C3380CC4-5D6E-409C-BE32-E72D297353CC}">
              <c16:uniqueId val="{000000D0-092A-480E-97D5-3D07ED76AD1F}"/>
            </c:ext>
          </c:extLst>
        </c:ser>
        <c:ser>
          <c:idx val="173"/>
          <c:order val="173"/>
          <c:spPr>
            <a:ln w="3175">
              <a:solidFill>
                <a:srgbClr val="000000"/>
              </a:solidFill>
              <a:prstDash val="solid"/>
            </a:ln>
          </c:spPr>
          <c:marker>
            <c:symbol val="none"/>
          </c:marker>
          <c:xVal>
            <c:numLit>
              <c:formatCode>General</c:formatCode>
              <c:ptCount val="2"/>
              <c:pt idx="0">
                <c:v>-3.4248217502543765</c:v>
              </c:pt>
              <c:pt idx="1">
                <c:v>-3.8939712538367064</c:v>
              </c:pt>
            </c:numLit>
          </c:xVal>
          <c:yVal>
            <c:numLit>
              <c:formatCode>General</c:formatCode>
              <c:ptCount val="2"/>
              <c:pt idx="0">
                <c:v>1.4474840163683531E-2</c:v>
              </c:pt>
              <c:pt idx="1">
                <c:v>1.4198190456412825E-2</c:v>
              </c:pt>
            </c:numLit>
          </c:yVal>
          <c:smooth val="0"/>
          <c:extLst>
            <c:ext xmlns:c16="http://schemas.microsoft.com/office/drawing/2014/chart" uri="{C3380CC4-5D6E-409C-BE32-E72D297353CC}">
              <c16:uniqueId val="{000000D1-092A-480E-97D5-3D07ED76AD1F}"/>
            </c:ext>
          </c:extLst>
        </c:ser>
        <c:ser>
          <c:idx val="174"/>
          <c:order val="174"/>
          <c:spPr>
            <a:ln w="3175">
              <a:solidFill>
                <a:srgbClr val="000000"/>
              </a:solidFill>
              <a:prstDash val="solid"/>
            </a:ln>
          </c:spPr>
          <c:marker>
            <c:symbol val="none"/>
          </c:marker>
          <c:xVal>
            <c:numLit>
              <c:formatCode>General</c:formatCode>
              <c:ptCount val="2"/>
              <c:pt idx="0">
                <c:v>-3.2967241795418643</c:v>
              </c:pt>
              <c:pt idx="1">
                <c:v>-3.5285539833891901</c:v>
              </c:pt>
            </c:numLit>
          </c:xVal>
          <c:yVal>
            <c:numLit>
              <c:formatCode>General</c:formatCode>
              <c:ptCount val="2"/>
              <c:pt idx="0">
                <c:v>1.4357755721848364E-2</c:v>
              </c:pt>
              <c:pt idx="1">
                <c:v>1.421692191588797E-2</c:v>
              </c:pt>
            </c:numLit>
          </c:yVal>
          <c:smooth val="0"/>
          <c:extLst>
            <c:ext xmlns:c16="http://schemas.microsoft.com/office/drawing/2014/chart" uri="{C3380CC4-5D6E-409C-BE32-E72D297353CC}">
              <c16:uniqueId val="{000000D2-092A-480E-97D5-3D07ED76AD1F}"/>
            </c:ext>
          </c:extLst>
        </c:ser>
        <c:ser>
          <c:idx val="175"/>
          <c:order val="175"/>
          <c:spPr>
            <a:ln w="3175">
              <a:solidFill>
                <a:srgbClr val="000000"/>
              </a:solidFill>
              <a:prstDash val="solid"/>
            </a:ln>
          </c:spPr>
          <c:marker>
            <c:symbol val="none"/>
          </c:marker>
          <c:xVal>
            <c:numLit>
              <c:formatCode>General</c:formatCode>
              <c:ptCount val="2"/>
              <c:pt idx="0">
                <c:v>-3.1615070418306956</c:v>
              </c:pt>
              <c:pt idx="1">
                <c:v>-3.6193716293377252</c:v>
              </c:pt>
            </c:numLit>
          </c:xVal>
          <c:yVal>
            <c:numLit>
              <c:formatCode>General</c:formatCode>
              <c:ptCount val="2"/>
              <c:pt idx="0">
                <c:v>1.4237840545403689E-2</c:v>
              </c:pt>
              <c:pt idx="1">
                <c:v>1.3951033711635275E-2</c:v>
              </c:pt>
            </c:numLit>
          </c:yVal>
          <c:smooth val="0"/>
          <c:extLst>
            <c:ext xmlns:c16="http://schemas.microsoft.com/office/drawing/2014/chart" uri="{C3380CC4-5D6E-409C-BE32-E72D297353CC}">
              <c16:uniqueId val="{000000D3-092A-480E-97D5-3D07ED76AD1F}"/>
            </c:ext>
          </c:extLst>
        </c:ser>
        <c:ser>
          <c:idx val="176"/>
          <c:order val="176"/>
          <c:spPr>
            <a:ln w="3175">
              <a:solidFill>
                <a:srgbClr val="000000"/>
              </a:solidFill>
              <a:prstDash val="solid"/>
            </a:ln>
          </c:spPr>
          <c:marker>
            <c:symbol val="none"/>
          </c:marker>
          <c:dLbls>
            <c:dLbl>
              <c:idx val="0"/>
              <c:tx>
                <c:rich>
                  <a:bodyPr rot="-24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D4-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-4.4587900397672797</c:v>
              </c:pt>
            </c:numLit>
          </c:xVal>
          <c:yVal>
            <c:numLit>
              <c:formatCode>General</c:formatCode>
              <c:ptCount val="1"/>
              <c:pt idx="0">
                <c:v>1.3425221183059851E-2</c:v>
              </c:pt>
            </c:numLit>
          </c:yVal>
          <c:smooth val="0"/>
          <c:extLst>
            <c:ext xmlns:c16="http://schemas.microsoft.com/office/drawing/2014/chart" uri="{C3380CC4-5D6E-409C-BE32-E72D297353CC}">
              <c16:uniqueId val="{000000D5-092A-480E-97D5-3D07ED76AD1F}"/>
            </c:ext>
          </c:extLst>
        </c:ser>
        <c:ser>
          <c:idx val="177"/>
          <c:order val="177"/>
          <c:spPr>
            <a:ln w="3175">
              <a:solidFill>
                <a:srgbClr val="000000"/>
              </a:solidFill>
              <a:prstDash val="solid"/>
            </a:ln>
          </c:spPr>
          <c:marker>
            <c:symbol val="none"/>
          </c:marker>
          <c:xVal>
            <c:numLit>
              <c:formatCode>General</c:formatCode>
              <c:ptCount val="2"/>
              <c:pt idx="0">
                <c:v>-3.0187321044678757</c:v>
              </c:pt>
              <c:pt idx="1">
                <c:v>-3.2446049352779021</c:v>
              </c:pt>
            </c:numLit>
          </c:xVal>
          <c:yVal>
            <c:numLit>
              <c:formatCode>General</c:formatCode>
              <c:ptCount val="2"/>
              <c:pt idx="0">
                <c:v>1.4115105078987998E-2</c:v>
              </c:pt>
              <c:pt idx="1">
                <c:v>1.3969071616394883E-2</c:v>
              </c:pt>
            </c:numLit>
          </c:yVal>
          <c:smooth val="0"/>
          <c:extLst>
            <c:ext xmlns:c16="http://schemas.microsoft.com/office/drawing/2014/chart" uri="{C3380CC4-5D6E-409C-BE32-E72D297353CC}">
              <c16:uniqueId val="{000000D6-092A-480E-97D5-3D07ED76AD1F}"/>
            </c:ext>
          </c:extLst>
        </c:ser>
        <c:ser>
          <c:idx val="178"/>
          <c:order val="178"/>
          <c:spPr>
            <a:ln w="3175">
              <a:solidFill>
                <a:srgbClr val="000000"/>
              </a:solidFill>
              <a:prstDash val="solid"/>
            </a:ln>
          </c:spPr>
          <c:marker>
            <c:symbol val="none"/>
          </c:marker>
          <c:xVal>
            <c:numLit>
              <c:formatCode>General</c:formatCode>
              <c:ptCount val="2"/>
              <c:pt idx="0">
                <c:v>-2.8679382367257746</c:v>
              </c:pt>
              <c:pt idx="1">
                <c:v>-3.3132213040140215</c:v>
              </c:pt>
            </c:numLit>
          </c:xVal>
          <c:yVal>
            <c:numLit>
              <c:formatCode>General</c:formatCode>
              <c:ptCount val="2"/>
              <c:pt idx="0">
                <c:v>1.3989576450102176E-2</c:v>
              </c:pt>
              <c:pt idx="1">
                <c:v>1.3692129726535128E-2</c:v>
              </c:pt>
            </c:numLit>
          </c:yVal>
          <c:smooth val="0"/>
          <c:extLst>
            <c:ext xmlns:c16="http://schemas.microsoft.com/office/drawing/2014/chart" uri="{C3380CC4-5D6E-409C-BE32-E72D297353CC}">
              <c16:uniqueId val="{000000D7-092A-480E-97D5-3D07ED76AD1F}"/>
            </c:ext>
          </c:extLst>
        </c:ser>
        <c:ser>
          <c:idx val="179"/>
          <c:order val="179"/>
          <c:spPr>
            <a:ln w="3175">
              <a:solidFill>
                <a:srgbClr val="000000"/>
              </a:solidFill>
              <a:prstDash val="solid"/>
            </a:ln>
          </c:spPr>
          <c:marker>
            <c:symbol val="none"/>
          </c:marker>
          <c:xVal>
            <c:numLit>
              <c:formatCode>General</c:formatCode>
              <c:ptCount val="2"/>
              <c:pt idx="0">
                <c:v>-2.7086416603368892</c:v>
              </c:pt>
              <c:pt idx="1">
                <c:v>-2.9278696959155375</c:v>
              </c:pt>
            </c:numLit>
          </c:xVal>
          <c:yVal>
            <c:numLit>
              <c:formatCode>General</c:formatCode>
              <c:ptCount val="2"/>
              <c:pt idx="0">
                <c:v>1.3861301160508996E-2</c:v>
              </c:pt>
              <c:pt idx="1">
                <c:v>1.3709829042519902E-2</c:v>
              </c:pt>
            </c:numLit>
          </c:yVal>
          <c:smooth val="0"/>
          <c:extLst>
            <c:ext xmlns:c16="http://schemas.microsoft.com/office/drawing/2014/chart" uri="{C3380CC4-5D6E-409C-BE32-E72D297353CC}">
              <c16:uniqueId val="{000000D8-092A-480E-97D5-3D07ED76AD1F}"/>
            </c:ext>
          </c:extLst>
        </c:ser>
        <c:ser>
          <c:idx val="180"/>
          <c:order val="180"/>
          <c:spPr>
            <a:ln w="3175">
              <a:solidFill>
                <a:srgbClr val="000000"/>
              </a:solidFill>
              <a:prstDash val="solid"/>
            </a:ln>
          </c:spPr>
          <c:marker>
            <c:symbol val="none"/>
          </c:marker>
          <c:xVal>
            <c:numLit>
              <c:formatCode>General</c:formatCode>
              <c:ptCount val="2"/>
              <c:pt idx="0">
                <c:v>-2.5403366074235816</c:v>
              </c:pt>
              <c:pt idx="1">
                <c:v>-2.9715796048845915</c:v>
              </c:pt>
            </c:numLit>
          </c:xVal>
          <c:yVal>
            <c:numLit>
              <c:formatCode>General</c:formatCode>
              <c:ptCount val="2"/>
              <c:pt idx="0">
                <c:v>1.3730348060406742E-2</c:v>
              </c:pt>
              <c:pt idx="1">
                <c:v>1.3421791548709889E-2</c:v>
              </c:pt>
            </c:numLit>
          </c:yVal>
          <c:smooth val="0"/>
          <c:extLst>
            <c:ext xmlns:c16="http://schemas.microsoft.com/office/drawing/2014/chart" uri="{C3380CC4-5D6E-409C-BE32-E72D297353CC}">
              <c16:uniqueId val="{000000D9-092A-480E-97D5-3D07ED76AD1F}"/>
            </c:ext>
          </c:extLst>
        </c:ser>
        <c:ser>
          <c:idx val="181"/>
          <c:order val="181"/>
          <c:spPr>
            <a:ln w="3175">
              <a:solidFill>
                <a:srgbClr val="000000"/>
              </a:solidFill>
              <a:prstDash val="solid"/>
            </a:ln>
          </c:spPr>
          <c:marker>
            <c:symbol val="none"/>
          </c:marker>
          <c:dLbls>
            <c:dLbl>
              <c:idx val="0"/>
              <c:tx>
                <c:rich>
                  <a:bodyPr rot="-26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DA-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-3.7621917668964442</c:v>
              </c:pt>
            </c:numLit>
          </c:xVal>
          <c:yVal>
            <c:numLit>
              <c:formatCode>General</c:formatCode>
              <c:ptCount val="1"/>
              <c:pt idx="0">
                <c:v>1.285610461059899E-2</c:v>
              </c:pt>
            </c:numLit>
          </c:yVal>
          <c:smooth val="0"/>
          <c:extLst>
            <c:ext xmlns:c16="http://schemas.microsoft.com/office/drawing/2014/chart" uri="{C3380CC4-5D6E-409C-BE32-E72D297353CC}">
              <c16:uniqueId val="{000000DB-092A-480E-97D5-3D07ED76AD1F}"/>
            </c:ext>
          </c:extLst>
        </c:ser>
        <c:ser>
          <c:idx val="182"/>
          <c:order val="182"/>
          <c:spPr>
            <a:ln w="3175">
              <a:solidFill>
                <a:srgbClr val="000000"/>
              </a:solidFill>
              <a:prstDash val="solid"/>
            </a:ln>
          </c:spPr>
          <c:marker>
            <c:symbol val="none"/>
          </c:marker>
          <c:xVal>
            <c:numLit>
              <c:formatCode>General</c:formatCode>
              <c:ptCount val="2"/>
              <c:pt idx="0">
                <c:v>-2.3624964792520693</c:v>
              </c:pt>
              <c:pt idx="1">
                <c:v>-2.5743071180931856</c:v>
              </c:pt>
            </c:numLit>
          </c:xVal>
          <c:yVal>
            <c:numLit>
              <c:formatCode>General</c:formatCode>
              <c:ptCount val="2"/>
              <c:pt idx="0">
                <c:v>1.3596811609050458E-2</c:v>
              </c:pt>
              <c:pt idx="1">
                <c:v>1.3439671857815824E-2</c:v>
              </c:pt>
            </c:numLit>
          </c:yVal>
          <c:smooth val="0"/>
          <c:extLst>
            <c:ext xmlns:c16="http://schemas.microsoft.com/office/drawing/2014/chart" uri="{C3380CC4-5D6E-409C-BE32-E72D297353CC}">
              <c16:uniqueId val="{000000DC-092A-480E-97D5-3D07ED76AD1F}"/>
            </c:ext>
          </c:extLst>
        </c:ser>
        <c:ser>
          <c:idx val="183"/>
          <c:order val="183"/>
          <c:spPr>
            <a:ln w="3175">
              <a:solidFill>
                <a:srgbClr val="000000"/>
              </a:solidFill>
              <a:prstDash val="solid"/>
            </a:ln>
          </c:spPr>
          <c:marker>
            <c:symbol val="none"/>
          </c:marker>
          <c:xVal>
            <c:numLit>
              <c:formatCode>General</c:formatCode>
              <c:ptCount val="2"/>
              <c:pt idx="0">
                <c:v>-2.1745756118950066</c:v>
              </c:pt>
              <c:pt idx="1">
                <c:v>-2.5901431381190783</c:v>
              </c:pt>
            </c:numLit>
          </c:xVal>
          <c:yVal>
            <c:numLit>
              <c:formatCode>General</c:formatCode>
              <c:ptCount val="2"/>
              <c:pt idx="0">
                <c:v>1.3460815416871075E-2</c:v>
              </c:pt>
              <c:pt idx="1">
                <c:v>1.314070750616555E-2</c:v>
              </c:pt>
            </c:numLit>
          </c:yVal>
          <c:smooth val="0"/>
          <c:extLst>
            <c:ext xmlns:c16="http://schemas.microsoft.com/office/drawing/2014/chart" uri="{C3380CC4-5D6E-409C-BE32-E72D297353CC}">
              <c16:uniqueId val="{000000DD-092A-480E-97D5-3D07ED76AD1F}"/>
            </c:ext>
          </c:extLst>
        </c:ser>
        <c:ser>
          <c:idx val="184"/>
          <c:order val="184"/>
          <c:spPr>
            <a:ln w="3175">
              <a:solidFill>
                <a:srgbClr val="000000"/>
              </a:solidFill>
              <a:prstDash val="solid"/>
            </a:ln>
          </c:spPr>
          <c:marker>
            <c:symbol val="none"/>
          </c:marker>
          <c:xVal>
            <c:numLit>
              <c:formatCode>General</c:formatCode>
              <c:ptCount val="2"/>
              <c:pt idx="0">
                <c:v>-1.9760117673163591</c:v>
              </c:pt>
              <c:pt idx="1">
                <c:v>-2.17954059090171</c:v>
              </c:pt>
            </c:numLit>
          </c:xVal>
          <c:yVal>
            <c:numLit>
              <c:formatCode>General</c:formatCode>
              <c:ptCount val="2"/>
              <c:pt idx="0">
                <c:v>1.3322516052611264E-2</c:v>
              </c:pt>
              <c:pt idx="1">
                <c:v>1.3159498539452934E-2</c:v>
              </c:pt>
            </c:numLit>
          </c:yVal>
          <c:smooth val="0"/>
          <c:extLst>
            <c:ext xmlns:c16="http://schemas.microsoft.com/office/drawing/2014/chart" uri="{C3380CC4-5D6E-409C-BE32-E72D297353CC}">
              <c16:uniqueId val="{000000DE-092A-480E-97D5-3D07ED76AD1F}"/>
            </c:ext>
          </c:extLst>
        </c:ser>
        <c:ser>
          <c:idx val="185"/>
          <c:order val="185"/>
          <c:spPr>
            <a:ln w="3175">
              <a:solidFill>
                <a:srgbClr val="000000"/>
              </a:solidFill>
              <a:prstDash val="solid"/>
            </a:ln>
          </c:spPr>
          <c:marker>
            <c:symbol val="none"/>
          </c:marker>
          <c:xVal>
            <c:numLit>
              <c:formatCode>General</c:formatCode>
              <c:ptCount val="2"/>
              <c:pt idx="0">
                <c:v>-1.7662294797563944</c:v>
              </c:pt>
              <c:pt idx="1">
                <c:v>-2.1642964574602397</c:v>
              </c:pt>
            </c:numLit>
          </c:xVal>
          <c:yVal>
            <c:numLit>
              <c:formatCode>General</c:formatCode>
              <c:ptCount val="2"/>
              <c:pt idx="0">
                <c:v>1.318210708405064E-2</c:v>
              </c:pt>
              <c:pt idx="1">
                <c:v>1.2850054530509953E-2</c:v>
              </c:pt>
            </c:numLit>
          </c:yVal>
          <c:smooth val="0"/>
          <c:extLst>
            <c:ext xmlns:c16="http://schemas.microsoft.com/office/drawing/2014/chart" uri="{C3380CC4-5D6E-409C-BE32-E72D297353CC}">
              <c16:uniqueId val="{000000DF-092A-480E-97D5-3D07ED76AD1F}"/>
            </c:ext>
          </c:extLst>
        </c:ser>
        <c:ser>
          <c:idx val="186"/>
          <c:order val="186"/>
          <c:spPr>
            <a:ln w="3175">
              <a:solidFill>
                <a:srgbClr val="000000"/>
              </a:solidFill>
              <a:prstDash val="solid"/>
            </a:ln>
          </c:spPr>
          <c:marker>
            <c:symbol val="none"/>
          </c:marker>
          <c:dLbls>
            <c:dLbl>
              <c:idx val="0"/>
              <c:tx>
                <c:rich>
                  <a:bodyPr rot="-28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E0-092A-480E-97D5-3D07ED76AD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-2.8940859165839559</c:v>
              </c:pt>
            </c:numLit>
          </c:xVal>
          <c:yVal>
            <c:numLit>
              <c:formatCode>General</c:formatCode>
              <c:ptCount val="1"/>
              <c:pt idx="0">
                <c:v>1.2241291515685362E-2</c:v>
              </c:pt>
            </c:numLit>
          </c:yVal>
          <c:smooth val="0"/>
          <c:extLst>
            <c:ext xmlns:c16="http://schemas.microsoft.com/office/drawing/2014/chart" uri="{C3380CC4-5D6E-409C-BE32-E72D297353CC}">
              <c16:uniqueId val="{000000E1-092A-480E-97D5-3D07ED76AD1F}"/>
            </c:ext>
          </c:extLst>
        </c:ser>
        <c:ser>
          <c:idx val="187"/>
          <c:order val="187"/>
          <c:spPr>
            <a:ln w="3175">
              <a:solidFill>
                <a:srgbClr val="000000"/>
              </a:solidFill>
              <a:prstDash val="solid"/>
            </a:ln>
          </c:spPr>
          <c:marker>
            <c:symbol val="none"/>
          </c:marker>
          <c:xVal>
            <c:numLit>
              <c:formatCode>General</c:formatCode>
              <c:ptCount val="147"/>
              <c:pt idx="0">
                <c:v>16.810229479756391</c:v>
              </c:pt>
              <c:pt idx="1">
                <c:v>16.588644396444685</c:v>
              </c:pt>
              <c:pt idx="2">
                <c:v>16.354668757094764</c:v>
              </c:pt>
              <c:pt idx="3">
                <c:v>16.107718156429225</c:v>
              </c:pt>
              <c:pt idx="4">
                <c:v>15.847219725836448</c:v>
              </c:pt>
              <c:pt idx="5">
                <c:v>15.572621851491188</c:v>
              </c:pt>
              <c:pt idx="6">
                <c:v>15.283405513946459</c:v>
              </c:pt>
              <c:pt idx="7">
                <c:v>14.97909728533833</c:v>
              </c:pt>
              <c:pt idx="8">
                <c:v>14.659283952235356</c:v>
              </c:pt>
              <c:pt idx="9">
                <c:v>14.323628642858322</c:v>
              </c:pt>
              <c:pt idx="10">
                <c:v>13.971888226311023</c:v>
              </c:pt>
              <c:pt idx="11">
                <c:v>13.603931620112528</c:v>
              </c:pt>
              <c:pt idx="12">
                <c:v>13.2197584950931</c:v>
              </c:pt>
              <c:pt idx="13">
                <c:v>12.819517711563606</c:v>
              </c:pt>
              <c:pt idx="14">
                <c:v>12.403524669547116</c:v>
              </c:pt>
              <c:pt idx="15">
                <c:v>11.972276624673018</c:v>
              </c:pt>
              <c:pt idx="16">
                <c:v>11.526464929155814</c:v>
              </c:pt>
              <c:pt idx="17">
                <c:v>11.066983124686066</c:v>
              </c:pt>
              <c:pt idx="18">
                <c:v>10.594929860498169</c:v>
              </c:pt>
              <c:pt idx="19">
                <c:v>10.111605750259969</c:v>
              </c:pt>
              <c:pt idx="20">
                <c:v>9.6185035223870123</c:v>
              </c:pt>
              <c:pt idx="21">
                <c:v>9.1172911549090987</c:v>
              </c:pt>
              <c:pt idx="22">
                <c:v>8.6097880993478064</c:v>
              </c:pt>
              <c:pt idx="23">
                <c:v>8.0979351556909851</c:v>
              </c:pt>
              <c:pt idx="24">
                <c:v>7.5837590188694071</c:v>
              </c:pt>
              <c:pt idx="25">
                <c:v>7.069332926750965</c:v>
              </c:pt>
              <c:pt idx="26">
                <c:v>6.5567351526053601</c:v>
              </c:pt>
              <c:pt idx="27">
                <c:v>6.048007262567018</c:v>
              </c:pt>
              <c:pt idx="28">
                <c:v>5.5451140781737465</c:v>
              </c:pt>
              <c:pt idx="29">
                <c:v>5.0499071430589693</c:v>
              </c:pt>
              <c:pt idx="30">
                <c:v>4.5640932094034081</c:v>
              </c:pt>
              <c:pt idx="31">
                <c:v>4.0892088691906565</c:v>
              </c:pt>
              <c:pt idx="32">
                <c:v>3.6266020041010818</c:v>
              </c:pt>
              <c:pt idx="33">
                <c:v>3.1774202657841126</c:v>
              </c:pt>
              <c:pt idx="34">
                <c:v>2.7426063708388666</c:v>
              </c:pt>
              <c:pt idx="35">
                <c:v>2.3228996376269366</c:v>
              </c:pt>
              <c:pt idx="36">
                <c:v>1.9188429271939578</c:v>
              </c:pt>
              <c:pt idx="37">
                <c:v>1.5307939862731423</c:v>
              </c:pt>
              <c:pt idx="38">
                <c:v>1.1589401224706948</c:v>
              </c:pt>
              <c:pt idx="39">
                <c:v>0.80331515702341572</c:v>
              </c:pt>
              <c:pt idx="40">
                <c:v>0.4638176802814884</c:v>
              </c:pt>
              <c:pt idx="41">
                <c:v>0.14022975872621024</c:v>
              </c:pt>
              <c:pt idx="42">
                <c:v>-0.16776460974090424</c:v>
              </c:pt>
              <c:pt idx="43">
                <c:v>-0.46056184007219381</c:v>
              </c:pt>
              <c:pt idx="44">
                <c:v>-0.73862230174342836</c:v>
              </c:pt>
              <c:pt idx="45">
                <c:v>-1.002455319966258</c:v>
              </c:pt>
              <c:pt idx="46">
                <c:v>-1.2526057824083219</c:v>
              </c:pt>
              <c:pt idx="47">
                <c:v>-1.4896424028400646</c:v>
              </c:pt>
              <c:pt idx="48">
                <c:v>-1.7141476200677335</c:v>
              </c:pt>
              <c:pt idx="49">
                <c:v>-1.9267090572547372</c:v>
              </c:pt>
              <c:pt idx="50">
                <c:v>-2.1279124307072412</c:v>
              </c:pt>
              <c:pt idx="51">
                <c:v>-2.3183357754510565</c:v>
              </c:pt>
              <c:pt idx="52">
                <c:v>-2.4985448444866902</c:v>
              </c:pt>
              <c:pt idx="53">
                <c:v>-2.669089536724063</c:v>
              </c:pt>
              <c:pt idx="54">
                <c:v>-2.8305012128620142</c:v>
              </c:pt>
              <c:pt idx="55">
                <c:v>-2.9832907668862556</c:v>
              </c:pt>
              <c:pt idx="56">
                <c:v>-3.1279473318097732</c:v>
              </c:pt>
              <c:pt idx="57">
                <c:v>-3.3947050354255355</c:v>
              </c:pt>
              <c:pt idx="58">
                <c:v>-3.6342329977636059</c:v>
              </c:pt>
              <c:pt idx="59">
                <c:v>-3.8496301535387389</c:v>
              </c:pt>
              <c:pt idx="60">
                <c:v>-4.0436530888624631</c:v>
              </c:pt>
              <c:pt idx="61">
                <c:v>-4.2187412428710447</c:v>
              </c:pt>
              <c:pt idx="62">
                <c:v>-4.3770457171884622</c:v>
              </c:pt>
              <c:pt idx="63">
                <c:v>-4.5204589487479616</c:v>
              </c:pt>
              <c:pt idx="64">
                <c:v>-4.6506435459878448</c:v>
              </c:pt>
              <c:pt idx="65">
                <c:v>-4.7690593110363508</c:v>
              </c:pt>
              <c:pt idx="66">
                <c:v>-4.8769879543111792</c:v>
              </c:pt>
              <c:pt idx="67">
                <c:v>-4.97555532075208</c:v>
              </c:pt>
              <c:pt idx="68">
                <c:v>-5.0657511406962898</c:v>
              </c:pt>
              <c:pt idx="69">
                <c:v>-5.1484464315058194</c:v>
              </c:pt>
              <c:pt idx="70">
                <c:v>-5.2244087358312541</c:v>
              </c:pt>
              <c:pt idx="71">
                <c:v>-5.2943154079273143</c:v>
              </c:pt>
              <c:pt idx="72">
                <c:v>-5.358765163744196</c:v>
              </c:pt>
              <c:pt idx="73">
                <c:v>-5.4182881023183391</c:v>
              </c:pt>
              <c:pt idx="74">
                <c:v>-5.4733543909858673</c:v>
              </c:pt>
              <c:pt idx="75">
                <c:v>-5.5243817887928159</c:v>
              </c:pt>
              <c:pt idx="76">
                <c:v>-5.571742163443429</c:v>
              </c:pt>
              <c:pt idx="77">
                <c:v>-5.6567529906365968</c:v>
              </c:pt>
              <c:pt idx="78">
                <c:v>-5.7306406407761212</c:v>
              </c:pt>
              <c:pt idx="79">
                <c:v>-5.7952165720117108</c:v>
              </c:pt>
              <c:pt idx="80">
                <c:v>-5.851947118469381</c:v>
              </c:pt>
              <c:pt idx="81">
                <c:v>-5.9020274437754896</c:v>
              </c:pt>
              <c:pt idx="82">
                <c:v>-6.0041567309797621</c:v>
              </c:pt>
              <c:pt idx="83">
                <c:v>-6.0816762741522021</c:v>
              </c:pt>
              <c:pt idx="84">
                <c:v>-6.1418165019856463</c:v>
              </c:pt>
              <c:pt idx="85">
                <c:v>-6.1893611787955249</c:v>
              </c:pt>
              <c:pt idx="86">
                <c:v>-6.2275685419443816</c:v>
              </c:pt>
              <c:pt idx="87">
                <c:v>-6.2587153367755777</c:v>
              </c:pt>
              <c:pt idx="88">
                <c:v>-6.3058961870318369</c:v>
              </c:pt>
              <c:pt idx="89">
                <c:v>-6.3394006467143074</c:v>
              </c:pt>
              <c:pt idx="90">
                <c:v>-6.3640278309235088</c:v>
              </c:pt>
              <c:pt idx="91">
                <c:v>-6.382648783342864</c:v>
              </c:pt>
              <c:pt idx="92">
                <c:v>-6.3970641036563771</c:v>
              </c:pt>
              <c:pt idx="93">
                <c:v>-6.436353647558132</c:v>
              </c:pt>
              <c:pt idx="94">
                <c:v>-6.4527022004217862</c:v>
              </c:pt>
              <c:pt idx="95">
                <c:v>-6.4658267837767367</c:v>
              </c:pt>
              <c:pt idx="96">
                <c:v>-6.4708678812703511</c:v>
              </c:pt>
              <c:pt idx="97">
                <c:v>-6.4780000000000006</c:v>
              </c:pt>
              <c:pt idx="98">
                <c:v>-6.4687544134534143</c:v>
              </c:pt>
              <c:pt idx="99">
                <c:v>-6.4607910353144655</c:v>
              </c:pt>
              <c:pt idx="100">
                <c:v>-6.4354532742589932</c:v>
              </c:pt>
              <c:pt idx="101">
                <c:v>-6.3946145573537017</c:v>
              </c:pt>
              <c:pt idx="102">
                <c:v>-6.3795129803289274</c:v>
              </c:pt>
              <c:pt idx="103">
                <c:v>-6.3599248979775851</c:v>
              </c:pt>
              <c:pt idx="104">
                <c:v>-6.3338909498930658</c:v>
              </c:pt>
              <c:pt idx="105">
                <c:v>-6.2982611859413211</c:v>
              </c:pt>
              <c:pt idx="106">
                <c:v>-6.2477177107241779</c:v>
              </c:pt>
              <c:pt idx="107">
                <c:v>-6.2141364364601657</c:v>
              </c:pt>
              <c:pt idx="108">
                <c:v>-6.1727292094729158</c:v>
              </c:pt>
              <c:pt idx="109">
                <c:v>-6.1208981028564446</c:v>
              </c:pt>
              <c:pt idx="110">
                <c:v>-6.0548906661909623</c:v>
              </c:pt>
              <c:pt idx="111">
                <c:v>-5.969139454636716</c:v>
              </c:pt>
              <c:pt idx="112">
                <c:v>-5.8551287645325596</c:v>
              </c:pt>
              <c:pt idx="113">
                <c:v>-5.7988285531075912</c:v>
              </c:pt>
              <c:pt idx="114">
                <c:v>-5.7347616757504305</c:v>
              </c:pt>
              <c:pt idx="115">
                <c:v>-5.6614799564344587</c:v>
              </c:pt>
              <c:pt idx="116">
                <c:v>-5.5771951197065643</c:v>
              </c:pt>
              <c:pt idx="117">
                <c:v>-5.4796832004534721</c:v>
              </c:pt>
              <c:pt idx="118">
                <c:v>-5.4251226750385708</c:v>
              </c:pt>
              <c:pt idx="119">
                <c:v>-5.3661582607451805</c:v>
              </c:pt>
              <c:pt idx="120">
                <c:v>-5.3023264552641391</c:v>
              </c:pt>
              <c:pt idx="121">
                <c:v>-5.2331047854998651</c:v>
              </c:pt>
              <c:pt idx="122">
                <c:v>-5.1579032706065853</c:v>
              </c:pt>
              <c:pt idx="123">
                <c:v>-5.0760545707644287</c:v>
              </c:pt>
              <c:pt idx="124">
                <c:v>-4.9868026312391578</c:v>
              </c:pt>
              <c:pt idx="125">
                <c:v>-4.889289615730835</c:v>
              </c:pt>
              <c:pt idx="126">
                <c:v>-4.7825409137469856</c:v>
              </c:pt>
              <c:pt idx="127">
                <c:v>-4.6654480091532298</c:v>
              </c:pt>
              <c:pt idx="128">
                <c:v>-4.5367490194500562</c:v>
              </c:pt>
              <c:pt idx="129">
                <c:v>-4.3950067701211761</c:v>
              </c:pt>
              <c:pt idx="130">
                <c:v>-4.2385843738412259</c:v>
              </c:pt>
              <c:pt idx="131">
                <c:v>-4.0656184666577015</c:v>
              </c:pt>
              <c:pt idx="132">
                <c:v>-3.8739905493226741</c:v>
              </c:pt>
              <c:pt idx="133">
                <c:v>-3.7704392439481627</c:v>
              </c:pt>
              <c:pt idx="134">
                <c:v>-3.6612973419810073</c:v>
              </c:pt>
              <c:pt idx="135">
                <c:v>-3.5462151642748525</c:v>
              </c:pt>
              <c:pt idx="136">
                <c:v>-3.4248217502543765</c:v>
              </c:pt>
              <c:pt idx="137">
                <c:v>-3.2967241795418643</c:v>
              </c:pt>
              <c:pt idx="138">
                <c:v>-3.1615070418306956</c:v>
              </c:pt>
              <c:pt idx="139">
                <c:v>-3.0187321044678757</c:v>
              </c:pt>
              <c:pt idx="140">
                <c:v>-2.8679382367257746</c:v>
              </c:pt>
              <c:pt idx="141">
                <c:v>-2.7086416603368892</c:v>
              </c:pt>
              <c:pt idx="142">
                <c:v>-2.5403366074235816</c:v>
              </c:pt>
              <c:pt idx="143">
                <c:v>-2.3624964792520693</c:v>
              </c:pt>
              <c:pt idx="144">
                <c:v>-2.1745756118950066</c:v>
              </c:pt>
              <c:pt idx="145">
                <c:v>-1.9760117673163591</c:v>
              </c:pt>
              <c:pt idx="146">
                <c:v>-1.7662294797563944</c:v>
              </c:pt>
            </c:numLit>
          </c:xVal>
          <c:yVal>
            <c:numLit>
              <c:formatCode>General</c:formatCode>
              <c:ptCount val="147"/>
              <c:pt idx="0">
                <c:v>2.8677892915949361E-2</c:v>
              </c:pt>
              <c:pt idx="1">
                <c:v>2.882017669794408E-2</c:v>
              </c:pt>
              <c:pt idx="2">
                <c:v>2.8964054945422545E-2</c:v>
              </c:pt>
              <c:pt idx="3">
                <c:v>2.9109197410386176E-2</c:v>
              </c:pt>
              <c:pt idx="4">
                <c:v>2.9255219725836449E-2</c:v>
              </c:pt>
              <c:pt idx="5">
                <c:v>2.9401679479707257E-2</c:v>
              </c:pt>
              <c:pt idx="6">
                <c:v>2.9548072789216489E-2</c:v>
              </c:pt>
              <c:pt idx="7">
                <c:v>2.9693831622722384E-2</c:v>
              </c:pt>
              <c:pt idx="8">
                <c:v>2.9838322153782595E-2</c:v>
              </c:pt>
              <c:pt idx="9">
                <c:v>2.9980844463909358E-2</c:v>
              </c:pt>
              <c:pt idx="10">
                <c:v>3.0120633931542337E-2</c:v>
              </c:pt>
              <c:pt idx="11">
                <c:v>3.0256864649135986E-2</c:v>
              </c:pt>
              <c:pt idx="12">
                <c:v>3.0388655191524186E-2</c:v>
              </c:pt>
              <c:pt idx="13">
                <c:v>3.0515077010490988E-2</c:v>
              </c:pt>
              <c:pt idx="14">
                <c:v>3.0635165647360473E-2</c:v>
              </c:pt>
              <c:pt idx="15">
                <c:v>3.0747934834256706E-2</c:v>
              </c:pt>
              <c:pt idx="16">
                <c:v>3.085239339588855E-2</c:v>
              </c:pt>
              <c:pt idx="17">
                <c:v>3.0947564672567929E-2</c:v>
              </c:pt>
              <c:pt idx="18">
                <c:v>3.1032507972748882E-2</c:v>
              </c:pt>
              <c:pt idx="19">
                <c:v>3.1106341346724724E-2</c:v>
              </c:pt>
              <c:pt idx="20">
                <c:v>3.1168264774375409E-2</c:v>
              </c:pt>
              <c:pt idx="21">
                <c:v>3.1217582704093288E-2</c:v>
              </c:pt>
              <c:pt idx="22">
                <c:v>3.1253724791923544E-2</c:v>
              </c:pt>
              <c:pt idx="23">
                <c:v>3.127626368973449E-2</c:v>
              </c:pt>
              <c:pt idx="24">
                <c:v>3.1284928830437236E-2</c:v>
              </c:pt>
              <c:pt idx="25">
                <c:v>3.1279615356557502E-2</c:v>
              </c:pt>
              <c:pt idx="26">
                <c:v>3.1260387622117129E-2</c:v>
              </c:pt>
              <c:pt idx="27">
                <c:v>3.1227477040677638E-2</c:v>
              </c:pt>
              <c:pt idx="28">
                <c:v>3.1181274419367078E-2</c:v>
              </c:pt>
              <c:pt idx="29">
                <c:v>3.1122317270830653E-2</c:v>
              </c:pt>
              <c:pt idx="30">
                <c:v>3.1051272895714872E-2</c:v>
              </c:pt>
              <c:pt idx="31">
                <c:v>3.0968918248820355E-2</c:v>
              </c:pt>
              <c:pt idx="32">
                <c:v>3.0876117725569325E-2</c:v>
              </c:pt>
              <c:pt idx="33">
                <c:v>3.0773800028426088E-2</c:v>
              </c:pt>
              <c:pt idx="34">
                <c:v>3.0662935204324095E-2</c:v>
              </c:pt>
              <c:pt idx="35">
                <c:v>3.0544512802476664E-2</c:v>
              </c:pt>
              <c:pt idx="36">
                <c:v>3.04195219111833E-2</c:v>
              </c:pt>
              <c:pt idx="37">
                <c:v>3.0288933617716181E-2</c:v>
              </c:pt>
              <c:pt idx="38">
                <c:v>3.0153686220164965E-2</c:v>
              </c:pt>
              <c:pt idx="39">
                <c:v>3.0014673322626941E-2</c:v>
              </c:pt>
              <c:pt idx="40">
                <c:v>2.9872734777880133E-2</c:v>
              </c:pt>
              <c:pt idx="41">
                <c:v>2.9728650311281322E-2</c:v>
              </c:pt>
              <c:pt idx="42">
                <c:v>2.95831355675608E-2</c:v>
              </c:pt>
              <c:pt idx="43">
                <c:v>2.9436840266009144E-2</c:v>
              </c:pt>
              <c:pt idx="44">
                <c:v>2.9290348124299693E-2</c:v>
              </c:pt>
              <c:pt idx="45">
                <c:v>2.9144178210618831E-2</c:v>
              </c:pt>
              <c:pt idx="46">
                <c:v>2.8998787401373648E-2</c:v>
              </c:pt>
              <c:pt idx="47">
                <c:v>2.8854573651448525E-2</c:v>
              </c:pt>
              <c:pt idx="48">
                <c:v>2.8711879820593082E-2</c:v>
              </c:pt>
              <c:pt idx="49">
                <c:v>2.8570997838905359E-2</c:v>
              </c:pt>
              <c:pt idx="50">
                <c:v>2.8432173033455556E-2</c:v>
              </c:pt>
              <c:pt idx="51">
                <c:v>2.8295608474779587E-2</c:v>
              </c:pt>
              <c:pt idx="52">
                <c:v>2.8161469234973899E-2</c:v>
              </c:pt>
              <c:pt idx="53">
                <c:v>2.8029886477800841E-2</c:v>
              </c:pt>
              <c:pt idx="54">
                <c:v>2.7900961325394373E-2</c:v>
              </c:pt>
              <c:pt idx="55">
                <c:v>2.777476846598936E-2</c:v>
              </c:pt>
              <c:pt idx="56">
                <c:v>2.765135948293641E-2</c:v>
              </c:pt>
              <c:pt idx="57">
                <c:v>2.741300192776747E-2</c:v>
              </c:pt>
              <c:pt idx="58">
                <c:v>2.7185947823718054E-2</c:v>
              </c:pt>
              <c:pt idx="59">
                <c:v>2.6970052763706429E-2</c:v>
              </c:pt>
              <c:pt idx="60">
                <c:v>2.6765028589466222E-2</c:v>
              </c:pt>
              <c:pt idx="61">
                <c:v>2.6570489823461451E-2</c:v>
              </c:pt>
              <c:pt idx="62">
                <c:v>2.6385989057197627E-2</c:v>
              </c:pt>
              <c:pt idx="63">
                <c:v>2.6211043462266981E-2</c:v>
              </c:pt>
              <c:pt idx="64">
                <c:v>2.6045154305456879E-2</c:v>
              </c:pt>
              <c:pt idx="65">
                <c:v>2.5887821037250434E-2</c:v>
              </c:pt>
              <c:pt idx="66">
                <c:v>2.573855122669123E-2</c:v>
              </c:pt>
              <c:pt idx="67">
                <c:v>2.5596867354371416E-2</c:v>
              </c:pt>
              <c:pt idx="68">
                <c:v>2.5462311255383133E-2</c:v>
              </c:pt>
              <c:pt idx="69">
                <c:v>2.5334446824497189E-2</c:v>
              </c:pt>
              <c:pt idx="70">
                <c:v>2.5212861452320056E-2</c:v>
              </c:pt>
              <c:pt idx="71">
                <c:v>2.5097166548278888E-2</c:v>
              </c:pt>
              <c:pt idx="72">
                <c:v>2.4986997418511792E-2</c:v>
              </c:pt>
              <c:pt idx="73">
                <c:v>2.4882012699129402E-2</c:v>
              </c:pt>
              <c:pt idx="74">
                <c:v>2.4781893493615731E-2</c:v>
              </c:pt>
              <c:pt idx="75">
                <c:v>2.4686342323848191E-2</c:v>
              </c:pt>
              <c:pt idx="76">
                <c:v>2.4595081974519786E-2</c:v>
              </c:pt>
              <c:pt idx="77">
                <c:v>2.4424418953236802E-2</c:v>
              </c:pt>
              <c:pt idx="78">
                <c:v>2.4268046190440859E-2</c:v>
              </c:pt>
              <c:pt idx="79">
                <c:v>2.4124353808164946E-2</c:v>
              </c:pt>
              <c:pt idx="80">
                <c:v>2.3991946017564908E-2</c:v>
              </c:pt>
              <c:pt idx="81">
                <c:v>2.3869610711458024E-2</c:v>
              </c:pt>
              <c:pt idx="82">
                <c:v>2.3601243359121643E-2</c:v>
              </c:pt>
              <c:pt idx="83">
                <c:v>2.3376424442580822E-2</c:v>
              </c:pt>
              <c:pt idx="84">
                <c:v>2.3185628388742628E-2</c:v>
              </c:pt>
              <c:pt idx="85">
                <c:v>2.3021845518026735E-2</c:v>
              </c:pt>
              <c:pt idx="86">
                <c:v>2.2879826043585575E-2</c:v>
              </c:pt>
              <c:pt idx="87">
                <c:v>2.2755572771766694E-2</c:v>
              </c:pt>
              <c:pt idx="88">
                <c:v>2.2548671580655582E-2</c:v>
              </c:pt>
              <c:pt idx="89">
                <c:v>2.2383467693411988E-2</c:v>
              </c:pt>
              <c:pt idx="90">
                <c:v>2.2248609023778468E-2</c:v>
              </c:pt>
              <c:pt idx="91">
                <c:v>2.2136492726931425E-2</c:v>
              </c:pt>
              <c:pt idx="92">
                <c:v>2.2041845203134694E-2</c:v>
              </c:pt>
              <c:pt idx="93">
                <c:v>2.172811889106761E-2</c:v>
              </c:pt>
              <c:pt idx="94">
                <c:v>2.1552224945278583E-2</c:v>
              </c:pt>
              <c:pt idx="95">
                <c:v>2.1361728347072451E-2</c:v>
              </c:pt>
              <c:pt idx="96">
                <c:v>2.1260488451156453E-2</c:v>
              </c:pt>
              <c:pt idx="97">
                <c:v>2.0930000000000001E-2</c:v>
              </c:pt>
              <c:pt idx="98">
                <c:v>2.0553731515266696E-2</c:v>
              </c:pt>
              <c:pt idx="99">
                <c:v>2.0416729629222568E-2</c:v>
              </c:pt>
              <c:pt idx="100">
                <c:v>2.0123312766063169E-2</c:v>
              </c:pt>
              <c:pt idx="101">
                <c:v>1.9801504574826875E-2</c:v>
              </c:pt>
              <c:pt idx="102">
                <c:v>1.9703897767998347E-2</c:v>
              </c:pt>
              <c:pt idx="103">
                <c:v>1.9587964977189561E-2</c:v>
              </c:pt>
              <c:pt idx="104">
                <c:v>1.9448070774442654E-2</c:v>
              </c:pt>
              <c:pt idx="105">
                <c:v>1.9276040595639192E-2</c:v>
              </c:pt>
              <c:pt idx="106">
                <c:v>1.9059579257765528E-2</c:v>
              </c:pt>
              <c:pt idx="107">
                <c:v>1.8929051078036645E-2</c:v>
              </c:pt>
              <c:pt idx="108">
                <c:v>1.8779375962421206E-2</c:v>
              </c:pt>
              <c:pt idx="109">
                <c:v>1.8606133509740334E-2</c:v>
              </c:pt>
              <c:pt idx="110">
                <c:v>1.8403482795007753E-2</c:v>
              </c:pt>
              <c:pt idx="111">
                <c:v>1.8163573931641964E-2</c:v>
              </c:pt>
              <c:pt idx="112">
                <c:v>1.7875666923032288E-2</c:v>
              </c:pt>
              <c:pt idx="113">
                <c:v>1.7743895976123102E-2</c:v>
              </c:pt>
              <c:pt idx="114">
                <c:v>1.7600918061456586E-2</c:v>
              </c:pt>
              <c:pt idx="115">
                <c:v>1.7445349228540973E-2</c:v>
              </c:pt>
              <c:pt idx="116">
                <c:v>1.7275593374812867E-2</c:v>
              </c:pt>
              <c:pt idx="117">
                <c:v>1.7089808191527837E-2</c:v>
              </c:pt>
              <c:pt idx="118">
                <c:v>1.6990252446736603E-2</c:v>
              </c:pt>
              <c:pt idx="119">
                <c:v>1.6885867994288942E-2</c:v>
              </c:pt>
              <c:pt idx="120">
                <c:v>1.677633856600267E-2</c:v>
              </c:pt>
              <c:pt idx="121">
                <c:v>1.6661325544174033E-2</c:v>
              </c:pt>
              <c:pt idx="122">
                <c:v>1.6540467071496829E-2</c:v>
              </c:pt>
              <c:pt idx="123">
                <c:v>1.6413377441842833E-2</c:v>
              </c:pt>
              <c:pt idx="124">
                <c:v>1.6279646915363419E-2</c:v>
              </c:pt>
              <c:pt idx="125">
                <c:v>1.6138842151410121E-2</c:v>
              </c:pt>
              <c:pt idx="126">
                <c:v>1.599050751826438E-2</c:v>
              </c:pt>
              <c:pt idx="127">
                <c:v>1.5834167623770514E-2</c:v>
              </c:pt>
              <c:pt idx="128">
                <c:v>1.5669331520569488E-2</c:v>
              </c:pt>
              <c:pt idx="129">
                <c:v>1.5495499179174118E-2</c:v>
              </c:pt>
              <c:pt idx="130">
                <c:v>1.5312170997110987E-2</c:v>
              </c:pt>
              <c:pt idx="131">
                <c:v>1.5118861327289309E-2</c:v>
              </c:pt>
              <c:pt idx="132">
                <c:v>1.4915117265152884E-2</c:v>
              </c:pt>
              <c:pt idx="133">
                <c:v>1.4809205883937578E-2</c:v>
              </c:pt>
              <c:pt idx="134">
                <c:v>1.4700544227002829E-2</c:v>
              </c:pt>
              <c:pt idx="135">
                <c:v>1.4589097690626144E-2</c:v>
              </c:pt>
              <c:pt idx="136">
                <c:v>1.4474840163683531E-2</c:v>
              </c:pt>
              <c:pt idx="137">
                <c:v>1.4357755721848364E-2</c:v>
              </c:pt>
              <c:pt idx="138">
                <c:v>1.4237840545403689E-2</c:v>
              </c:pt>
              <c:pt idx="139">
                <c:v>1.4115105078987998E-2</c:v>
              </c:pt>
              <c:pt idx="140">
                <c:v>1.3989576450102176E-2</c:v>
              </c:pt>
              <c:pt idx="141">
                <c:v>1.3861301160508996E-2</c:v>
              </c:pt>
              <c:pt idx="142">
                <c:v>1.3730348060406742E-2</c:v>
              </c:pt>
              <c:pt idx="143">
                <c:v>1.3596811609050458E-2</c:v>
              </c:pt>
              <c:pt idx="144">
                <c:v>1.3460815416871075E-2</c:v>
              </c:pt>
              <c:pt idx="145">
                <c:v>1.3322516052611264E-2</c:v>
              </c:pt>
              <c:pt idx="146">
                <c:v>1.318210708405064E-2</c:v>
              </c:pt>
            </c:numLit>
          </c:yVal>
          <c:smooth val="1"/>
          <c:extLst>
            <c:ext xmlns:c16="http://schemas.microsoft.com/office/drawing/2014/chart" uri="{C3380CC4-5D6E-409C-BE32-E72D297353CC}">
              <c16:uniqueId val="{000000E2-092A-480E-97D5-3D07ED76AD1F}"/>
            </c:ext>
          </c:extLst>
        </c:ser>
        <c:ser>
          <c:idx val="188"/>
          <c:order val="188"/>
          <c:tx>
            <c:v>熱水分比基点</c:v>
          </c:tx>
          <c:spPr>
            <a:ln w="3175">
              <a:solidFill>
                <a:srgbClr val="000000"/>
              </a:solidFill>
              <a:prstDash val="solid"/>
            </a:ln>
          </c:spPr>
          <c:marker>
            <c:symbol val="circle"/>
            <c:size val="10"/>
            <c:spPr>
              <a:noFill/>
              <a:ln>
                <a:solidFill>
                  <a:srgbClr val="808080"/>
                </a:solidFill>
                <a:prstDash val="solid"/>
              </a:ln>
              <a:extLst>
                <a:ext uri="{909E8E84-426E-40DD-AFC4-6F175D3DCCD1}">
                  <a14:hiddenFill xmlns:a14="http://schemas.microsoft.com/office/drawing/2010/main">
                    <a:solidFill>
                      <a:srgbClr val="A5A5A5">
                        <a:tint val="35000"/>
                      </a:srgbClr>
                    </a:solidFill>
                  </a14:hiddenFill>
                </a:ext>
              </a:extLst>
            </c:spPr>
          </c:marker>
          <c:xVal>
            <c:numLit>
              <c:formatCode>General</c:formatCode>
              <c:ptCount val="1"/>
              <c:pt idx="0">
                <c:v>7.5219999999999994</c:v>
              </c:pt>
            </c:numLit>
          </c:xVal>
          <c:yVal>
            <c:numLit>
              <c:formatCode>General</c:formatCode>
              <c:ptCount val="1"/>
              <c:pt idx="0">
                <c:v>2.0930000000000001E-2</c:v>
              </c:pt>
            </c:numLit>
          </c:yVal>
          <c:smooth val="0"/>
          <c:extLst>
            <c:ext xmlns:c16="http://schemas.microsoft.com/office/drawing/2014/chart" uri="{C3380CC4-5D6E-409C-BE32-E72D297353CC}">
              <c16:uniqueId val="{000000E3-092A-480E-97D5-3D07ED76AD1F}"/>
            </c:ext>
          </c:extLst>
        </c:ser>
        <c:ser>
          <c:idx val="189"/>
          <c:order val="189"/>
          <c:tx>
            <c:v>熱水分比基点</c:v>
          </c:tx>
          <c:spPr>
            <a:ln w="3175">
              <a:solidFill>
                <a:srgbClr val="000000"/>
              </a:solidFill>
              <a:prstDash val="solid"/>
            </a:ln>
          </c:spPr>
          <c:marker>
            <c:symbol val="plus"/>
            <c:size val="10"/>
            <c:spPr>
              <a:noFill/>
              <a:ln>
                <a:solidFill>
                  <a:srgbClr val="808080"/>
                </a:solidFill>
                <a:prstDash val="solid"/>
              </a:ln>
              <a:extLst>
                <a:ext uri="{909E8E84-426E-40DD-AFC4-6F175D3DCCD1}">
                  <a14:hiddenFill xmlns:a14="http://schemas.microsoft.com/office/drawing/2010/main">
                    <a:solidFill>
                      <a:srgbClr val="FFC000">
                        <a:tint val="35000"/>
                      </a:srgbClr>
                    </a:solidFill>
                  </a14:hiddenFill>
                </a:ext>
              </a:extLst>
            </c:spPr>
          </c:marker>
          <c:xVal>
            <c:numLit>
              <c:formatCode>General</c:formatCode>
              <c:ptCount val="1"/>
              <c:pt idx="0">
                <c:v>7.5219999999999994</c:v>
              </c:pt>
            </c:numLit>
          </c:xVal>
          <c:yVal>
            <c:numLit>
              <c:formatCode>General</c:formatCode>
              <c:ptCount val="1"/>
              <c:pt idx="0">
                <c:v>2.0930000000000001E-2</c:v>
              </c:pt>
            </c:numLit>
          </c:yVal>
          <c:smooth val="0"/>
          <c:extLst>
            <c:ext xmlns:c16="http://schemas.microsoft.com/office/drawing/2014/chart" uri="{C3380CC4-5D6E-409C-BE32-E72D297353CC}">
              <c16:uniqueId val="{000000E4-092A-480E-97D5-3D07ED76AD1F}"/>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530E-40B1-B0E6-1AADA81A91D3}"/>
            </c:ext>
          </c:extLst>
        </c:ser>
        <c:ser>
          <c:idx val="1"/>
          <c:order val="1"/>
          <c:tx>
            <c:v>RH=10_1</c:v>
          </c:tx>
          <c:spPr>
            <a:ln w="3175">
              <a:solidFill>
                <a:srgbClr val="0000FF"/>
              </a:solidFill>
              <a:prstDash val="solid"/>
            </a:ln>
          </c:spPr>
          <c:marker>
            <c:symbol val="none"/>
          </c:marker>
          <c:xVal>
            <c:numLit>
              <c:formatCode>General</c:formatCode>
              <c:ptCount val="38"/>
              <c:pt idx="0">
                <c:v>-10.0177756677797</c:v>
              </c:pt>
              <c:pt idx="1">
                <c:v>-9.0190959721921065</c:v>
              </c:pt>
              <c:pt idx="2">
                <c:v>-8.0204947203038497</c:v>
              </c:pt>
              <c:pt idx="3">
                <c:v>-7.0219748302109002</c:v>
              </c:pt>
              <c:pt idx="4">
                <c:v>-6.0235391639546627</c:v>
              </c:pt>
              <c:pt idx="5">
                <c:v>-5.0251905057455675</c:v>
              </c:pt>
              <c:pt idx="6">
                <c:v>-4.0269315379580988</c:v>
              </c:pt>
              <c:pt idx="7">
                <c:v>-3.0287648147507311</c:v>
              </c:pt>
              <c:pt idx="8">
                <c:v>-2.0306927331577049</c:v>
              </c:pt>
              <c:pt idx="9">
                <c:v>-1.0327175014929011</c:v>
              </c:pt>
              <c:pt idx="10">
                <c:v>-3.484110489918895E-2</c:v>
              </c:pt>
              <c:pt idx="11">
                <c:v>0.96328939591528173</c:v>
              </c:pt>
              <c:pt idx="12">
                <c:v>1.9613621474223808</c:v>
              </c:pt>
              <c:pt idx="13">
                <c:v>2.9593749622169305</c:v>
              </c:pt>
              <c:pt idx="14">
                <c:v>3.9573294009540501</c:v>
              </c:pt>
              <c:pt idx="15">
                <c:v>4.9552274207672413</c:v>
              </c:pt>
              <c:pt idx="16">
                <c:v>5.9530704719223664</c:v>
              </c:pt>
              <c:pt idx="17">
                <c:v>6.9508622511413787</c:v>
              </c:pt>
              <c:pt idx="18">
                <c:v>7.9486061034176085</c:v>
              </c:pt>
              <c:pt idx="19">
                <c:v>8.946305910300195</c:v>
              </c:pt>
              <c:pt idx="20">
                <c:v>9.9439661291778094</c:v>
              </c:pt>
              <c:pt idx="21">
                <c:v>10.941590669234015</c:v>
              </c:pt>
              <c:pt idx="22">
                <c:v>11.939186333734822</c:v>
              </c:pt>
              <c:pt idx="23">
                <c:v>12.936759560270477</c:v>
              </c:pt>
              <c:pt idx="24">
                <c:v>13.934317538581611</c:v>
              </c:pt>
              <c:pt idx="25">
                <c:v>14.931868259472157</c:v>
              </c:pt>
              <c:pt idx="26">
                <c:v>15.929420565788638</c:v>
              </c:pt>
              <c:pt idx="27">
                <c:v>16.926984205518398</c:v>
              </c:pt>
              <c:pt idx="28">
                <c:v>17.9245698870604</c:v>
              </c:pt>
              <c:pt idx="29">
                <c:v>18.922189336723491</c:v>
              </c:pt>
              <c:pt idx="30">
                <c:v>19.919855358508599</c:v>
              </c:pt>
              <c:pt idx="31">
                <c:v>20.917581896232608</c:v>
              </c:pt>
              <c:pt idx="32">
                <c:v>21.915384098053682</c:v>
              </c:pt>
              <c:pt idx="33">
                <c:v>22.913278383459538</c:v>
              </c:pt>
              <c:pt idx="34">
                <c:v>23.911282512782485</c:v>
              </c:pt>
              <c:pt idx="35">
                <c:v>24.909415659307243</c:v>
              </c:pt>
              <c:pt idx="36">
                <c:v>25.907696639619608</c:v>
              </c:pt>
              <c:pt idx="37">
                <c:v>26.317040192907807</c:v>
              </c:pt>
            </c:numLit>
          </c:xVal>
          <c:yVal>
            <c:numLit>
              <c:formatCode>General</c:formatCode>
              <c:ptCount val="38"/>
              <c:pt idx="0">
                <c:v>1.6023585830088701E-4</c:v>
              </c:pt>
              <c:pt idx="1">
                <c:v>1.7505511231326874E-4</c:v>
              </c:pt>
              <c:pt idx="2">
                <c:v>1.911168763966824E-4</c:v>
              </c:pt>
              <c:pt idx="3">
                <c:v>2.0851423497609411E-4</c:v>
              </c:pt>
              <c:pt idx="4">
                <c:v>2.2734637997686826E-4</c:v>
              </c:pt>
              <c:pt idx="5">
                <c:v>2.4771895190655777E-4</c:v>
              </c:pt>
              <c:pt idx="6">
                <c:v>2.6974439651381417E-4</c:v>
              </c:pt>
              <c:pt idx="7">
                <c:v>2.9354233758607893E-4</c:v>
              </c:pt>
              <c:pt idx="8">
                <c:v>3.1923996646661596E-4</c:v>
              </c:pt>
              <c:pt idx="9">
                <c:v>3.4697244889161612E-4</c:v>
              </c:pt>
              <c:pt idx="10">
                <c:v>3.7688334976972127E-4</c:v>
              </c:pt>
              <c:pt idx="11">
                <c:v>4.0521031061253583E-4</c:v>
              </c:pt>
              <c:pt idx="12">
                <c:v>4.3536827613222564E-4</c:v>
              </c:pt>
              <c:pt idx="13">
                <c:v>4.6749929089188232E-4</c:v>
              </c:pt>
              <c:pt idx="14">
                <c:v>5.0171368209707661E-4</c:v>
              </c:pt>
              <c:pt idx="15">
                <c:v>5.3812681849648315E-4</c:v>
              </c:pt>
              <c:pt idx="16">
                <c:v>5.7687078746455054E-4</c:v>
              </c:pt>
              <c:pt idx="17">
                <c:v>6.1806170732398903E-4</c:v>
              </c:pt>
              <c:pt idx="18">
                <c:v>6.6183128471435158E-4</c:v>
              </c:pt>
              <c:pt idx="19">
                <c:v>7.0831699761347128E-4</c:v>
              </c:pt>
              <c:pt idx="20">
                <c:v>7.5766228557958958E-4</c:v>
              </c:pt>
              <c:pt idx="21">
                <c:v>8.100329025445516E-4</c:v>
              </c:pt>
              <c:pt idx="22">
                <c:v>8.6557085827349055E-4</c:v>
              </c:pt>
              <c:pt idx="23">
                <c:v>9.244388603298438E-4</c:v>
              </c:pt>
              <c:pt idx="24">
                <c:v>9.8680639466692979E-4</c:v>
              </c:pt>
              <c:pt idx="25">
                <c:v>1.0528499381107718E-3</c:v>
              </c:pt>
              <c:pt idx="26">
                <c:v>1.1227531754685466E-3</c:v>
              </c:pt>
              <c:pt idx="27">
                <c:v>1.196707221383005E-3</c:v>
              </c:pt>
              <c:pt idx="28">
                <c:v>1.2749108470638381E-3</c:v>
              </c:pt>
              <c:pt idx="29">
                <c:v>1.357570712039002E-3</c:v>
              </c:pt>
              <c:pt idx="30">
                <c:v>1.4449016010815252E-3</c:v>
              </c:pt>
              <c:pt idx="31">
                <c:v>1.5371266664811695E-3</c:v>
              </c:pt>
              <c:pt idx="32">
                <c:v>1.6344776758448051E-3</c:v>
              </c:pt>
              <c:pt idx="33">
                <c:v>1.7371952656253776E-3</c:v>
              </c:pt>
              <c:pt idx="34">
                <c:v>1.8455292005959472E-3</c:v>
              </c:pt>
              <c:pt idx="35">
                <c:v>1.9597386395035048E-3</c:v>
              </c:pt>
              <c:pt idx="36">
                <c:v>2.0801339727301582E-3</c:v>
              </c:pt>
              <c:pt idx="37">
                <c:v>2.1313379082339733E-3</c:v>
              </c:pt>
            </c:numLit>
          </c:yVal>
          <c:smooth val="1"/>
          <c:extLst>
            <c:ext xmlns:c16="http://schemas.microsoft.com/office/drawing/2014/chart" uri="{C3380CC4-5D6E-409C-BE32-E72D297353CC}">
              <c16:uniqueId val="{00000001-530E-40B1-B0E6-1AADA81A91D3}"/>
            </c:ext>
          </c:extLst>
        </c:ser>
        <c:ser>
          <c:idx val="2"/>
          <c:order val="2"/>
          <c:tx>
            <c:v>RH=10_Label1</c:v>
          </c:tx>
          <c:spPr>
            <a:ln w="3175">
              <a:solidFill>
                <a:srgbClr val="0000FF"/>
              </a:solidFill>
              <a:prstDash val="solid"/>
            </a:ln>
          </c:spPr>
          <c:marker>
            <c:symbol val="none"/>
          </c:marker>
          <c:dLbls>
            <c:dLbl>
              <c:idx val="0"/>
              <c:tx>
                <c:rich>
                  <a:bodyPr rot="-6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30E-40B1-B0E6-1AADA81A91D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27.065919432379985</c:v>
              </c:pt>
            </c:numLit>
          </c:xVal>
          <c:yVal>
            <c:numLit>
              <c:formatCode>General</c:formatCode>
              <c:ptCount val="1"/>
              <c:pt idx="0">
                <c:v>2.2278649752776442E-3</c:v>
              </c:pt>
            </c:numLit>
          </c:yVal>
          <c:smooth val="0"/>
          <c:extLst>
            <c:ext xmlns:c16="http://schemas.microsoft.com/office/drawing/2014/chart" uri="{C3380CC4-5D6E-409C-BE32-E72D297353CC}">
              <c16:uniqueId val="{00000003-530E-40B1-B0E6-1AADA81A91D3}"/>
            </c:ext>
          </c:extLst>
        </c:ser>
        <c:ser>
          <c:idx val="3"/>
          <c:order val="3"/>
          <c:tx>
            <c:v>RH=10_2</c:v>
          </c:tx>
          <c:spPr>
            <a:ln w="3175">
              <a:solidFill>
                <a:srgbClr val="0000FF"/>
              </a:solidFill>
              <a:prstDash val="solid"/>
            </a:ln>
          </c:spPr>
          <c:marker>
            <c:symbol val="none"/>
          </c:marker>
          <c:xVal>
            <c:numLit>
              <c:formatCode>General</c:formatCode>
              <c:ptCount val="21"/>
              <c:pt idx="0">
                <c:v>27.804923631172404</c:v>
              </c:pt>
              <c:pt idx="1">
                <c:v>28.803770180784756</c:v>
              </c:pt>
              <c:pt idx="2">
                <c:v>29.802862673887123</c:v>
              </c:pt>
              <c:pt idx="3">
                <c:v>30.802230253577527</c:v>
              </c:pt>
              <c:pt idx="4">
                <c:v>31.801904052668917</c:v>
              </c:pt>
              <c:pt idx="5">
                <c:v>32.801917289185013</c:v>
              </c:pt>
              <c:pt idx="6">
                <c:v>33.802305365200944</c:v>
              </c:pt>
              <c:pt idx="7">
                <c:v>34.803105969135679</c:v>
              </c:pt>
              <c:pt idx="8">
                <c:v>35.804359181609868</c:v>
              </c:pt>
              <c:pt idx="9">
                <c:v>36.806107584989242</c:v>
              </c:pt>
              <c:pt idx="10">
                <c:v>37.808396376741563</c:v>
              </c:pt>
              <c:pt idx="11">
                <c:v>38.811273486743076</c:v>
              </c:pt>
              <c:pt idx="12">
                <c:v>39.81478969867927</c:v>
              </c:pt>
              <c:pt idx="13">
                <c:v>40.818998044575913</c:v>
              </c:pt>
              <c:pt idx="14">
                <c:v>41.823956140919336</c:v>
              </c:pt>
              <c:pt idx="15">
                <c:v>42.829724214366031</c:v>
              </c:pt>
              <c:pt idx="16">
                <c:v>43.836365792343038</c:v>
              </c:pt>
              <c:pt idx="17">
                <c:v>44.843947933065749</c:v>
              </c:pt>
              <c:pt idx="18">
                <c:v>45.852541375331619</c:v>
              </c:pt>
              <c:pt idx="19">
                <c:v>46.86222069374503</c:v>
              </c:pt>
              <c:pt idx="20">
                <c:v>47.165347874114275</c:v>
              </c:pt>
            </c:numLit>
          </c:xVal>
          <c:yVal>
            <c:numLit>
              <c:formatCode>General</c:formatCode>
              <c:ptCount val="21"/>
              <c:pt idx="0">
                <c:v>2.3268337235576001E-3</c:v>
              </c:pt>
              <c:pt idx="1">
                <c:v>2.466676811153637E-3</c:v>
              </c:pt>
              <c:pt idx="2">
                <c:v>2.6138166712018933E-3</c:v>
              </c:pt>
              <c:pt idx="3">
                <c:v>2.7685741400948331E-3</c:v>
              </c:pt>
              <c:pt idx="4">
                <c:v>2.9312815010714525E-3</c:v>
              </c:pt>
              <c:pt idx="5">
                <c:v>3.1022828107865022E-3</c:v>
              </c:pt>
              <c:pt idx="6">
                <c:v>3.2819342352185372E-3</c:v>
              </c:pt>
              <c:pt idx="7">
                <c:v>3.4706043954107185E-3</c:v>
              </c:pt>
              <c:pt idx="8">
                <c:v>3.6686747235745365E-3</c:v>
              </c:pt>
              <c:pt idx="9">
                <c:v>3.87653983012467E-3</c:v>
              </c:pt>
              <c:pt idx="10">
                <c:v>4.094607882253176E-3</c:v>
              </c:pt>
              <c:pt idx="11">
                <c:v>4.3233009946946083E-3</c:v>
              </c:pt>
              <c:pt idx="12">
                <c:v>4.5630556333788666E-3</c:v>
              </c:pt>
              <c:pt idx="13">
                <c:v>4.8143664868622081E-3</c:v>
              </c:pt>
              <c:pt idx="14">
                <c:v>5.0776664167760535E-3</c:v>
              </c:pt>
              <c:pt idx="15">
                <c:v>5.3534333142334486E-3</c:v>
              </c:pt>
              <c:pt idx="16">
                <c:v>5.6421657767406772E-3</c:v>
              </c:pt>
              <c:pt idx="17">
                <c:v>5.9443790149535658E-3</c:v>
              </c:pt>
              <c:pt idx="18">
                <c:v>6.2606053522673184E-3</c:v>
              </c:pt>
              <c:pt idx="19">
                <c:v>6.5913947437551716E-3</c:v>
              </c:pt>
              <c:pt idx="20">
                <c:v>6.693555806651999E-3</c:v>
              </c:pt>
            </c:numLit>
          </c:yVal>
          <c:smooth val="1"/>
          <c:extLst>
            <c:ext xmlns:c16="http://schemas.microsoft.com/office/drawing/2014/chart" uri="{C3380CC4-5D6E-409C-BE32-E72D297353CC}">
              <c16:uniqueId val="{00000004-530E-40B1-B0E6-1AADA81A91D3}"/>
            </c:ext>
          </c:extLst>
        </c:ser>
        <c:ser>
          <c:idx val="4"/>
          <c:order val="4"/>
          <c:tx>
            <c:v>RH=10_Label2</c:v>
          </c:tx>
          <c:spPr>
            <a:ln w="3175">
              <a:solidFill>
                <a:srgbClr val="0000FF"/>
              </a:solidFill>
              <a:prstDash val="solid"/>
            </a:ln>
          </c:spPr>
          <c:marker>
            <c:symbol val="none"/>
          </c:marker>
          <c:dLbls>
            <c:dLbl>
              <c:idx val="0"/>
              <c:tx>
                <c:rich>
                  <a:bodyPr rot="-15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30E-40B1-B0E6-1AADA81A91D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47.468582019792713</c:v>
              </c:pt>
            </c:numLit>
          </c:xVal>
          <c:yVal>
            <c:numLit>
              <c:formatCode>General</c:formatCode>
              <c:ptCount val="1"/>
              <c:pt idx="0">
                <c:v>6.7970942125870166E-3</c:v>
              </c:pt>
            </c:numLit>
          </c:yVal>
          <c:smooth val="0"/>
          <c:extLst>
            <c:ext xmlns:c16="http://schemas.microsoft.com/office/drawing/2014/chart" uri="{C3380CC4-5D6E-409C-BE32-E72D297353CC}">
              <c16:uniqueId val="{00000006-530E-40B1-B0E6-1AADA81A91D3}"/>
            </c:ext>
          </c:extLst>
        </c:ser>
        <c:ser>
          <c:idx val="5"/>
          <c:order val="5"/>
          <c:tx>
            <c:v>RH=10_3</c:v>
          </c:tx>
          <c:spPr>
            <a:ln w="3175">
              <a:solidFill>
                <a:srgbClr val="0000FF"/>
              </a:solidFill>
              <a:prstDash val="solid"/>
            </a:ln>
          </c:spPr>
          <c:marker>
            <c:symbol val="none"/>
          </c:marker>
          <c:xVal>
            <c:numLit>
              <c:formatCode>General</c:formatCode>
              <c:ptCount val="4"/>
              <c:pt idx="0">
                <c:v>47.77192535836096</c:v>
              </c:pt>
              <c:pt idx="1">
                <c:v>48.783887743051473</c:v>
              </c:pt>
              <c:pt idx="2">
                <c:v>49.797175474186403</c:v>
              </c:pt>
              <c:pt idx="3">
                <c:v>50</c:v>
              </c:pt>
            </c:numLit>
          </c:xVal>
          <c:yVal>
            <c:numLit>
              <c:formatCode>General</c:formatCode>
              <c:ptCount val="4"/>
              <c:pt idx="0">
                <c:v>6.9020257792945907E-3</c:v>
              </c:pt>
              <c:pt idx="1">
                <c:v>7.262065631820038E-3</c:v>
              </c:pt>
              <c:pt idx="2">
                <c:v>7.6383681948431099E-3</c:v>
              </c:pt>
              <c:pt idx="3">
                <c:v>7.7156347951563434E-3</c:v>
              </c:pt>
            </c:numLit>
          </c:yVal>
          <c:smooth val="1"/>
          <c:extLst>
            <c:ext xmlns:c16="http://schemas.microsoft.com/office/drawing/2014/chart" uri="{C3380CC4-5D6E-409C-BE32-E72D297353CC}">
              <c16:uniqueId val="{00000007-530E-40B1-B0E6-1AADA81A91D3}"/>
            </c:ext>
          </c:extLst>
        </c:ser>
        <c:ser>
          <c:idx val="6"/>
          <c:order val="6"/>
          <c:tx>
            <c:v>RH=20_1</c:v>
          </c:tx>
          <c:spPr>
            <a:ln w="3175">
              <a:solidFill>
                <a:srgbClr val="0000FF"/>
              </a:solidFill>
              <a:prstDash val="solid"/>
            </a:ln>
          </c:spPr>
          <c:marker>
            <c:symbol val="none"/>
          </c:marker>
          <c:xVal>
            <c:numLit>
              <c:formatCode>General</c:formatCode>
              <c:ptCount val="34"/>
              <c:pt idx="0">
                <c:v>-10.035560496732938</c:v>
              </c:pt>
              <c:pt idx="1">
                <c:v>-9.0382026964619619</c:v>
              </c:pt>
              <c:pt idx="2">
                <c:v>-8.0410020393756554</c:v>
              </c:pt>
              <c:pt idx="3">
                <c:v>-7.0439643991642971</c:v>
              </c:pt>
              <c:pt idx="4">
                <c:v>-6.0470955422909016</c:v>
              </c:pt>
              <c:pt idx="5">
                <c:v>-5.0504010849725072</c:v>
              </c:pt>
              <c:pt idx="6">
                <c:v>-4.0538864457460759</c:v>
              </c:pt>
              <c:pt idx="7">
                <c:v>-3.0575567933261141</c:v>
              </c:pt>
              <c:pt idx="8">
                <c:v>-2.0614169894474266</c:v>
              </c:pt>
              <c:pt idx="9">
                <c:v>-1.0654715263721464</c:v>
              </c:pt>
              <c:pt idx="10">
                <c:v>-6.97244587252972E-2</c:v>
              </c:pt>
              <c:pt idx="11">
                <c:v>0.92653092787105074</c:v>
              </c:pt>
              <c:pt idx="12">
                <c:v>1.9226701661646581</c:v>
              </c:pt>
              <c:pt idx="13">
                <c:v>2.9186888084423579</c:v>
              </c:pt>
              <c:pt idx="14">
                <c:v>3.9145899067468815</c:v>
              </c:pt>
              <c:pt idx="15">
                <c:v>4.9103773014566139</c:v>
              </c:pt>
              <c:pt idx="16">
                <c:v>5.9060538111202767</c:v>
              </c:pt>
              <c:pt idx="17">
                <c:v>6.9016267487543175</c:v>
              </c:pt>
              <c:pt idx="18">
                <c:v>7.8971027167532792</c:v>
              </c:pt>
              <c:pt idx="19">
                <c:v>8.8924893864465524</c:v>
              </c:pt>
              <c:pt idx="20">
                <c:v>9.8877955770160781</c:v>
              </c:pt>
              <c:pt idx="21">
                <c:v>10.883029001805786</c:v>
              </c:pt>
              <c:pt idx="22">
                <c:v>11.878203170401681</c:v>
              </c:pt>
              <c:pt idx="23">
                <c:v>12.873330854228927</c:v>
              </c:pt>
              <c:pt idx="24">
                <c:v>13.868426328102487</c:v>
              </c:pt>
              <c:pt idx="25">
                <c:v>14.863505469299307</c:v>
              </c:pt>
              <c:pt idx="26">
                <c:v>15.858585861032267</c:v>
              </c:pt>
              <c:pt idx="27">
                <c:v>16.853686900469274</c:v>
              </c:pt>
              <c:pt idx="28">
                <c:v>17.848829911447321</c:v>
              </c:pt>
              <c:pt idx="29">
                <c:v>18.844038262038808</c:v>
              </c:pt>
              <c:pt idx="30">
                <c:v>19.839337487135094</c:v>
              </c:pt>
              <c:pt idx="31">
                <c:v>20.83475541622126</c:v>
              </c:pt>
              <c:pt idx="32">
                <c:v>21.830322306525588</c:v>
              </c:pt>
              <c:pt idx="33">
                <c:v>22.826070981737747</c:v>
              </c:pt>
            </c:numLit>
          </c:xVal>
          <c:yVal>
            <c:numLit>
              <c:formatCode>General</c:formatCode>
              <c:ptCount val="34"/>
              <c:pt idx="0">
                <c:v>3.2055429850658324E-4</c:v>
              </c:pt>
              <c:pt idx="1">
                <c:v>3.5020879023814594E-4</c:v>
              </c:pt>
              <c:pt idx="2">
                <c:v>3.8235123852344135E-4</c:v>
              </c:pt>
              <c:pt idx="3">
                <c:v>4.1716832257387661E-4</c:v>
              </c:pt>
              <c:pt idx="4">
                <c:v>4.5485902020590482E-4</c:v>
              </c:pt>
              <c:pt idx="5">
                <c:v>4.9563530285770194E-4</c:v>
              </c:pt>
              <c:pt idx="6">
                <c:v>5.3972286360566622E-4</c:v>
              </c:pt>
              <c:pt idx="7">
                <c:v>5.873618795503245E-4</c:v>
              </c:pt>
              <c:pt idx="8">
                <c:v>6.3880781000941775E-4</c:v>
              </c:pt>
              <c:pt idx="9">
                <c:v>6.9433223203014031E-4</c:v>
              </c:pt>
              <c:pt idx="10">
                <c:v>7.5422371481342985E-4</c:v>
              </c:pt>
              <c:pt idx="11">
                <c:v>8.1094894186661099E-4</c:v>
              </c:pt>
              <c:pt idx="12">
                <c:v>8.7134646996364098E-4</c:v>
              </c:pt>
              <c:pt idx="13">
                <c:v>9.3570188408817544E-4</c:v>
              </c:pt>
              <c:pt idx="14">
                <c:v>1.0042374218400759E-3</c:v>
              </c:pt>
              <c:pt idx="15">
                <c:v>1.0771856001749857E-3</c:v>
              </c:pt>
              <c:pt idx="16">
                <c:v>1.154812634567477E-3</c:v>
              </c:pt>
              <c:pt idx="17">
                <c:v>1.2373529726576297E-3</c:v>
              </c:pt>
              <c:pt idx="18">
                <c:v>1.3250725415540391E-3</c:v>
              </c:pt>
              <c:pt idx="19">
                <c:v>1.4182491113921719E-3</c:v>
              </c:pt>
              <c:pt idx="20">
                <c:v>1.5171727086266814E-3</c:v>
              </c:pt>
              <c:pt idx="21">
                <c:v>1.622178442009625E-3</c:v>
              </c:pt>
              <c:pt idx="22">
                <c:v>1.7335541960372019E-3</c:v>
              </c:pt>
              <c:pt idx="23">
                <c:v>1.8516297681735034E-3</c:v>
              </c:pt>
              <c:pt idx="24">
                <c:v>1.9767490132750658E-3</c:v>
              </c:pt>
              <c:pt idx="25">
                <c:v>2.10927032081257E-3</c:v>
              </c:pt>
              <c:pt idx="26">
                <c:v>2.2495671062861596E-3</c:v>
              </c:pt>
              <c:pt idx="27">
                <c:v>2.3980283174961114E-3</c:v>
              </c:pt>
              <c:pt idx="28">
                <c:v>2.5550589563843114E-3</c:v>
              </c:pt>
              <c:pt idx="29">
                <c:v>2.7210806172209283E-3</c:v>
              </c:pt>
              <c:pt idx="30">
                <c:v>2.8965320419730616E-3</c:v>
              </c:pt>
              <c:pt idx="31">
                <c:v>3.0818696937599506E-3</c:v>
              </c:pt>
              <c:pt idx="32">
                <c:v>3.2775683493713736E-3</c:v>
              </c:pt>
              <c:pt idx="33">
                <c:v>3.4841217119041239E-3</c:v>
              </c:pt>
            </c:numLit>
          </c:yVal>
          <c:smooth val="1"/>
          <c:extLst>
            <c:ext xmlns:c16="http://schemas.microsoft.com/office/drawing/2014/chart" uri="{C3380CC4-5D6E-409C-BE32-E72D297353CC}">
              <c16:uniqueId val="{00000008-530E-40B1-B0E6-1AADA81A91D3}"/>
            </c:ext>
          </c:extLst>
        </c:ser>
        <c:ser>
          <c:idx val="7"/>
          <c:order val="7"/>
          <c:tx>
            <c:v>RH=20_Label1</c:v>
          </c:tx>
          <c:spPr>
            <a:ln w="3175">
              <a:solidFill>
                <a:srgbClr val="0000FF"/>
              </a:solidFill>
              <a:prstDash val="solid"/>
            </a:ln>
          </c:spPr>
          <c:marker>
            <c:symbol val="none"/>
          </c:marker>
          <c:dLbls>
            <c:dLbl>
              <c:idx val="0"/>
              <c:tx>
                <c:rich>
                  <a:bodyPr rot="-9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20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30E-40B1-B0E6-1AADA81A91D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23.4634618281546</c:v>
              </c:pt>
            </c:numLit>
          </c:xVal>
          <c:yVal>
            <c:numLit>
              <c:formatCode>General</c:formatCode>
              <c:ptCount val="1"/>
              <c:pt idx="0">
                <c:v>3.6222486187216128E-3</c:v>
              </c:pt>
            </c:numLit>
          </c:yVal>
          <c:smooth val="0"/>
          <c:extLst>
            <c:ext xmlns:c16="http://schemas.microsoft.com/office/drawing/2014/chart" uri="{C3380CC4-5D6E-409C-BE32-E72D297353CC}">
              <c16:uniqueId val="{0000000A-530E-40B1-B0E6-1AADA81A91D3}"/>
            </c:ext>
          </c:extLst>
        </c:ser>
        <c:ser>
          <c:idx val="8"/>
          <c:order val="8"/>
          <c:tx>
            <c:v>RH=20_2</c:v>
          </c:tx>
          <c:spPr>
            <a:ln w="3175">
              <a:solidFill>
                <a:srgbClr val="0000FF"/>
              </a:solidFill>
              <a:prstDash val="solid"/>
            </a:ln>
          </c:spPr>
          <c:marker>
            <c:symbol val="none"/>
          </c:marker>
          <c:xVal>
            <c:numLit>
              <c:formatCode>General</c:formatCode>
              <c:ptCount val="21"/>
              <c:pt idx="0">
                <c:v>24.090989965522958</c:v>
              </c:pt>
              <c:pt idx="1">
                <c:v>25.08728670106132</c:v>
              </c:pt>
              <c:pt idx="2">
                <c:v>26.083889525140563</c:v>
              </c:pt>
              <c:pt idx="3">
                <c:v>27.080846559796672</c:v>
              </c:pt>
              <c:pt idx="4">
                <c:v>28.078206710864933</c:v>
              </c:pt>
              <c:pt idx="5">
                <c:v>29.07602246563086</c:v>
              </c:pt>
              <c:pt idx="6">
                <c:v>30.074350079513291</c:v>
              </c:pt>
              <c:pt idx="7">
                <c:v>31.073249770509715</c:v>
              </c:pt>
              <c:pt idx="8">
                <c:v>32.072785921759255</c:v>
              </c:pt>
              <c:pt idx="9">
                <c:v>33.073027292605012</c:v>
              </c:pt>
              <c:pt idx="10">
                <c:v>34.074047238566301</c:v>
              </c:pt>
              <c:pt idx="11">
                <c:v>35.075923940662001</c:v>
              </c:pt>
              <c:pt idx="12">
                <c:v>36.078740644560909</c:v>
              </c:pt>
              <c:pt idx="13">
                <c:v>37.082585910071032</c:v>
              </c:pt>
              <c:pt idx="14">
                <c:v>38.087553871520392</c:v>
              </c:pt>
              <c:pt idx="15">
                <c:v>39.093744509625317</c:v>
              </c:pt>
              <c:pt idx="16">
                <c:v>40.101263475245702</c:v>
              </c:pt>
              <c:pt idx="17">
                <c:v>41.110222635937923</c:v>
              </c:pt>
              <c:pt idx="18">
                <c:v>42.120742613179722</c:v>
              </c:pt>
              <c:pt idx="19">
                <c:v>43.132949797257567</c:v>
              </c:pt>
              <c:pt idx="20">
                <c:v>43.143080835819099</c:v>
              </c:pt>
            </c:numLit>
          </c:xVal>
          <c:yVal>
            <c:numLit>
              <c:formatCode>General</c:formatCode>
              <c:ptCount val="21"/>
              <c:pt idx="0">
                <c:v>3.762899562535327E-3</c:v>
              </c:pt>
              <c:pt idx="1">
                <c:v>3.9960515227318218E-3</c:v>
              </c:pt>
              <c:pt idx="2">
                <c:v>4.2418774317838923E-3</c:v>
              </c:pt>
              <c:pt idx="3">
                <c:v>4.5009049866489162E-3</c:v>
              </c:pt>
              <c:pt idx="4">
                <c:v>4.7737395125384907E-3</c:v>
              </c:pt>
              <c:pt idx="5">
                <c:v>5.0610096938973562E-3</c:v>
              </c:pt>
              <c:pt idx="6">
                <c:v>5.3633683765682734E-3</c:v>
              </c:pt>
              <c:pt idx="7">
                <c:v>5.6814934027757868E-3</c:v>
              </c:pt>
              <c:pt idx="8">
                <c:v>6.0160884810445394E-3</c:v>
              </c:pt>
              <c:pt idx="9">
                <c:v>6.3678840933275062E-3</c:v>
              </c:pt>
              <c:pt idx="10">
                <c:v>6.7376384417931747E-3</c:v>
              </c:pt>
              <c:pt idx="11">
                <c:v>7.1261384379044338E-3</c:v>
              </c:pt>
              <c:pt idx="12">
                <c:v>7.5342007366225091E-3</c:v>
              </c:pt>
              <c:pt idx="13">
                <c:v>7.9626728187814425E-3</c:v>
              </c:pt>
              <c:pt idx="14">
                <c:v>8.4124341249109912E-3</c:v>
              </c:pt>
              <c:pt idx="15">
                <c:v>8.8843972440316565E-3</c:v>
              </c:pt>
              <c:pt idx="16">
                <c:v>9.3795347447102571E-3</c:v>
              </c:pt>
              <c:pt idx="17">
                <c:v>9.8988796663613213E-3</c:v>
              </c:pt>
              <c:pt idx="18">
                <c:v>1.0443387106594744E-2</c:v>
              </c:pt>
              <c:pt idx="19">
                <c:v>1.1014116215220278E-2</c:v>
              </c:pt>
              <c:pt idx="20">
                <c:v>1.1019959610694009E-2</c:v>
              </c:pt>
            </c:numLit>
          </c:yVal>
          <c:smooth val="1"/>
          <c:extLst>
            <c:ext xmlns:c16="http://schemas.microsoft.com/office/drawing/2014/chart" uri="{C3380CC4-5D6E-409C-BE32-E72D297353CC}">
              <c16:uniqueId val="{0000000B-530E-40B1-B0E6-1AADA81A91D3}"/>
            </c:ext>
          </c:extLst>
        </c:ser>
        <c:ser>
          <c:idx val="9"/>
          <c:order val="9"/>
          <c:tx>
            <c:v>RH=20_Label2</c:v>
          </c:tx>
          <c:spPr>
            <a:ln w="3175">
              <a:solidFill>
                <a:srgbClr val="0000FF"/>
              </a:solidFill>
              <a:prstDash val="solid"/>
            </a:ln>
          </c:spPr>
          <c:marker>
            <c:symbol val="none"/>
          </c:marker>
          <c:dLbls>
            <c:dLbl>
              <c:idx val="0"/>
              <c:tx>
                <c:rich>
                  <a:bodyPr rot="-22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20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30E-40B1-B0E6-1AADA81A91D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43.447097324768826</c:v>
              </c:pt>
            </c:numLit>
          </c:xVal>
          <c:yVal>
            <c:numLit>
              <c:formatCode>General</c:formatCode>
              <c:ptCount val="1"/>
              <c:pt idx="0">
                <c:v>1.1196537306347976E-2</c:v>
              </c:pt>
            </c:numLit>
          </c:yVal>
          <c:smooth val="0"/>
          <c:extLst>
            <c:ext xmlns:c16="http://schemas.microsoft.com/office/drawing/2014/chart" uri="{C3380CC4-5D6E-409C-BE32-E72D297353CC}">
              <c16:uniqueId val="{0000000D-530E-40B1-B0E6-1AADA81A91D3}"/>
            </c:ext>
          </c:extLst>
        </c:ser>
        <c:ser>
          <c:idx val="10"/>
          <c:order val="10"/>
          <c:tx>
            <c:v>RH=20_3</c:v>
          </c:tx>
          <c:spPr>
            <a:ln w="3175">
              <a:solidFill>
                <a:srgbClr val="0000FF"/>
              </a:solidFill>
              <a:prstDash val="solid"/>
            </a:ln>
          </c:spPr>
          <c:marker>
            <c:symbol val="none"/>
          </c:marker>
          <c:dLbls>
            <c:dLbl>
              <c:idx val="3"/>
              <c:tx>
                <c:rich>
                  <a:bodyPr rot="-2520000" vert="horz" wrap="square" lIns="0" tIns="0" rIns="0" bIns="0" anchor="ctr">
                    <a:spAutoFit/>
                  </a:bodyPr>
                  <a:lstStyle/>
                  <a:p>
                    <a:pPr algn="ctr">
                      <a:defRPr altLang="en-US" sz="700" i="1" u="none" strike="noStrike" baseline="0">
                        <a:latin typeface="ＭＳ Ｐ明朝"/>
                        <a:ea typeface="ＭＳ Ｐ明朝"/>
                        <a:cs typeface="ＭＳ Ｐ明朝"/>
                      </a:defRPr>
                    </a:pPr>
                    <a:r>
                      <a:rPr lang="ja-JP" altLang="en-US"/>
                      <a:t>相対湿度 </a:t>
                    </a:r>
                    <a:r>
                      <a:rPr lang="el-GR"/>
                      <a:t>φ[</a:t>
                    </a:r>
                    <a:r>
                      <a:rPr lang="ja-JP" altLang="el-GR"/>
                      <a:t>％</a:t>
                    </a:r>
                    <a:r>
                      <a:rPr lang="el-GR"/>
                      <a:t>]
</a:t>
                    </a:r>
                    <a:endParaRPr lang="el-GR" altLang="ja-JP"/>
                  </a:p>
                </c:rich>
              </c:tx>
              <c:spPr>
                <a:solidFill>
                  <a:srgbClr val="FFFFFF">
                    <a:alpha val="0"/>
                  </a:srgbClr>
                </a:solidFill>
                <a:ln>
                  <a:noFill/>
                </a:ln>
                <a:effectLst/>
              </c:spPr>
              <c:dLblPos val="ct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E-530E-40B1-B0E6-1AADA81A91D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8"/>
              <c:pt idx="0">
                <c:v>43.751281523767183</c:v>
              </c:pt>
              <c:pt idx="1">
                <c:v>44.766489529880268</c:v>
              </c:pt>
              <c:pt idx="2">
                <c:v>45.783750430022089</c:v>
              </c:pt>
              <c:pt idx="3">
                <c:v>46.803219082404993</c:v>
              </c:pt>
              <c:pt idx="4">
                <c:v>47.825059125327186</c:v>
              </c:pt>
              <c:pt idx="5">
                <c:v>48.849443401728202</c:v>
              </c:pt>
              <c:pt idx="6">
                <c:v>49.876554405498752</c:v>
              </c:pt>
              <c:pt idx="7">
                <c:v>50.000000000000007</c:v>
              </c:pt>
            </c:numLit>
          </c:xVal>
          <c:yVal>
            <c:numLit>
              <c:formatCode>General</c:formatCode>
              <c:ptCount val="8"/>
              <c:pt idx="0">
                <c:v>1.1375605022333236E-2</c:v>
              </c:pt>
              <c:pt idx="1">
                <c:v>1.199087837496329E-2</c:v>
              </c:pt>
              <c:pt idx="2">
                <c:v>1.2635330853661442E-2</c:v>
              </c:pt>
              <c:pt idx="3">
                <c:v>1.3310174231557656E-2</c:v>
              </c:pt>
              <c:pt idx="4">
                <c:v>1.4016666646594227E-2</c:v>
              </c:pt>
              <c:pt idx="5">
                <c:v>1.475611456481781E-2</c:v>
              </c:pt>
              <c:pt idx="6">
                <c:v>1.5529874857761593E-2</c:v>
              </c:pt>
              <c:pt idx="7">
                <c:v>1.5625098253228449E-2</c:v>
              </c:pt>
            </c:numLit>
          </c:yVal>
          <c:smooth val="1"/>
          <c:extLst>
            <c:ext xmlns:c16="http://schemas.microsoft.com/office/drawing/2014/chart" uri="{C3380CC4-5D6E-409C-BE32-E72D297353CC}">
              <c16:uniqueId val="{0000000F-530E-40B1-B0E6-1AADA81A91D3}"/>
            </c:ext>
          </c:extLst>
        </c:ser>
        <c:ser>
          <c:idx val="11"/>
          <c:order val="11"/>
          <c:tx>
            <c:v>RH=30_1</c:v>
          </c:tx>
          <c:spPr>
            <a:ln w="3175">
              <a:solidFill>
                <a:srgbClr val="0000FF"/>
              </a:solidFill>
              <a:prstDash val="solid"/>
            </a:ln>
          </c:spPr>
          <c:marker>
            <c:symbol val="none"/>
          </c:marker>
          <c:xVal>
            <c:numLit>
              <c:formatCode>General</c:formatCode>
              <c:ptCount val="32"/>
              <c:pt idx="0">
                <c:v>-10.053354493943724</c:v>
              </c:pt>
              <c:pt idx="1">
                <c:v>-9.0573201818931413</c:v>
              </c:pt>
              <c:pt idx="2">
                <c:v>-8.0615219688362885</c:v>
              </c:pt>
              <c:pt idx="3">
                <c:v>-7.0659687216933014</c:v>
              </c:pt>
              <c:pt idx="4">
                <c:v>-6.0706691538991491</c:v>
              </c:pt>
              <c:pt idx="5">
                <c:v>-5.0756317616842264</c:v>
              </c:pt>
              <c:pt idx="6">
                <c:v>-4.0808647537958755</c:v>
              </c:pt>
              <c:pt idx="7">
                <c:v>-3.0863759742222392</c:v>
              </c:pt>
              <c:pt idx="8">
                <c:v>-2.0921728174581125</c:v>
              </c:pt>
              <c:pt idx="9">
                <c:v>-1.0982621358298799</c:v>
              </c:pt>
              <c:pt idx="10">
                <c:v>-0.10465013837261665</c:v>
              </c:pt>
              <c:pt idx="11">
                <c:v>0.88972450219737909</c:v>
              </c:pt>
              <c:pt idx="12">
                <c:v>1.8839239424018834</c:v>
              </c:pt>
              <c:pt idx="13">
                <c:v>2.8779414006588313</c:v>
              </c:pt>
              <c:pt idx="14">
                <c:v>3.871781350388404</c:v>
              </c:pt>
              <c:pt idx="15">
                <c:v>4.8654494404600808</c:v>
              </c:pt>
              <c:pt idx="16">
                <c:v>5.8589497747029542</c:v>
              </c:pt>
              <c:pt idx="17">
                <c:v>6.8522932008453763</c:v>
              </c:pt>
              <c:pt idx="18">
                <c:v>7.8454894897457255</c:v>
              </c:pt>
              <c:pt idx="19">
                <c:v>8.8385500091965099</c:v>
              </c:pt>
              <c:pt idx="20">
                <c:v>9.8314878428015433</c:v>
              </c:pt>
              <c:pt idx="21">
                <c:v>10.824314400976062</c:v>
              </c:pt>
              <c:pt idx="22">
                <c:v>11.817049800389974</c:v>
              </c:pt>
              <c:pt idx="23">
                <c:v>12.809713039921014</c:v>
              </c:pt>
              <c:pt idx="24">
                <c:v>13.802325371823336</c:v>
              </c:pt>
              <c:pt idx="25">
                <c:v>14.794910452175319</c:v>
              </c:pt>
              <c:pt idx="26">
                <c:v>15.787494498334434</c:v>
              </c:pt>
              <c:pt idx="27">
                <c:v>16.780106453672715</c:v>
              </c:pt>
              <c:pt idx="28">
                <c:v>17.772778159883224</c:v>
              </c:pt>
              <c:pt idx="29">
                <c:v>18.765544537166129</c:v>
              </c:pt>
              <c:pt idx="30">
                <c:v>19.758443772623167</c:v>
              </c:pt>
              <c:pt idx="31">
                <c:v>20.24502537845661</c:v>
              </c:pt>
            </c:numLit>
          </c:xVal>
          <c:yVal>
            <c:numLit>
              <c:formatCode>General</c:formatCode>
              <c:ptCount val="32"/>
              <c:pt idx="0">
                <c:v>4.8095538447478798E-4</c:v>
              </c:pt>
              <c:pt idx="1">
                <c:v>5.2546111704482746E-4</c:v>
              </c:pt>
              <c:pt idx="2">
                <c:v>5.7370319474700678E-4</c:v>
              </c:pt>
              <c:pt idx="3">
                <c:v>6.2596240354141543E-4</c:v>
              </c:pt>
              <c:pt idx="4">
                <c:v>6.8253810313502938E-4</c:v>
              </c:pt>
              <c:pt idx="5">
                <c:v>7.4374928889864127E-4</c:v>
              </c:pt>
              <c:pt idx="6">
                <c:v>8.0993570607976032E-4</c:v>
              </c:pt>
              <c:pt idx="7">
                <c:v>8.8145901874186257E-4</c:v>
              </c:pt>
              <c:pt idx="8">
                <c:v>9.5870403600972981E-4</c:v>
              </c:pt>
              <c:pt idx="9">
                <c:v>1.042079998364528E-3</c:v>
              </c:pt>
              <c:pt idx="10">
                <c:v>1.1320219269123908E-3</c:v>
              </c:pt>
              <c:pt idx="11">
                <c:v>1.2172169276874775E-3</c:v>
              </c:pt>
              <c:pt idx="12">
                <c:v>1.3079358640647994E-3</c:v>
              </c:pt>
              <c:pt idx="13">
                <c:v>1.4046093678473526E-3</c:v>
              </c:pt>
              <c:pt idx="14">
                <c:v>1.5075731826702395E-3</c:v>
              </c:pt>
              <c:pt idx="15">
                <c:v>1.6171787681858833E-3</c:v>
              </c:pt>
              <c:pt idx="16">
                <c:v>1.7338285269895967E-3</c:v>
              </c:pt>
              <c:pt idx="17">
                <c:v>1.8578774687365771E-3</c:v>
              </c:pt>
              <c:pt idx="18">
                <c:v>1.9897282810522198E-3</c:v>
              </c:pt>
              <c:pt idx="19">
                <c:v>2.1298018718635013E-3</c:v>
              </c:pt>
              <c:pt idx="20">
                <c:v>2.278538039538269E-3</c:v>
              </c:pt>
              <c:pt idx="21">
                <c:v>2.4364448941009312E-3</c:v>
              </c:pt>
              <c:pt idx="22">
                <c:v>2.6039601132949388E-3</c:v>
              </c:pt>
              <c:pt idx="23">
                <c:v>2.7815850310877644E-3</c:v>
              </c:pt>
              <c:pt idx="24">
                <c:v>2.9698428307306547E-3</c:v>
              </c:pt>
              <c:pt idx="25">
                <c:v>3.1692793411924403E-3</c:v>
              </c:pt>
              <c:pt idx="26">
                <c:v>3.3804638626748922E-3</c:v>
              </c:pt>
              <c:pt idx="27">
                <c:v>3.6039900228942794E-3</c:v>
              </c:pt>
              <c:pt idx="28">
                <c:v>3.840476665952176E-3</c:v>
              </c:pt>
              <c:pt idx="29">
                <c:v>4.0905687757696188E-3</c:v>
              </c:pt>
              <c:pt idx="30">
                <c:v>4.3549384362202544E-3</c:v>
              </c:pt>
              <c:pt idx="31">
                <c:v>4.4899026259122817E-3</c:v>
              </c:pt>
            </c:numLit>
          </c:yVal>
          <c:smooth val="1"/>
          <c:extLst>
            <c:ext xmlns:c16="http://schemas.microsoft.com/office/drawing/2014/chart" uri="{C3380CC4-5D6E-409C-BE32-E72D297353CC}">
              <c16:uniqueId val="{00000010-530E-40B1-B0E6-1AADA81A91D3}"/>
            </c:ext>
          </c:extLst>
        </c:ser>
        <c:ser>
          <c:idx val="12"/>
          <c:order val="12"/>
          <c:tx>
            <c:v>RH=30_Label1</c:v>
          </c:tx>
          <c:spPr>
            <a:ln w="3175">
              <a:solidFill>
                <a:srgbClr val="0000FF"/>
              </a:solidFill>
              <a:prstDash val="solid"/>
            </a:ln>
          </c:spPr>
          <c:marker>
            <c:symbol val="none"/>
          </c:marker>
          <c:dLbls>
            <c:dLbl>
              <c:idx val="0"/>
              <c:tx>
                <c:rich>
                  <a:bodyPr rot="-12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30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30E-40B1-B0E6-1AADA81A91D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20.811108461403002</c:v>
              </c:pt>
            </c:numLit>
          </c:xVal>
          <c:yVal>
            <c:numLit>
              <c:formatCode>General</c:formatCode>
              <c:ptCount val="1"/>
              <c:pt idx="0">
                <c:v>4.6515387384462158E-3</c:v>
              </c:pt>
            </c:numLit>
          </c:yVal>
          <c:smooth val="0"/>
          <c:extLst>
            <c:ext xmlns:c16="http://schemas.microsoft.com/office/drawing/2014/chart" uri="{C3380CC4-5D6E-409C-BE32-E72D297353CC}">
              <c16:uniqueId val="{00000012-530E-40B1-B0E6-1AADA81A91D3}"/>
            </c:ext>
          </c:extLst>
        </c:ser>
        <c:ser>
          <c:idx val="13"/>
          <c:order val="13"/>
          <c:tx>
            <c:v>RH=30_2</c:v>
          </c:tx>
          <c:spPr>
            <a:ln w="3175">
              <a:solidFill>
                <a:srgbClr val="0000FF"/>
              </a:solidFill>
              <a:prstDash val="solid"/>
            </a:ln>
          </c:spPr>
          <c:marker>
            <c:symbol val="none"/>
          </c:marker>
          <c:xVal>
            <c:numLit>
              <c:formatCode>General</c:formatCode>
              <c:ptCount val="18"/>
              <c:pt idx="0">
                <c:v>21.377263818739706</c:v>
              </c:pt>
              <c:pt idx="1">
                <c:v>22.370720895339069</c:v>
              </c:pt>
              <c:pt idx="2">
                <c:v>23.364480102613534</c:v>
              </c:pt>
              <c:pt idx="3">
                <c:v>24.35859746559164</c:v>
              </c:pt>
              <c:pt idx="4">
                <c:v>25.353129999964821</c:v>
              </c:pt>
              <c:pt idx="5">
                <c:v>26.348144260675021</c:v>
              </c:pt>
              <c:pt idx="6">
                <c:v>27.343712590614235</c:v>
              </c:pt>
              <c:pt idx="7">
                <c:v>28.339910613496379</c:v>
              </c:pt>
              <c:pt idx="8">
                <c:v>29.336819542810858</c:v>
              </c:pt>
              <c:pt idx="9">
                <c:v>30.334526485832559</c:v>
              </c:pt>
              <c:pt idx="10">
                <c:v>31.333124762061246</c:v>
              </c:pt>
              <c:pt idx="11">
                <c:v>32.332714236929732</c:v>
              </c:pt>
              <c:pt idx="12">
                <c:v>33.333401671690773</c:v>
              </c:pt>
              <c:pt idx="13">
                <c:v>34.335301090470558</c:v>
              </c:pt>
              <c:pt idx="14">
                <c:v>35.338534165561015</c:v>
              </c:pt>
              <c:pt idx="15">
                <c:v>36.343230622116273</c:v>
              </c:pt>
              <c:pt idx="16">
                <c:v>37.349528663520069</c:v>
              </c:pt>
              <c:pt idx="17">
                <c:v>38.286952001805297</c:v>
              </c:pt>
            </c:numLit>
          </c:xVal>
          <c:yVal>
            <c:numLit>
              <c:formatCode>General</c:formatCode>
              <c:ptCount val="18"/>
              <c:pt idx="0">
                <c:v>4.8182920461159124E-3</c:v>
              </c:pt>
              <c:pt idx="1">
                <c:v>5.1236299709849099E-3</c:v>
              </c:pt>
              <c:pt idx="2">
                <c:v>5.445929040633163E-3</c:v>
              </c:pt>
              <c:pt idx="3">
                <c:v>5.7860005173922934E-3</c:v>
              </c:pt>
              <c:pt idx="4">
                <c:v>6.1447668346722162E-3</c:v>
              </c:pt>
              <c:pt idx="5">
                <c:v>6.5230875389578839E-3</c:v>
              </c:pt>
              <c:pt idx="6">
                <c:v>6.9218359323902426E-3</c:v>
              </c:pt>
              <c:pt idx="7">
                <c:v>7.3419657449303828E-3</c:v>
              </c:pt>
              <c:pt idx="8">
                <c:v>7.7844695692135405E-3</c:v>
              </c:pt>
              <c:pt idx="9">
                <c:v>8.2503804034741533E-3</c:v>
              </c:pt>
              <c:pt idx="10">
                <c:v>8.7407732735813454E-3</c:v>
              </c:pt>
              <c:pt idx="11">
                <c:v>9.256766939931332E-3</c:v>
              </c:pt>
              <c:pt idx="12">
                <c:v>9.7995256954131298E-3</c:v>
              </c:pt>
              <c:pt idx="13">
                <c:v>1.0370261261171108E-2</c:v>
              </c:pt>
              <c:pt idx="14">
                <c:v>1.0970234787438431E-2</c:v>
              </c:pt>
              <c:pt idx="15">
                <c:v>1.1600758967316551E-2</c:v>
              </c:pt>
              <c:pt idx="16">
                <c:v>1.226320027202504E-2</c:v>
              </c:pt>
              <c:pt idx="17">
                <c:v>1.2909160753810515E-2</c:v>
              </c:pt>
            </c:numLit>
          </c:yVal>
          <c:smooth val="1"/>
          <c:extLst>
            <c:ext xmlns:c16="http://schemas.microsoft.com/office/drawing/2014/chart" uri="{C3380CC4-5D6E-409C-BE32-E72D297353CC}">
              <c16:uniqueId val="{00000013-530E-40B1-B0E6-1AADA81A91D3}"/>
            </c:ext>
          </c:extLst>
        </c:ser>
        <c:ser>
          <c:idx val="14"/>
          <c:order val="14"/>
          <c:tx>
            <c:v>RH=30_Label2</c:v>
          </c:tx>
          <c:spPr>
            <a:ln w="3175">
              <a:solidFill>
                <a:srgbClr val="0000FF"/>
              </a:solidFill>
              <a:prstDash val="solid"/>
            </a:ln>
          </c:spPr>
          <c:marker>
            <c:symbol val="none"/>
          </c:marker>
          <c:dLbls>
            <c:dLbl>
              <c:idx val="0"/>
              <c:tx>
                <c:rich>
                  <a:bodyPr rot="-264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30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30E-40B1-B0E6-1AADA81A91D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38.589689789328688</c:v>
              </c:pt>
            </c:numLit>
          </c:xVal>
          <c:yVal>
            <c:numLit>
              <c:formatCode>General</c:formatCode>
              <c:ptCount val="1"/>
              <c:pt idx="0">
                <c:v>1.3123881389130688E-2</c:v>
              </c:pt>
            </c:numLit>
          </c:yVal>
          <c:smooth val="0"/>
          <c:extLst>
            <c:ext xmlns:c16="http://schemas.microsoft.com/office/drawing/2014/chart" uri="{C3380CC4-5D6E-409C-BE32-E72D297353CC}">
              <c16:uniqueId val="{00000015-530E-40B1-B0E6-1AADA81A91D3}"/>
            </c:ext>
          </c:extLst>
        </c:ser>
        <c:ser>
          <c:idx val="15"/>
          <c:order val="15"/>
          <c:tx>
            <c:v>RH=30_3</c:v>
          </c:tx>
          <c:spPr>
            <a:ln w="3175">
              <a:solidFill>
                <a:srgbClr val="0000FF"/>
              </a:solidFill>
              <a:prstDash val="solid"/>
            </a:ln>
          </c:spPr>
          <c:marker>
            <c:symbol val="none"/>
          </c:marker>
          <c:xVal>
            <c:numLit>
              <c:formatCode>General</c:formatCode>
              <c:ptCount val="12"/>
              <c:pt idx="0">
                <c:v>38.892602344462084</c:v>
              </c:pt>
              <c:pt idx="1">
                <c:v>39.903630523991851</c:v>
              </c:pt>
              <c:pt idx="2">
                <c:v>40.916820712497518</c:v>
              </c:pt>
              <c:pt idx="3">
                <c:v>41.932357840698131</c:v>
              </c:pt>
              <c:pt idx="4">
                <c:v>42.950435837011995</c:v>
              </c:pt>
              <c:pt idx="5">
                <c:v>43.971260512090304</c:v>
              </c:pt>
              <c:pt idx="6">
                <c:v>44.995050194605206</c:v>
              </c:pt>
              <c:pt idx="7">
                <c:v>46.022036404376692</c:v>
              </c:pt>
              <c:pt idx="8">
                <c:v>47.052464565732187</c:v>
              </c:pt>
              <c:pt idx="9">
                <c:v>48.086594764263893</c:v>
              </c:pt>
              <c:pt idx="10">
                <c:v>49.124702550447587</c:v>
              </c:pt>
              <c:pt idx="11">
                <c:v>50</c:v>
              </c:pt>
            </c:numLit>
          </c:xVal>
          <c:yVal>
            <c:numLit>
              <c:formatCode>General</c:formatCode>
              <c:ptCount val="12"/>
              <c:pt idx="0">
                <c:v>1.3341766926117184E-2</c:v>
              </c:pt>
              <c:pt idx="1">
                <c:v>1.4091468488515061E-2</c:v>
              </c:pt>
              <c:pt idx="2">
                <c:v>1.4878506983621821E-2</c:v>
              </c:pt>
              <c:pt idx="3">
                <c:v>1.5704411637157415E-2</c:v>
              </c:pt>
              <c:pt idx="4">
                <c:v>1.6570894482639917E-2</c:v>
              </c:pt>
              <c:pt idx="5">
                <c:v>1.7479739729448066E-2</c:v>
              </c:pt>
              <c:pt idx="6">
                <c:v>1.8432807276633257E-2</c:v>
              </c:pt>
              <c:pt idx="7">
                <c:v>1.9432036457920871E-2</c:v>
              </c:pt>
              <c:pt idx="8">
                <c:v>2.0479450036616827E-2</c:v>
              </c:pt>
              <c:pt idx="9">
                <c:v>2.1577158470815844E-2</c:v>
              </c:pt>
              <c:pt idx="10">
                <c:v>2.272736447115447E-2</c:v>
              </c:pt>
              <c:pt idx="11">
                <c:v>2.3735787197097544E-2</c:v>
              </c:pt>
            </c:numLit>
          </c:yVal>
          <c:smooth val="1"/>
          <c:extLst>
            <c:ext xmlns:c16="http://schemas.microsoft.com/office/drawing/2014/chart" uri="{C3380CC4-5D6E-409C-BE32-E72D297353CC}">
              <c16:uniqueId val="{00000016-530E-40B1-B0E6-1AADA81A91D3}"/>
            </c:ext>
          </c:extLst>
        </c:ser>
        <c:ser>
          <c:idx val="16"/>
          <c:order val="16"/>
          <c:tx>
            <c:v>RH=40_1</c:v>
          </c:tx>
          <c:spPr>
            <a:ln w="3175">
              <a:solidFill>
                <a:srgbClr val="0000FF"/>
              </a:solidFill>
              <a:prstDash val="solid"/>
            </a:ln>
          </c:spPr>
          <c:marker>
            <c:symbol val="none"/>
          </c:marker>
          <c:xVal>
            <c:numLit>
              <c:formatCode>General</c:formatCode>
              <c:ptCount val="30"/>
              <c:pt idx="0">
                <c:v>-10.071157666503382</c:v>
              </c:pt>
              <c:pt idx="1">
                <c:v>-9.0764484375794456</c:v>
              </c:pt>
              <c:pt idx="2">
                <c:v>-8.0820545203209271</c:v>
              </c:pt>
              <c:pt idx="3">
                <c:v>-7.0879878126509359</c:v>
              </c:pt>
              <c:pt idx="4">
                <c:v>-6.094260017697489</c:v>
              </c:pt>
              <c:pt idx="5">
                <c:v>-5.1008825599224101</c:v>
              </c:pt>
              <c:pt idx="6">
                <c:v>-4.107866492592299</c:v>
              </c:pt>
              <c:pt idx="7">
                <c:v>-3.1152223960079723</c:v>
              </c:pt>
              <c:pt idx="8">
                <c:v>-2.1229602658786209</c:v>
              </c:pt>
              <c:pt idx="9">
                <c:v>-1.1310893911950206</c:v>
              </c:pt>
              <c:pt idx="10">
                <c:v>-0.1396182209221522</c:v>
              </c:pt>
              <c:pt idx="11">
                <c:v>0.85287002497976261</c:v>
              </c:pt>
              <c:pt idx="12">
                <c:v>1.8451233619897396</c:v>
              </c:pt>
              <c:pt idx="13">
                <c:v>2.8371326004330104</c:v>
              </c:pt>
              <c:pt idx="14">
                <c:v>3.8289035643484142</c:v>
              </c:pt>
              <c:pt idx="15">
                <c:v>4.8204436354700766</c:v>
              </c:pt>
              <c:pt idx="16">
                <c:v>5.8117581188760123</c:v>
              </c:pt>
              <c:pt idx="17">
                <c:v>6.8028613142570338</c:v>
              </c:pt>
              <c:pt idx="18">
                <c:v>7.7937660706380818</c:v>
              </c:pt>
              <c:pt idx="19">
                <c:v>8.784487357391205</c:v>
              </c:pt>
              <c:pt idx="20">
                <c:v>9.7750424233722342</c:v>
              </c:pt>
              <c:pt idx="21">
                <c:v>10.765446266884746</c:v>
              </c:pt>
              <c:pt idx="22">
                <c:v>11.755725510122451</c:v>
              </c:pt>
              <c:pt idx="23">
                <c:v>12.745905270364457</c:v>
              </c:pt>
              <c:pt idx="24">
                <c:v>13.736013666649088</c:v>
              </c:pt>
              <c:pt idx="25">
                <c:v>14.726082022781892</c:v>
              </c:pt>
              <c:pt idx="26">
                <c:v>15.71614508022641</c:v>
              </c:pt>
              <c:pt idx="27">
                <c:v>16.706241221322188</c:v>
              </c:pt>
              <c:pt idx="28">
                <c:v>17.696412703306457</c:v>
              </c:pt>
              <c:pt idx="29">
                <c:v>18.171735229623049</c:v>
              </c:pt>
            </c:numLit>
          </c:xVal>
          <c:yVal>
            <c:numLit>
              <c:formatCode>General</c:formatCode>
              <c:ptCount val="30"/>
              <c:pt idx="0">
                <c:v>6.4143918012905593E-4</c:v>
              </c:pt>
              <c:pt idx="1">
                <c:v>7.008121760973331E-4</c:v>
              </c:pt>
              <c:pt idx="2">
                <c:v>7.651728535674235E-4</c:v>
              </c:pt>
              <c:pt idx="3">
                <c:v>8.3489661881570713E-4</c:v>
              </c:pt>
              <c:pt idx="4">
                <c:v>9.1038381147920844E-4</c:v>
              </c:pt>
              <c:pt idx="5">
                <c:v>9.9206114645107807E-4</c:v>
              </c:pt>
              <c:pt idx="6">
                <c:v>1.0803832292697476E-3</c:v>
              </c:pt>
              <c:pt idx="7">
                <c:v>1.1758341487524879E-3</c:v>
              </c:pt>
              <c:pt idx="8">
                <c:v>1.2789291508880532E-3</c:v>
              </c:pt>
              <c:pt idx="9">
                <c:v>1.3902163982942313E-3</c:v>
              </c:pt>
              <c:pt idx="10">
                <c:v>1.5102788198675821E-3</c:v>
              </c:pt>
              <c:pt idx="11">
                <c:v>1.6240153047000082E-3</c:v>
              </c:pt>
              <c:pt idx="12">
                <c:v>1.7451377446048627E-3</c:v>
              </c:pt>
              <c:pt idx="13">
                <c:v>1.8742233352138143E-3</c:v>
              </c:pt>
              <c:pt idx="14">
                <c:v>2.0117229343793344E-3</c:v>
              </c:pt>
              <c:pt idx="15">
                <c:v>2.1581087540872529E-3</c:v>
              </c:pt>
              <c:pt idx="16">
                <c:v>2.3139214615192092E-3</c:v>
              </c:pt>
              <c:pt idx="17">
                <c:v>2.4796388829385293E-3</c:v>
              </c:pt>
              <c:pt idx="18">
                <c:v>2.6558030330016539E-3</c:v>
              </c:pt>
              <c:pt idx="19">
                <c:v>2.8429808348341017E-3</c:v>
              </c:pt>
              <c:pt idx="20">
                <c:v>3.0417650818216663E-3</c:v>
              </c:pt>
              <c:pt idx="21">
                <c:v>3.2528405778045949E-3</c:v>
              </c:pt>
              <c:pt idx="22">
                <c:v>3.4767987665084011E-3</c:v>
              </c:pt>
              <c:pt idx="23">
                <c:v>3.7143170301272206E-3</c:v>
              </c:pt>
              <c:pt idx="24">
                <c:v>3.9661029174285749E-3</c:v>
              </c:pt>
              <c:pt idx="25">
                <c:v>4.2328953161507891E-3</c:v>
              </c:pt>
              <c:pt idx="26">
                <c:v>4.5154656750827386E-3</c:v>
              </c:pt>
              <c:pt idx="27">
                <c:v>4.8146192790791617E-3</c:v>
              </c:pt>
              <c:pt idx="28">
                <c:v>5.1311965805394127E-3</c:v>
              </c:pt>
              <c:pt idx="29">
                <c:v>5.289598667499288E-3</c:v>
              </c:pt>
            </c:numLit>
          </c:yVal>
          <c:smooth val="1"/>
          <c:extLst>
            <c:ext xmlns:c16="http://schemas.microsoft.com/office/drawing/2014/chart" uri="{C3380CC4-5D6E-409C-BE32-E72D297353CC}">
              <c16:uniqueId val="{00000017-530E-40B1-B0E6-1AADA81A91D3}"/>
            </c:ext>
          </c:extLst>
        </c:ser>
        <c:ser>
          <c:idx val="17"/>
          <c:order val="17"/>
          <c:tx>
            <c:v>RH=40_Label1</c:v>
          </c:tx>
          <c:spPr>
            <a:ln w="3175">
              <a:solidFill>
                <a:srgbClr val="0000FF"/>
              </a:solidFill>
              <a:prstDash val="solid"/>
            </a:ln>
          </c:spPr>
          <c:marker>
            <c:symbol val="none"/>
          </c:marker>
          <c:dLbls>
            <c:dLbl>
              <c:idx val="0"/>
              <c:tx>
                <c:rich>
                  <a:bodyPr rot="-15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40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30E-40B1-B0E6-1AADA81A91D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18.696609618261668</c:v>
              </c:pt>
            </c:numLit>
          </c:xVal>
          <c:yVal>
            <c:numLit>
              <c:formatCode>General</c:formatCode>
              <c:ptCount val="1"/>
              <c:pt idx="0">
                <c:v>5.4695188532680209E-3</c:v>
              </c:pt>
            </c:numLit>
          </c:yVal>
          <c:smooth val="0"/>
          <c:extLst>
            <c:ext xmlns:c16="http://schemas.microsoft.com/office/drawing/2014/chart" uri="{C3380CC4-5D6E-409C-BE32-E72D297353CC}">
              <c16:uniqueId val="{00000019-530E-40B1-B0E6-1AADA81A91D3}"/>
            </c:ext>
          </c:extLst>
        </c:ser>
        <c:ser>
          <c:idx val="18"/>
          <c:order val="18"/>
          <c:tx>
            <c:v>RH=40_2</c:v>
          </c:tx>
          <c:spPr>
            <a:ln w="3175">
              <a:solidFill>
                <a:srgbClr val="0000FF"/>
              </a:solidFill>
              <a:prstDash val="solid"/>
            </a:ln>
          </c:spPr>
          <c:marker>
            <c:symbol val="none"/>
          </c:marker>
          <c:xVal>
            <c:numLit>
              <c:formatCode>General</c:formatCode>
              <c:ptCount val="17"/>
              <c:pt idx="0">
                <c:v>19.211627821712195</c:v>
              </c:pt>
              <c:pt idx="1">
                <c:v>20.202207062511963</c:v>
              </c:pt>
              <c:pt idx="2">
                <c:v>21.193045521947305</c:v>
              </c:pt>
              <c:pt idx="3">
                <c:v>22.184206264025072</c:v>
              </c:pt>
              <c:pt idx="4">
                <c:v>23.175757742162592</c:v>
              </c:pt>
              <c:pt idx="5">
                <c:v>24.167774118297825</c:v>
              </c:pt>
              <c:pt idx="6">
                <c:v>25.1603316445307</c:v>
              </c:pt>
              <c:pt idx="7">
                <c:v>26.153517149618409</c:v>
              </c:pt>
              <c:pt idx="8">
                <c:v>27.14742747249446</c:v>
              </c:pt>
              <c:pt idx="9">
                <c:v>28.142163180108163</c:v>
              </c:pt>
              <c:pt idx="10">
                <c:v>29.137832409025819</c:v>
              </c:pt>
              <c:pt idx="11">
                <c:v>30.134551295721444</c:v>
              </c:pt>
              <c:pt idx="12">
                <c:v>31.132444429611024</c:v>
              </c:pt>
              <c:pt idx="13">
                <c:v>32.131645330365913</c:v>
              </c:pt>
              <c:pt idx="14">
                <c:v>33.132296951182454</c:v>
              </c:pt>
              <c:pt idx="15">
                <c:v>34.13455220983942</c:v>
              </c:pt>
              <c:pt idx="16">
                <c:v>34.726700730219605</c:v>
              </c:pt>
            </c:numLit>
          </c:xVal>
          <c:yVal>
            <c:numLit>
              <c:formatCode>General</c:formatCode>
              <c:ptCount val="17"/>
              <c:pt idx="0">
                <c:v>5.6512912640590517E-3</c:v>
              </c:pt>
              <c:pt idx="1">
                <c:v>6.0159538060022208E-3</c:v>
              </c:pt>
              <c:pt idx="2">
                <c:v>6.4013091486796996E-3</c:v>
              </c:pt>
              <c:pt idx="3">
                <c:v>6.8083754788367118E-3</c:v>
              </c:pt>
              <c:pt idx="4">
                <c:v>7.2382147244076525E-3</c:v>
              </c:pt>
              <c:pt idx="5">
                <c:v>7.6919343649579095E-3</c:v>
              </c:pt>
              <c:pt idx="6">
                <c:v>8.1707767158846062E-3</c:v>
              </c:pt>
              <c:pt idx="7">
                <c:v>8.6759520844244559E-3</c:v>
              </c:pt>
              <c:pt idx="8">
                <c:v>9.208645282612761E-3</c:v>
              </c:pt>
              <c:pt idx="9">
                <c:v>9.7701679465518245E-3</c:v>
              </c:pt>
              <c:pt idx="10">
                <c:v>1.0361888011305007E-2</c:v>
              </c:pt>
              <c:pt idx="11">
                <c:v>1.0985232215656456E-2</c:v>
              </c:pt>
              <c:pt idx="12">
                <c:v>1.1641688754542854E-2</c:v>
              </c:pt>
              <c:pt idx="13">
                <c:v>1.2332810090782168E-2</c:v>
              </c:pt>
              <c:pt idx="14">
                <c:v>1.3060215938736743E-2</c:v>
              </c:pt>
              <c:pt idx="15">
                <c:v>1.3825596433664258E-2</c:v>
              </c:pt>
              <c:pt idx="16">
                <c:v>1.4295694061418956E-2</c:v>
              </c:pt>
            </c:numLit>
          </c:yVal>
          <c:smooth val="1"/>
          <c:extLst>
            <c:ext xmlns:c16="http://schemas.microsoft.com/office/drawing/2014/chart" uri="{C3380CC4-5D6E-409C-BE32-E72D297353CC}">
              <c16:uniqueId val="{0000001A-530E-40B1-B0E6-1AADA81A91D3}"/>
            </c:ext>
          </c:extLst>
        </c:ser>
        <c:ser>
          <c:idx val="19"/>
          <c:order val="19"/>
          <c:tx>
            <c:v>RH=40_Label2</c:v>
          </c:tx>
          <c:spPr>
            <a:ln w="3175">
              <a:solidFill>
                <a:srgbClr val="0000FF"/>
              </a:solidFill>
              <a:prstDash val="solid"/>
            </a:ln>
          </c:spPr>
          <c:marker>
            <c:symbol val="none"/>
          </c:marker>
          <c:dLbls>
            <c:dLbl>
              <c:idx val="0"/>
              <c:tx>
                <c:rich>
                  <a:bodyPr rot="-28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40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530E-40B1-B0E6-1AADA81A91D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35.028040308533853</c:v>
              </c:pt>
            </c:numLit>
          </c:xVal>
          <c:yVal>
            <c:numLit>
              <c:formatCode>General</c:formatCode>
              <c:ptCount val="1"/>
              <c:pt idx="0">
                <c:v>1.4540151098681935E-2</c:v>
              </c:pt>
            </c:numLit>
          </c:yVal>
          <c:smooth val="0"/>
          <c:extLst>
            <c:ext xmlns:c16="http://schemas.microsoft.com/office/drawing/2014/chart" uri="{C3380CC4-5D6E-409C-BE32-E72D297353CC}">
              <c16:uniqueId val="{0000001C-530E-40B1-B0E6-1AADA81A91D3}"/>
            </c:ext>
          </c:extLst>
        </c:ser>
        <c:ser>
          <c:idx val="20"/>
          <c:order val="20"/>
          <c:tx>
            <c:v>RH=40_3</c:v>
          </c:tx>
          <c:spPr>
            <a:ln w="3175">
              <a:solidFill>
                <a:srgbClr val="0000FF"/>
              </a:solidFill>
              <a:prstDash val="solid"/>
            </a:ln>
          </c:spPr>
          <c:marker>
            <c:symbol val="none"/>
          </c:marker>
          <c:xVal>
            <c:numLit>
              <c:formatCode>General</c:formatCode>
              <c:ptCount val="16"/>
              <c:pt idx="0">
                <c:v>35.329552776174317</c:v>
              </c:pt>
              <c:pt idx="1">
                <c:v>36.335906363098594</c:v>
              </c:pt>
              <c:pt idx="2">
                <c:v>37.344424679792851</c:v>
              </c:pt>
              <c:pt idx="3">
                <c:v>38.355308879053233</c:v>
              </c:pt>
              <c:pt idx="4">
                <c:v>39.368773366008369</c:v>
              </c:pt>
              <c:pt idx="5">
                <c:v>40.385044078419881</c:v>
              </c:pt>
              <c:pt idx="6">
                <c:v>41.404366085039008</c:v>
              </c:pt>
              <c:pt idx="7">
                <c:v>42.426999385462096</c:v>
              </c:pt>
              <c:pt idx="8">
                <c:v>43.453219557967351</c:v>
              </c:pt>
              <c:pt idx="9">
                <c:v>44.483319737831081</c:v>
              </c:pt>
              <c:pt idx="10">
                <c:v>45.517611653111167</c:v>
              </c:pt>
              <c:pt idx="11">
                <c:v>46.556426731421674</c:v>
              </c:pt>
              <c:pt idx="12">
                <c:v>47.600117283983685</c:v>
              </c:pt>
              <c:pt idx="13">
                <c:v>48.64905777389</c:v>
              </c:pt>
              <c:pt idx="14">
                <c:v>49.703646176251077</c:v>
              </c:pt>
              <c:pt idx="15">
                <c:v>50.000000000000007</c:v>
              </c:pt>
            </c:numLit>
          </c:xVal>
          <c:yVal>
            <c:numLit>
              <c:formatCode>General</c:formatCode>
              <c:ptCount val="16"/>
              <c:pt idx="0">
                <c:v>1.478833119366236E-2</c:v>
              </c:pt>
              <c:pt idx="1">
                <c:v>1.5643145109583971E-2</c:v>
              </c:pt>
              <c:pt idx="2">
                <c:v>1.6541836193495318E-2</c:v>
              </c:pt>
              <c:pt idx="3">
                <c:v>1.7486428909881571E-2</c:v>
              </c:pt>
              <c:pt idx="4">
                <c:v>1.8479038209467172E-2</c:v>
              </c:pt>
              <c:pt idx="5">
                <c:v>1.9522018510706687E-2</c:v>
              </c:pt>
              <c:pt idx="6">
                <c:v>2.0617611971505051E-2</c:v>
              </c:pt>
              <c:pt idx="7">
                <c:v>2.1768183432671905E-2</c:v>
              </c:pt>
              <c:pt idx="8">
                <c:v>2.2976262300941908E-2</c:v>
              </c:pt>
              <c:pt idx="9">
                <c:v>2.424449573781436E-2</c:v>
              </c:pt>
              <c:pt idx="10">
                <c:v>2.5575655332400155E-2</c:v>
              </c:pt>
              <c:pt idx="11">
                <c:v>2.6972644274486847E-2</c:v>
              </c:pt>
              <c:pt idx="12">
                <c:v>2.8438505072725828E-2</c:v>
              </c:pt>
              <c:pt idx="13">
                <c:v>2.9976427867378353E-2</c:v>
              </c:pt>
              <c:pt idx="14">
                <c:v>3.1589759392127853E-2</c:v>
              </c:pt>
              <c:pt idx="15">
                <c:v>3.2055479665609135E-2</c:v>
              </c:pt>
            </c:numLit>
          </c:yVal>
          <c:smooth val="1"/>
          <c:extLst>
            <c:ext xmlns:c16="http://schemas.microsoft.com/office/drawing/2014/chart" uri="{C3380CC4-5D6E-409C-BE32-E72D297353CC}">
              <c16:uniqueId val="{0000001D-530E-40B1-B0E6-1AADA81A91D3}"/>
            </c:ext>
          </c:extLst>
        </c:ser>
        <c:ser>
          <c:idx val="21"/>
          <c:order val="21"/>
          <c:tx>
            <c:v>RH=50_1</c:v>
          </c:tx>
          <c:spPr>
            <a:ln w="3175">
              <a:solidFill>
                <a:srgbClr val="FF6600"/>
              </a:solidFill>
              <a:prstDash val="solid"/>
            </a:ln>
          </c:spPr>
          <c:marker>
            <c:symbol val="none"/>
          </c:marker>
          <c:xVal>
            <c:numLit>
              <c:formatCode>General</c:formatCode>
              <c:ptCount val="28"/>
              <c:pt idx="0">
                <c:v>-10.08897002151055</c:v>
              </c:pt>
              <c:pt idx="1">
                <c:v>-9.0955874726249295</c:v>
              </c:pt>
              <c:pt idx="2">
                <c:v>-8.1025997054790633</c:v>
              </c:pt>
              <c:pt idx="3">
                <c:v>-7.1100216869101676</c:v>
              </c:pt>
              <c:pt idx="4">
                <c:v>-6.1178681526317034</c:v>
              </c:pt>
              <c:pt idx="5">
                <c:v>-5.1261535037671155</c:v>
              </c:pt>
              <c:pt idx="6">
                <c:v>-4.1348916926731265</c:v>
              </c:pt>
              <c:pt idx="7">
                <c:v>-3.1440960973251273</c:v>
              </c:pt>
              <c:pt idx="8">
                <c:v>-2.1537793834979757</c:v>
              </c:pt>
              <c:pt idx="9">
                <c:v>-1.1639533539336429</c:v>
              </c:pt>
              <c:pt idx="10">
                <c:v>-0.17462878364218917</c:v>
              </c:pt>
              <c:pt idx="11">
                <c:v>0.81596740205832308</c:v>
              </c:pt>
              <c:pt idx="12">
                <c:v>1.806268310463421</c:v>
              </c:pt>
              <c:pt idx="13">
                <c:v>2.7962622689140946</c:v>
              </c:pt>
              <c:pt idx="14">
                <c:v>3.785956380554413</c:v>
              </c:pt>
              <c:pt idx="15">
                <c:v>4.7753596834764709</c:v>
              </c:pt>
              <c:pt idx="16">
                <c:v>5.7644785989372425</c:v>
              </c:pt>
              <c:pt idx="17">
                <c:v>6.753330794661875</c:v>
              </c:pt>
              <c:pt idx="18">
                <c:v>7.7419321061698998</c:v>
              </c:pt>
              <c:pt idx="19">
                <c:v>8.7303010079445151</c:v>
              </c:pt>
              <c:pt idx="20">
                <c:v>9.7184588131024761</c:v>
              </c:pt>
              <c:pt idx="21">
                <c:v>10.706423996530482</c:v>
              </c:pt>
              <c:pt idx="22">
                <c:v>11.694229582027464</c:v>
              </c:pt>
              <c:pt idx="23">
                <c:v>12.681906693511435</c:v>
              </c:pt>
              <c:pt idx="24">
                <c:v>13.669490203078148</c:v>
              </c:pt>
              <c:pt idx="25">
                <c:v>14.657018987720264</c:v>
              </c:pt>
              <c:pt idx="26">
                <c:v>15.644536199075654</c:v>
              </c:pt>
              <c:pt idx="27">
                <c:v>16.444449259100793</c:v>
              </c:pt>
            </c:numLit>
          </c:xVal>
          <c:yVal>
            <c:numLit>
              <c:formatCode>General</c:formatCode>
              <c:ptCount val="28"/>
              <c:pt idx="0">
                <c:v>8.0200574945888238E-4</c:v>
              </c:pt>
              <c:pt idx="1">
                <c:v>8.7626205085363938E-4</c:v>
              </c:pt>
              <c:pt idx="2">
                <c:v>9.5676032361825683E-4</c:v>
              </c:pt>
              <c:pt idx="3">
                <c:v>1.0439711095229951E-3</c:v>
              </c:pt>
              <c:pt idx="4">
                <c:v>1.1383963282209435E-3</c:v>
              </c:pt>
              <c:pt idx="5">
                <c:v>1.2405711123139587E-3</c:v>
              </c:pt>
              <c:pt idx="6">
                <c:v>1.3510657390398758E-3</c:v>
              </c:pt>
              <c:pt idx="7">
                <c:v>1.4704876639184206E-3</c:v>
              </c:pt>
              <c:pt idx="8">
                <c:v>1.5994836621067371E-3</c:v>
              </c:pt>
              <c:pt idx="9">
                <c:v>1.7387420836732516E-3</c:v>
              </c:pt>
              <c:pt idx="10">
                <c:v>1.8889952295058313E-3</c:v>
              </c:pt>
              <c:pt idx="11">
                <c:v>2.0313451122375144E-3</c:v>
              </c:pt>
              <c:pt idx="12">
                <c:v>2.1829534013642305E-3</c:v>
              </c:pt>
              <c:pt idx="13">
                <c:v>2.3445453840359293E-3</c:v>
              </c:pt>
              <c:pt idx="14">
                <c:v>2.5166886531353488E-3</c:v>
              </c:pt>
              <c:pt idx="15">
                <c:v>2.6999779978813701E-3</c:v>
              </c:pt>
              <c:pt idx="16">
                <c:v>2.8950944461037949E-3</c:v>
              </c:pt>
              <c:pt idx="17">
                <c:v>3.1026409173562676E-3</c:v>
              </c:pt>
              <c:pt idx="18">
                <c:v>3.3233013465576106E-3</c:v>
              </c:pt>
              <c:pt idx="19">
                <c:v>3.5577915815344584E-3</c:v>
              </c:pt>
              <c:pt idx="20">
                <c:v>3.8068606722971615E-3</c:v>
              </c:pt>
              <c:pt idx="21">
                <c:v>4.0713738556704586E-3</c:v>
              </c:pt>
              <c:pt idx="22">
                <c:v>4.3520803689922234E-3</c:v>
              </c:pt>
              <c:pt idx="23">
                <c:v>4.6498382203937379E-3</c:v>
              </c:pt>
              <c:pt idx="24">
                <c:v>4.9655444400146668E-3</c:v>
              </c:pt>
              <c:pt idx="25">
                <c:v>5.300136687456442E-3</c:v>
              </c:pt>
              <c:pt idx="26">
                <c:v>5.654594935640289E-3</c:v>
              </c:pt>
              <c:pt idx="27">
                <c:v>5.9569705434108725E-3</c:v>
              </c:pt>
            </c:numLit>
          </c:yVal>
          <c:smooth val="1"/>
          <c:extLst>
            <c:ext xmlns:c16="http://schemas.microsoft.com/office/drawing/2014/chart" uri="{C3380CC4-5D6E-409C-BE32-E72D297353CC}">
              <c16:uniqueId val="{0000001E-530E-40B1-B0E6-1AADA81A91D3}"/>
            </c:ext>
          </c:extLst>
        </c:ser>
        <c:ser>
          <c:idx val="22"/>
          <c:order val="22"/>
          <c:tx>
            <c:v>RH=50_Label1</c:v>
          </c:tx>
          <c:spPr>
            <a:ln w="3175">
              <a:solidFill>
                <a:srgbClr val="FF6600"/>
              </a:solidFill>
              <a:prstDash val="solid"/>
            </a:ln>
          </c:spPr>
          <c:marker>
            <c:symbol val="none"/>
          </c:marker>
          <c:dLbls>
            <c:dLbl>
              <c:idx val="0"/>
              <c:tx>
                <c:rich>
                  <a:bodyPr rot="-16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50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530E-40B1-B0E6-1AADA81A91D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16.938246504261446</c:v>
              </c:pt>
            </c:numLit>
          </c:xVal>
          <c:yVal>
            <c:numLit>
              <c:formatCode>General</c:formatCode>
              <c:ptCount val="1"/>
              <c:pt idx="0">
                <c:v>6.1507089523445638E-3</c:v>
              </c:pt>
            </c:numLit>
          </c:yVal>
          <c:smooth val="0"/>
          <c:extLst>
            <c:ext xmlns:c16="http://schemas.microsoft.com/office/drawing/2014/chart" uri="{C3380CC4-5D6E-409C-BE32-E72D297353CC}">
              <c16:uniqueId val="{00000020-530E-40B1-B0E6-1AADA81A91D3}"/>
            </c:ext>
          </c:extLst>
        </c:ser>
        <c:ser>
          <c:idx val="23"/>
          <c:order val="23"/>
          <c:tx>
            <c:v>RH=50_2</c:v>
          </c:tx>
          <c:spPr>
            <a:ln w="3175">
              <a:solidFill>
                <a:srgbClr val="FF6600"/>
              </a:solidFill>
              <a:prstDash val="solid"/>
            </a:ln>
          </c:spPr>
          <c:marker>
            <c:symbol val="none"/>
          </c:marker>
          <c:xVal>
            <c:numLit>
              <c:formatCode>General</c:formatCode>
              <c:ptCount val="16"/>
              <c:pt idx="0">
                <c:v>17.422193396353077</c:v>
              </c:pt>
              <c:pt idx="1">
                <c:v>18.409947717682584</c:v>
              </c:pt>
              <c:pt idx="2">
                <c:v>19.397898605362961</c:v>
              </c:pt>
              <c:pt idx="3">
                <c:v>20.386113938329231</c:v>
              </c:pt>
              <c:pt idx="4">
                <c:v>21.374667728823542</c:v>
              </c:pt>
              <c:pt idx="5">
                <c:v>22.363640501219667</c:v>
              </c:pt>
              <c:pt idx="6">
                <c:v>23.353119690709409</c:v>
              </c:pt>
              <c:pt idx="7">
                <c:v>24.343200063094248</c:v>
              </c:pt>
              <c:pt idx="8">
                <c:v>25.333976607753801</c:v>
              </c:pt>
              <c:pt idx="9">
                <c:v>26.32556544086038</c:v>
              </c:pt>
              <c:pt idx="10">
                <c:v>27.318087972919766</c:v>
              </c:pt>
              <c:pt idx="11">
                <c:v>28.311673026562932</c:v>
              </c:pt>
              <c:pt idx="12">
                <c:v>29.306459234239682</c:v>
              </c:pt>
              <c:pt idx="13">
                <c:v>30.302595619159391</c:v>
              </c:pt>
              <c:pt idx="14">
                <c:v>31.300242210065303</c:v>
              </c:pt>
              <c:pt idx="15">
                <c:v>31.909621057494508</c:v>
              </c:pt>
            </c:numLit>
          </c:xVal>
          <c:yVal>
            <c:numLit>
              <c:formatCode>General</c:formatCode>
              <c:ptCount val="16"/>
              <c:pt idx="0">
                <c:v>6.3459801520872189E-3</c:v>
              </c:pt>
              <c:pt idx="1">
                <c:v>6.7616590159105252E-3</c:v>
              </c:pt>
              <c:pt idx="2">
                <c:v>7.201345919761834E-3</c:v>
              </c:pt>
              <c:pt idx="3">
                <c:v>7.6662501480482086E-3</c:v>
              </c:pt>
              <c:pt idx="4">
                <c:v>8.1576348814824777E-3</c:v>
              </c:pt>
              <c:pt idx="5">
                <c:v>8.676819571731012E-3</c:v>
              </c:pt>
              <c:pt idx="6">
                <c:v>9.2251824498550249E-3</c:v>
              </c:pt>
              <c:pt idx="7">
                <c:v>9.8041631790234604E-3</c:v>
              </c:pt>
              <c:pt idx="8">
                <c:v>1.0415434386378618E-2</c:v>
              </c:pt>
              <c:pt idx="9">
                <c:v>1.1060464555396202E-2</c:v>
              </c:pt>
              <c:pt idx="10">
                <c:v>1.1740857774937448E-2</c:v>
              </c:pt>
              <c:pt idx="11">
                <c:v>1.2458331691968276E-2</c:v>
              </c:pt>
              <c:pt idx="12">
                <c:v>1.3214681421134968E-2</c:v>
              </c:pt>
              <c:pt idx="13">
                <c:v>1.4011783353652977E-2</c:v>
              </c:pt>
              <c:pt idx="14">
                <c:v>1.4851599216421624E-2</c:v>
              </c:pt>
              <c:pt idx="15">
                <c:v>1.5385734079129848E-2</c:v>
              </c:pt>
            </c:numLit>
          </c:yVal>
          <c:smooth val="1"/>
          <c:extLst>
            <c:ext xmlns:c16="http://schemas.microsoft.com/office/drawing/2014/chart" uri="{C3380CC4-5D6E-409C-BE32-E72D297353CC}">
              <c16:uniqueId val="{00000021-530E-40B1-B0E6-1AADA81A91D3}"/>
            </c:ext>
          </c:extLst>
        </c:ser>
        <c:ser>
          <c:idx val="24"/>
          <c:order val="24"/>
          <c:tx>
            <c:v>RH=50_Label2</c:v>
          </c:tx>
          <c:spPr>
            <a:ln w="3175">
              <a:solidFill>
                <a:srgbClr val="FF6600"/>
              </a:solidFill>
              <a:prstDash val="solid"/>
            </a:ln>
          </c:spPr>
          <c:marker>
            <c:symbol val="none"/>
          </c:marker>
          <c:dLbls>
            <c:dLbl>
              <c:idx val="0"/>
              <c:tx>
                <c:rich>
                  <a:bodyPr rot="-30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50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2-530E-40B1-B0E6-1AADA81A91D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32.209557548226279</c:v>
              </c:pt>
            </c:numLit>
          </c:xVal>
          <c:yVal>
            <c:numLit>
              <c:formatCode>General</c:formatCode>
              <c:ptCount val="1"/>
              <c:pt idx="0">
                <c:v>1.565467970435885E-2</c:v>
              </c:pt>
            </c:numLit>
          </c:yVal>
          <c:smooth val="0"/>
          <c:extLst>
            <c:ext xmlns:c16="http://schemas.microsoft.com/office/drawing/2014/chart" uri="{C3380CC4-5D6E-409C-BE32-E72D297353CC}">
              <c16:uniqueId val="{00000023-530E-40B1-B0E6-1AADA81A91D3}"/>
            </c:ext>
          </c:extLst>
        </c:ser>
        <c:ser>
          <c:idx val="25"/>
          <c:order val="25"/>
          <c:tx>
            <c:v>RH=50_3</c:v>
          </c:tx>
          <c:spPr>
            <a:ln w="3175">
              <a:solidFill>
                <a:srgbClr val="FF6600"/>
              </a:solidFill>
              <a:prstDash val="solid"/>
            </a:ln>
          </c:spPr>
          <c:marker>
            <c:symbol val="none"/>
          </c:marker>
          <c:xVal>
            <c:numLit>
              <c:formatCode>General</c:formatCode>
              <c:ptCount val="16"/>
              <c:pt idx="0">
                <c:v>32.50966034549127</c:v>
              </c:pt>
              <c:pt idx="1">
                <c:v>33.511271187330614</c:v>
              </c:pt>
              <c:pt idx="2">
                <c:v>34.514988192934567</c:v>
              </c:pt>
              <c:pt idx="3">
                <c:v>35.521025346691431</c:v>
              </c:pt>
              <c:pt idx="4">
                <c:v>36.529611499761643</c:v>
              </c:pt>
              <c:pt idx="5">
                <c:v>37.540991263473543</c:v>
              </c:pt>
              <c:pt idx="6">
                <c:v>38.555425961918715</c:v>
              </c:pt>
              <c:pt idx="7">
                <c:v>39.573194603758857</c:v>
              </c:pt>
              <c:pt idx="8">
                <c:v>40.594590851639929</c:v>
              </c:pt>
              <c:pt idx="9">
                <c:v>41.619937316690823</c:v>
              </c:pt>
              <c:pt idx="10">
                <c:v>42.649573211420787</c:v>
              </c:pt>
              <c:pt idx="11">
                <c:v>43.683860328611424</c:v>
              </c:pt>
              <c:pt idx="12">
                <c:v>44.723184479726754</c:v>
              </c:pt>
              <c:pt idx="13">
                <c:v>45.767957042375727</c:v>
              </c:pt>
              <c:pt idx="14">
                <c:v>46.818616627355617</c:v>
              </c:pt>
              <c:pt idx="15">
                <c:v>46.460703436093496</c:v>
              </c:pt>
            </c:numLit>
          </c:xVal>
          <c:yVal>
            <c:numLit>
              <c:formatCode>General</c:formatCode>
              <c:ptCount val="16"/>
              <c:pt idx="0">
                <c:v>1.5927828907446664E-2</c:v>
              </c:pt>
              <c:pt idx="1">
                <c:v>1.6869454213500404E-2</c:v>
              </c:pt>
              <c:pt idx="2">
                <c:v>1.7860719974887418E-2</c:v>
              </c:pt>
              <c:pt idx="3">
                <c:v>1.8903998294804217E-2</c:v>
              </c:pt>
              <c:pt idx="4">
                <c:v>2.000177271349279E-2</c:v>
              </c:pt>
              <c:pt idx="5">
                <c:v>2.1156644378631805E-2</c:v>
              </c:pt>
              <c:pt idx="6">
                <c:v>2.2371338671019026E-2</c:v>
              </c:pt>
              <c:pt idx="7">
                <c:v>2.3648714769532078E-2</c:v>
              </c:pt>
              <c:pt idx="8">
                <c:v>2.4992022393473451E-2</c:v>
              </c:pt>
              <c:pt idx="9">
                <c:v>2.6404178570594451E-2</c:v>
              </c:pt>
              <c:pt idx="10">
                <c:v>2.7888485033202765E-2</c:v>
              </c:pt>
              <c:pt idx="11">
                <c:v>2.9448409483270498E-2</c:v>
              </c:pt>
              <c:pt idx="12">
                <c:v>3.1087595987123743E-2</c:v>
              </c:pt>
              <c:pt idx="13">
                <c:v>3.2809876218774625E-2</c:v>
              </c:pt>
              <c:pt idx="14">
                <c:v>3.4619281634166249E-2</c:v>
              </c:pt>
              <c:pt idx="15">
                <c:v>3.4000000000000002E-2</c:v>
              </c:pt>
            </c:numLit>
          </c:yVal>
          <c:smooth val="1"/>
          <c:extLst>
            <c:ext xmlns:c16="http://schemas.microsoft.com/office/drawing/2014/chart" uri="{C3380CC4-5D6E-409C-BE32-E72D297353CC}">
              <c16:uniqueId val="{00000024-530E-40B1-B0E6-1AADA81A91D3}"/>
            </c:ext>
          </c:extLst>
        </c:ser>
        <c:ser>
          <c:idx val="26"/>
          <c:order val="26"/>
          <c:tx>
            <c:v>RH=60_1</c:v>
          </c:tx>
          <c:spPr>
            <a:ln w="3175">
              <a:solidFill>
                <a:srgbClr val="0000FF"/>
              </a:solidFill>
              <a:prstDash val="solid"/>
            </a:ln>
          </c:spPr>
          <c:marker>
            <c:symbol val="none"/>
          </c:marker>
          <c:xVal>
            <c:numLit>
              <c:formatCode>General</c:formatCode>
              <c:ptCount val="27"/>
              <c:pt idx="0">
                <c:v>-10.106791566071182</c:v>
              </c:pt>
              <c:pt idx="1">
                <c:v>-9.114737296143911</c:v>
              </c:pt>
              <c:pt idx="2">
                <c:v>-8.1231575359745278</c:v>
              </c:pt>
              <c:pt idx="3">
                <c:v>-7.1320703593639401</c:v>
              </c:pt>
              <c:pt idx="4">
                <c:v>-6.1414935776753259</c:v>
              </c:pt>
              <c:pt idx="5">
                <c:v>-5.1514446173368293</c:v>
              </c:pt>
              <c:pt idx="6">
                <c:v>-4.1619403846292249</c:v>
              </c:pt>
              <c:pt idx="7">
                <c:v>-3.1729971168886375</c:v>
              </c:pt>
              <c:pt idx="8">
                <c:v>-2.1846302192056264</c:v>
              </c:pt>
              <c:pt idx="9">
                <c:v>-1.1968540856493599</c:v>
              </c:pt>
              <c:pt idx="10">
                <c:v>-0.20968190398886188</c:v>
              </c:pt>
              <c:pt idx="11">
                <c:v>0.77901653902700452</c:v>
              </c:pt>
              <c:pt idx="12">
                <c:v>1.7673586730365087</c:v>
              </c:pt>
              <c:pt idx="13">
                <c:v>2.7553302668322517</c:v>
              </c:pt>
              <c:pt idx="14">
                <c:v>3.742939630389412</c:v>
              </c:pt>
              <c:pt idx="15">
                <c:v>4.7301973807635171</c:v>
              </c:pt>
              <c:pt idx="16">
                <c:v>5.7171109692723858</c:v>
              </c:pt>
              <c:pt idx="17">
                <c:v>6.7037013465567465</c:v>
              </c:pt>
              <c:pt idx="18">
                <c:v>7.6899872415691117</c:v>
              </c:pt>
              <c:pt idx="19">
                <c:v>8.6759905358320282</c:v>
              </c:pt>
              <c:pt idx="20">
                <c:v>9.6617365038877931</c:v>
              </c:pt>
              <c:pt idx="21">
                <c:v>10.647246983750058</c:v>
              </c:pt>
              <c:pt idx="22">
                <c:v>11.632561294510978</c:v>
              </c:pt>
              <c:pt idx="23">
                <c:v>12.617716452210654</c:v>
              </c:pt>
              <c:pt idx="24">
                <c:v>13.60275396515117</c:v>
              </c:pt>
              <c:pt idx="25">
                <c:v>14.587720145442251</c:v>
              </c:pt>
              <c:pt idx="26">
                <c:v>14.971848553064145</c:v>
              </c:pt>
            </c:numLit>
          </c:xVal>
          <c:yVal>
            <c:numLit>
              <c:formatCode>General</c:formatCode>
              <c:ptCount val="27"/>
              <c:pt idx="0">
                <c:v>9.6265515651978821E-4</c:v>
              </c:pt>
              <c:pt idx="1">
                <c:v>1.0518108248658113E-3</c:v>
              </c:pt>
              <c:pt idx="2">
                <c:v>1.1484657136667973E-3</c:v>
              </c:pt>
              <c:pt idx="3">
                <c:v>1.253186016979086E-3</c:v>
              </c:pt>
              <c:pt idx="4">
                <c:v>1.3665758366107619E-3</c:v>
              </c:pt>
              <c:pt idx="5">
                <c:v>1.4892794236642264E-3</c:v>
              </c:pt>
              <c:pt idx="6">
                <c:v>1.6219835417861427E-3</c:v>
              </c:pt>
              <c:pt idx="7">
                <c:v>1.7654199593220663E-3</c:v>
              </c:pt>
              <c:pt idx="8">
                <c:v>1.9203680781726613E-3</c:v>
              </c:pt>
              <c:pt idx="9">
                <c:v>2.087657707814211E-3</c:v>
              </c:pt>
              <c:pt idx="10">
                <c:v>2.2681719936859684E-3</c:v>
              </c:pt>
              <c:pt idx="11">
                <c:v>2.4392073923505966E-3</c:v>
              </c:pt>
              <c:pt idx="12">
                <c:v>2.6213841277472243E-3</c:v>
              </c:pt>
              <c:pt idx="13">
                <c:v>2.815577116984156E-3</c:v>
              </c:pt>
              <c:pt idx="14">
                <c:v>3.0224723215083122E-3</c:v>
              </c:pt>
              <c:pt idx="15">
                <c:v>3.2427889480513973E-3</c:v>
              </c:pt>
              <c:pt idx="16">
                <c:v>3.4773504999020071E-3</c:v>
              </c:pt>
              <c:pt idx="17">
                <c:v>3.7268872888711327E-3</c:v>
              </c:pt>
              <c:pt idx="18">
                <c:v>3.9922277903414322E-3</c:v>
              </c:pt>
              <c:pt idx="19">
                <c:v>4.2742397187644924E-3</c:v>
              </c:pt>
              <c:pt idx="20">
                <c:v>4.5738316813021601E-3</c:v>
              </c:pt>
              <c:pt idx="21">
                <c:v>4.8920531340976188E-3</c:v>
              </c:pt>
              <c:pt idx="22">
                <c:v>5.2298151913123467E-3</c:v>
              </c:pt>
              <c:pt idx="23">
                <c:v>5.5881611315908462E-3</c:v>
              </c:pt>
              <c:pt idx="24">
                <c:v>5.968182662155372E-3</c:v>
              </c:pt>
              <c:pt idx="25">
                <c:v>6.3710220228125171E-3</c:v>
              </c:pt>
              <c:pt idx="26">
                <c:v>6.5345703991554396E-3</c:v>
              </c:pt>
            </c:numLit>
          </c:yVal>
          <c:smooth val="1"/>
          <c:extLst>
            <c:ext xmlns:c16="http://schemas.microsoft.com/office/drawing/2014/chart" uri="{C3380CC4-5D6E-409C-BE32-E72D297353CC}">
              <c16:uniqueId val="{00000025-530E-40B1-B0E6-1AADA81A91D3}"/>
            </c:ext>
          </c:extLst>
        </c:ser>
        <c:ser>
          <c:idx val="27"/>
          <c:order val="27"/>
          <c:tx>
            <c:v>RH=60_Label1</c:v>
          </c:tx>
          <c:spPr>
            <a:ln w="3175">
              <a:solidFill>
                <a:srgbClr val="0000FF"/>
              </a:solidFill>
              <a:prstDash val="solid"/>
            </a:ln>
          </c:spPr>
          <c:marker>
            <c:symbol val="none"/>
          </c:marker>
          <c:dLbls>
            <c:dLbl>
              <c:idx val="0"/>
              <c:tx>
                <c:rich>
                  <a:bodyPr rot="-18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60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530E-40B1-B0E6-1AADA81A91D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15.434773089390811</c:v>
              </c:pt>
            </c:numLit>
          </c:xVal>
          <c:yVal>
            <c:numLit>
              <c:formatCode>General</c:formatCode>
              <c:ptCount val="1"/>
              <c:pt idx="0">
                <c:v>6.736623266512377E-3</c:v>
              </c:pt>
            </c:numLit>
          </c:yVal>
          <c:smooth val="0"/>
          <c:extLst>
            <c:ext xmlns:c16="http://schemas.microsoft.com/office/drawing/2014/chart" uri="{C3380CC4-5D6E-409C-BE32-E72D297353CC}">
              <c16:uniqueId val="{00000027-530E-40B1-B0E6-1AADA81A91D3}"/>
            </c:ext>
          </c:extLst>
        </c:ser>
        <c:ser>
          <c:idx val="28"/>
          <c:order val="28"/>
          <c:tx>
            <c:v>RH=60_2</c:v>
          </c:tx>
          <c:spPr>
            <a:ln w="3175">
              <a:solidFill>
                <a:srgbClr val="0000FF"/>
              </a:solidFill>
              <a:prstDash val="solid"/>
            </a:ln>
          </c:spPr>
          <c:marker>
            <c:symbol val="none"/>
          </c:marker>
          <c:xVal>
            <c:numLit>
              <c:formatCode>General</c:formatCode>
              <c:ptCount val="15"/>
              <c:pt idx="0">
                <c:v>15.897703887038311</c:v>
              </c:pt>
              <c:pt idx="1">
                <c:v>16.882712907666683</c:v>
              </c:pt>
              <c:pt idx="2">
                <c:v>17.867843780457338</c:v>
              </c:pt>
              <c:pt idx="3">
                <c:v>18.853167632773957</c:v>
              </c:pt>
              <c:pt idx="4">
                <c:v>19.838762357666667</c:v>
              </c:pt>
              <c:pt idx="5">
                <c:v>20.824713047015294</c:v>
              </c:pt>
              <c:pt idx="6">
                <c:v>21.811112448447897</c:v>
              </c:pt>
              <c:pt idx="7">
                <c:v>22.798061447611477</c:v>
              </c:pt>
              <c:pt idx="8">
                <c:v>23.785669577521677</c:v>
              </c:pt>
              <c:pt idx="9">
                <c:v>24.774051831419158</c:v>
              </c:pt>
              <c:pt idx="10">
                <c:v>25.763332537489855</c:v>
              </c:pt>
              <c:pt idx="11">
                <c:v>26.753657982880188</c:v>
              </c:pt>
              <c:pt idx="12">
                <c:v>27.745178065536479</c:v>
              </c:pt>
              <c:pt idx="13">
                <c:v>28.738054370171888</c:v>
              </c:pt>
              <c:pt idx="14">
                <c:v>29.583195155694028</c:v>
              </c:pt>
            </c:numLit>
          </c:xVal>
          <c:yVal>
            <c:numLit>
              <c:formatCode>General</c:formatCode>
              <c:ptCount val="15"/>
              <c:pt idx="0">
                <c:v>6.9442164723304209E-3</c:v>
              </c:pt>
              <c:pt idx="1">
                <c:v>7.4049523400725346E-3</c:v>
              </c:pt>
              <c:pt idx="2">
                <c:v>7.8927032614548986E-3</c:v>
              </c:pt>
              <c:pt idx="3">
                <c:v>8.4088574073189169E-3</c:v>
              </c:pt>
              <c:pt idx="4">
                <c:v>8.9548667635628559E-3</c:v>
              </c:pt>
              <c:pt idx="5">
                <c:v>9.5322500891234421E-3</c:v>
              </c:pt>
              <c:pt idx="6">
                <c:v>1.0142596050639335E-2</c:v>
              </c:pt>
              <c:pt idx="7">
                <c:v>1.0787566548190554E-2</c:v>
              </c:pt>
              <c:pt idx="8">
                <c:v>1.1468900247835185E-2</c:v>
              </c:pt>
              <c:pt idx="9">
                <c:v>1.2188498014486378E-2</c:v>
              </c:pt>
              <c:pt idx="10">
                <c:v>1.2948368636975393E-2</c:v>
              </c:pt>
              <c:pt idx="11">
                <c:v>1.3750351447902053E-2</c:v>
              </c:pt>
              <c:pt idx="12">
                <c:v>1.4596535174992941E-2</c:v>
              </c:pt>
              <c:pt idx="13">
                <c:v>1.5489106949635579E-2</c:v>
              </c:pt>
              <c:pt idx="14">
                <c:v>1.6285973584079443E-2</c:v>
              </c:pt>
            </c:numLit>
          </c:yVal>
          <c:smooth val="1"/>
          <c:extLst>
            <c:ext xmlns:c16="http://schemas.microsoft.com/office/drawing/2014/chart" uri="{C3380CC4-5D6E-409C-BE32-E72D297353CC}">
              <c16:uniqueId val="{00000028-530E-40B1-B0E6-1AADA81A91D3}"/>
            </c:ext>
          </c:extLst>
        </c:ser>
        <c:ser>
          <c:idx val="29"/>
          <c:order val="29"/>
          <c:tx>
            <c:v>RH=60_Label2</c:v>
          </c:tx>
          <c:spPr>
            <a:ln w="3175">
              <a:solidFill>
                <a:srgbClr val="0000FF"/>
              </a:solidFill>
              <a:prstDash val="solid"/>
            </a:ln>
          </c:spPr>
          <c:marker>
            <c:symbol val="none"/>
          </c:marker>
          <c:dLbls>
            <c:dLbl>
              <c:idx val="0"/>
              <c:tx>
                <c:rich>
                  <a:bodyPr rot="-31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60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9-530E-40B1-B0E6-1AADA81A91D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29.881765236525613</c:v>
              </c:pt>
            </c:numLit>
          </c:xVal>
          <c:yVal>
            <c:numLit>
              <c:formatCode>General</c:formatCode>
              <c:ptCount val="1"/>
              <c:pt idx="0">
                <c:v>1.6575890513595995E-2</c:v>
              </c:pt>
            </c:numLit>
          </c:yVal>
          <c:smooth val="0"/>
          <c:extLst>
            <c:ext xmlns:c16="http://schemas.microsoft.com/office/drawing/2014/chart" uri="{C3380CC4-5D6E-409C-BE32-E72D297353CC}">
              <c16:uniqueId val="{0000002A-530E-40B1-B0E6-1AADA81A91D3}"/>
            </c:ext>
          </c:extLst>
        </c:ser>
        <c:ser>
          <c:idx val="30"/>
          <c:order val="30"/>
          <c:tx>
            <c:v>RH=60_3</c:v>
          </c:tx>
          <c:spPr>
            <a:ln w="3175">
              <a:solidFill>
                <a:srgbClr val="0000FF"/>
              </a:solidFill>
              <a:prstDash val="solid"/>
            </a:ln>
          </c:spPr>
          <c:marker>
            <c:symbol val="none"/>
          </c:marker>
          <c:xVal>
            <c:numLit>
              <c:formatCode>General</c:formatCode>
              <c:ptCount val="15"/>
              <c:pt idx="0">
                <c:v>30.180492418482846</c:v>
              </c:pt>
              <c:pt idx="1">
                <c:v>31.177453891540974</c:v>
              </c:pt>
              <c:pt idx="2">
                <c:v>32.176429201565348</c:v>
              </c:pt>
              <c:pt idx="3">
                <c:v>33.177641333674551</c:v>
              </c:pt>
              <c:pt idx="4">
                <c:v>34.181329486483897</c:v>
              </c:pt>
              <c:pt idx="5">
                <c:v>35.18775008865876</c:v>
              </c:pt>
              <c:pt idx="6">
                <c:v>36.19717788603942</c:v>
              </c:pt>
              <c:pt idx="7">
                <c:v>37.209907105737216</c:v>
              </c:pt>
              <c:pt idx="8">
                <c:v>38.226252704299107</c:v>
              </c:pt>
              <c:pt idx="9">
                <c:v>39.246551707818924</c:v>
              </c:pt>
              <c:pt idx="10">
                <c:v>40.271160513360229</c:v>
              </c:pt>
              <c:pt idx="11">
                <c:v>41.300468212126702</c:v>
              </c:pt>
              <c:pt idx="12">
                <c:v>42.334888519870255</c:v>
              </c:pt>
              <c:pt idx="13">
                <c:v>43.374862492056081</c:v>
              </c:pt>
              <c:pt idx="14">
                <c:v>42.698224206857375</c:v>
              </c:pt>
            </c:numLit>
          </c:xVal>
          <c:yVal>
            <c:numLit>
              <c:formatCode>General</c:formatCode>
              <c:ptCount val="15"/>
              <c:pt idx="0">
                <c:v>1.6870437016947411E-2</c:v>
              </c:pt>
              <c:pt idx="1">
                <c:v>1.7886565192149154E-2</c:v>
              </c:pt>
              <c:pt idx="2">
                <c:v>1.8957458295095053E-2</c:v>
              </c:pt>
              <c:pt idx="3">
                <c:v>2.0085809975849678E-2</c:v>
              </c:pt>
              <c:pt idx="4">
                <c:v>2.127444564301351E-2</c:v>
              </c:pt>
              <c:pt idx="5">
                <c:v>2.2526330127538324E-2</c:v>
              </c:pt>
              <c:pt idx="6">
                <c:v>2.3844575937580107E-2</c:v>
              </c:pt>
              <c:pt idx="7">
                <c:v>2.5232452159705081E-2</c:v>
              </c:pt>
              <c:pt idx="8">
                <c:v>2.6693394067577716E-2</c:v>
              </c:pt>
              <c:pt idx="9">
                <c:v>2.8231013505784899E-2</c:v>
              </c:pt>
              <c:pt idx="10">
                <c:v>2.984935294705339E-2</c:v>
              </c:pt>
              <c:pt idx="11">
                <c:v>3.1552270792490095E-2</c:v>
              </c:pt>
              <c:pt idx="12">
                <c:v>3.3343918402475865E-2</c:v>
              </c:pt>
              <c:pt idx="13">
                <c:v>3.522873949724975E-2</c:v>
              </c:pt>
              <c:pt idx="14">
                <c:v>3.4000000000000002E-2</c:v>
              </c:pt>
            </c:numLit>
          </c:yVal>
          <c:smooth val="1"/>
          <c:extLst>
            <c:ext xmlns:c16="http://schemas.microsoft.com/office/drawing/2014/chart" uri="{C3380CC4-5D6E-409C-BE32-E72D297353CC}">
              <c16:uniqueId val="{0000002B-530E-40B1-B0E6-1AADA81A91D3}"/>
            </c:ext>
          </c:extLst>
        </c:ser>
        <c:ser>
          <c:idx val="31"/>
          <c:order val="31"/>
          <c:tx>
            <c:v>RH=70_1</c:v>
          </c:tx>
          <c:spPr>
            <a:ln w="3175">
              <a:solidFill>
                <a:srgbClr val="0000FF"/>
              </a:solidFill>
              <a:prstDash val="solid"/>
            </a:ln>
          </c:spPr>
          <c:marker>
            <c:symbol val="none"/>
          </c:marker>
          <c:xVal>
            <c:numLit>
              <c:formatCode>General</c:formatCode>
              <c:ptCount val="26"/>
              <c:pt idx="0">
                <c:v>-10.124622307298575</c:v>
              </c:pt>
              <c:pt idx="1">
                <c:v>-9.1338979172609864</c:v>
              </c:pt>
              <c:pt idx="2">
                <c:v>-8.1437280234855134</c:v>
              </c:pt>
              <c:pt idx="3">
                <c:v>-7.1541338449252079</c:v>
              </c:pt>
              <c:pt idx="4">
                <c:v>-6.1651363118296896</c:v>
              </c:pt>
              <c:pt idx="5">
                <c:v>-5.1767559247885586</c:v>
              </c:pt>
              <c:pt idx="6">
                <c:v>-4.1890125991046698</c:v>
              </c:pt>
              <c:pt idx="7">
                <c:v>-3.2019254934867307</c:v>
              </c:pt>
              <c:pt idx="8">
                <c:v>-2.2155128219917031</c:v>
              </c:pt>
              <c:pt idx="9">
                <c:v>-1.2297916480837099</c:v>
              </c:pt>
              <c:pt idx="10">
                <c:v>-0.24477765960672535</c:v>
              </c:pt>
              <c:pt idx="11">
                <c:v>0.7420173412327703</c:v>
              </c:pt>
              <c:pt idx="12">
                <c:v>1.7283943345998389</c:v>
              </c:pt>
              <c:pt idx="13">
                <c:v>2.7143364544970345</c:v>
              </c:pt>
              <c:pt idx="14">
                <c:v>3.6998531446897225</c:v>
              </c:pt>
              <c:pt idx="15">
                <c:v>4.6849565229067851</c:v>
              </c:pt>
              <c:pt idx="16">
                <c:v>5.6696549833508803</c:v>
              </c:pt>
              <c:pt idx="17">
                <c:v>6.653972673256888</c:v>
              </c:pt>
              <c:pt idx="18">
                <c:v>7.6379311205439393</c:v>
              </c:pt>
              <c:pt idx="19">
                <c:v>8.6215555140799189</c:v>
              </c:pt>
              <c:pt idx="20">
                <c:v>9.6048749851296975</c:v>
              </c:pt>
              <c:pt idx="21">
                <c:v>10.587914619197658</c:v>
              </c:pt>
              <c:pt idx="22">
                <c:v>11.57071992192834</c:v>
              </c:pt>
              <c:pt idx="23">
                <c:v>12.553333684169095</c:v>
              </c:pt>
              <c:pt idx="24">
                <c:v>13.535803930399325</c:v>
              </c:pt>
              <c:pt idx="25">
                <c:v>13.663517251468223</c:v>
              </c:pt>
            </c:numLit>
          </c:xVal>
          <c:yVal>
            <c:numLit>
              <c:formatCode>General</c:formatCode>
              <c:ptCount val="26"/>
              <c:pt idx="0">
                <c:v>1.1233874654334045E-3</c:v>
              </c:pt>
              <c:pt idx="1">
                <c:v>1.2274585817801354E-3</c:v>
              </c:pt>
              <c:pt idx="2">
                <c:v>1.3402891326142665E-3</c:v>
              </c:pt>
              <c:pt idx="3">
                <c:v>1.4625414826896688E-3</c:v>
              </c:pt>
              <c:pt idx="4">
                <c:v>1.5949225201677061E-3</c:v>
              </c:pt>
              <c:pt idx="5">
                <c:v>1.7381863180575758E-3</c:v>
              </c:pt>
              <c:pt idx="6">
                <c:v>1.8931369444374524E-3</c:v>
              </c:pt>
              <c:pt idx="7">
                <c:v>2.0606314307937824E-3</c:v>
              </c:pt>
              <c:pt idx="8">
                <c:v>2.2415829086399218E-3</c:v>
              </c:pt>
              <c:pt idx="9">
                <c:v>2.436963925492433E-3</c:v>
              </c:pt>
              <c:pt idx="10">
                <c:v>2.6478099523050075E-3</c:v>
              </c:pt>
              <c:pt idx="11">
                <c:v>2.8476031898160307E-3</c:v>
              </c:pt>
              <c:pt idx="12">
                <c:v>3.0604312207948227E-3</c:v>
              </c:pt>
              <c:pt idx="13">
                <c:v>3.2873201415692466E-3</c:v>
              </c:pt>
              <c:pt idx="14">
                <c:v>3.5290759284962439E-3</c:v>
              </c:pt>
              <c:pt idx="15">
                <c:v>3.7865440615982605E-3</c:v>
              </c:pt>
              <c:pt idx="16">
                <c:v>4.0606926533359542E-3</c:v>
              </c:pt>
              <c:pt idx="17">
                <c:v>4.3523817292269416E-3</c:v>
              </c:pt>
              <c:pt idx="18">
                <c:v>4.662586952544772E-3</c:v>
              </c:pt>
              <c:pt idx="19">
                <c:v>4.9923308790401572E-3</c:v>
              </c:pt>
              <c:pt idx="20">
                <c:v>5.3426850128968318E-3</c:v>
              </c:pt>
              <c:pt idx="21">
                <c:v>5.7148868636222108E-3</c:v>
              </c:pt>
              <c:pt idx="22">
                <c:v>6.110013561687732E-3</c:v>
              </c:pt>
              <c:pt idx="23">
                <c:v>6.529298368583126E-3</c:v>
              </c:pt>
              <c:pt idx="24">
                <c:v>6.9740329453147794E-3</c:v>
              </c:pt>
              <c:pt idx="25">
                <c:v>7.0337875575625384E-3</c:v>
              </c:pt>
            </c:numLit>
          </c:yVal>
          <c:smooth val="1"/>
          <c:extLst>
            <c:ext xmlns:c16="http://schemas.microsoft.com/office/drawing/2014/chart" uri="{C3380CC4-5D6E-409C-BE32-E72D297353CC}">
              <c16:uniqueId val="{0000002C-530E-40B1-B0E6-1AADA81A91D3}"/>
            </c:ext>
          </c:extLst>
        </c:ser>
        <c:ser>
          <c:idx val="32"/>
          <c:order val="32"/>
          <c:tx>
            <c:v>RH=70_Label1</c:v>
          </c:tx>
          <c:spPr>
            <a:ln w="3175">
              <a:solidFill>
                <a:srgbClr val="0000FF"/>
              </a:solidFill>
              <a:prstDash val="solid"/>
            </a:ln>
          </c:spPr>
          <c:marker>
            <c:symbol val="none"/>
          </c:marker>
          <c:dLbls>
            <c:dLbl>
              <c:idx val="0"/>
              <c:tx>
                <c:rich>
                  <a:bodyPr rot="-19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70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D-530E-40B1-B0E6-1AADA81A91D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14.115415531085313</c:v>
              </c:pt>
            </c:numLit>
          </c:xVal>
          <c:yVal>
            <c:numLit>
              <c:formatCode>General</c:formatCode>
              <c:ptCount val="1"/>
              <c:pt idx="0">
                <c:v>7.248908724043295E-3</c:v>
              </c:pt>
            </c:numLit>
          </c:yVal>
          <c:smooth val="0"/>
          <c:extLst>
            <c:ext xmlns:c16="http://schemas.microsoft.com/office/drawing/2014/chart" uri="{C3380CC4-5D6E-409C-BE32-E72D297353CC}">
              <c16:uniqueId val="{0000002E-530E-40B1-B0E6-1AADA81A91D3}"/>
            </c:ext>
          </c:extLst>
        </c:ser>
        <c:ser>
          <c:idx val="33"/>
          <c:order val="33"/>
          <c:tx>
            <c:v>RH=70_2</c:v>
          </c:tx>
          <c:spPr>
            <a:ln w="3175">
              <a:solidFill>
                <a:srgbClr val="0000FF"/>
              </a:solidFill>
              <a:prstDash val="solid"/>
            </a:ln>
          </c:spPr>
          <c:marker>
            <c:symbol val="none"/>
          </c:marker>
          <c:xVal>
            <c:numLit>
              <c:formatCode>General</c:formatCode>
              <c:ptCount val="15"/>
              <c:pt idx="0">
                <c:v>14.557478452716124</c:v>
              </c:pt>
              <c:pt idx="1">
                <c:v>15.539828650256451</c:v>
              </c:pt>
              <c:pt idx="2">
                <c:v>16.522217362965936</c:v>
              </c:pt>
              <c:pt idx="3">
                <c:v>17.504717714343734</c:v>
              </c:pt>
              <c:pt idx="4">
                <c:v>18.487410131551616</c:v>
              </c:pt>
              <c:pt idx="5">
                <c:v>19.470382827891875</c:v>
              </c:pt>
              <c:pt idx="6">
                <c:v>20.453732312792965</c:v>
              </c:pt>
              <c:pt idx="7">
                <c:v>21.437563931214026</c:v>
              </c:pt>
              <c:pt idx="8">
                <c:v>22.421992434567873</c:v>
              </c:pt>
              <c:pt idx="9">
                <c:v>23.407142585470929</c:v>
              </c:pt>
              <c:pt idx="10">
                <c:v>24.393149271932984</c:v>
              </c:pt>
              <c:pt idx="11">
                <c:v>25.380146828018695</c:v>
              </c:pt>
              <c:pt idx="12">
                <c:v>26.368306476005845</c:v>
              </c:pt>
              <c:pt idx="13">
                <c:v>27.357799918479614</c:v>
              </c:pt>
              <c:pt idx="14">
                <c:v>27.60540309392756</c:v>
              </c:pt>
            </c:numLit>
          </c:xVal>
          <c:yVal>
            <c:numLit>
              <c:formatCode>General</c:formatCode>
              <c:ptCount val="15"/>
              <c:pt idx="0">
                <c:v>7.4650088052640581E-3</c:v>
              </c:pt>
              <c:pt idx="1">
                <c:v>7.9659241397534303E-3</c:v>
              </c:pt>
              <c:pt idx="2">
                <c:v>8.4966028039244381E-3</c:v>
              </c:pt>
              <c:pt idx="3">
                <c:v>9.058601130616949E-3</c:v>
              </c:pt>
              <c:pt idx="4">
                <c:v>9.6535489368709364E-3</c:v>
              </c:pt>
              <c:pt idx="5">
                <c:v>1.0283153077594011E-2</c:v>
              </c:pt>
              <c:pt idx="6">
                <c:v>1.0949201221749659E-2</c:v>
              </c:pt>
              <c:pt idx="7">
                <c:v>1.1653565869804223E-2</c:v>
              </c:pt>
              <c:pt idx="8">
                <c:v>1.2398208632955276E-2</c:v>
              </c:pt>
              <c:pt idx="9">
                <c:v>1.318518479663176E-2</c:v>
              </c:pt>
              <c:pt idx="10">
                <c:v>1.4016659610978009E-2</c:v>
              </c:pt>
              <c:pt idx="11">
                <c:v>1.4895172308085002E-2</c:v>
              </c:pt>
              <c:pt idx="12">
                <c:v>1.5822835533000876E-2</c:v>
              </c:pt>
              <c:pt idx="13">
                <c:v>1.6802134918069693E-2</c:v>
              </c:pt>
              <c:pt idx="14">
                <c:v>1.7055330715959553E-2</c:v>
              </c:pt>
            </c:numLit>
          </c:yVal>
          <c:smooth val="1"/>
          <c:extLst>
            <c:ext xmlns:c16="http://schemas.microsoft.com/office/drawing/2014/chart" uri="{C3380CC4-5D6E-409C-BE32-E72D297353CC}">
              <c16:uniqueId val="{0000002F-530E-40B1-B0E6-1AADA81A91D3}"/>
            </c:ext>
          </c:extLst>
        </c:ser>
        <c:ser>
          <c:idx val="34"/>
          <c:order val="34"/>
          <c:tx>
            <c:v>RH=70_Label2</c:v>
          </c:tx>
          <c:spPr>
            <a:ln w="3175">
              <a:solidFill>
                <a:srgbClr val="0000FF"/>
              </a:solidFill>
              <a:prstDash val="solid"/>
            </a:ln>
          </c:spPr>
          <c:marker>
            <c:symbol val="none"/>
          </c:marker>
          <c:dLbls>
            <c:dLbl>
              <c:idx val="0"/>
              <c:tx>
                <c:rich>
                  <a:bodyPr rot="-33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70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0-530E-40B1-B0E6-1AADA81A91D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27.902656418060964</c:v>
              </c:pt>
            </c:numLit>
          </c:xVal>
          <c:yVal>
            <c:numLit>
              <c:formatCode>General</c:formatCode>
              <c:ptCount val="1"/>
              <c:pt idx="0">
                <c:v>1.7363699091236338E-2</c:v>
              </c:pt>
            </c:numLit>
          </c:yVal>
          <c:smooth val="0"/>
          <c:extLst>
            <c:ext xmlns:c16="http://schemas.microsoft.com/office/drawing/2014/chart" uri="{C3380CC4-5D6E-409C-BE32-E72D297353CC}">
              <c16:uniqueId val="{00000031-530E-40B1-B0E6-1AADA81A91D3}"/>
            </c:ext>
          </c:extLst>
        </c:ser>
        <c:ser>
          <c:idx val="35"/>
          <c:order val="35"/>
          <c:tx>
            <c:v>RH=70_3</c:v>
          </c:tx>
          <c:spPr>
            <a:ln w="3175">
              <a:solidFill>
                <a:srgbClr val="0000FF"/>
              </a:solidFill>
              <a:prstDash val="solid"/>
            </a:ln>
          </c:spPr>
          <c:marker>
            <c:symbol val="none"/>
          </c:marker>
          <c:xVal>
            <c:numLit>
              <c:formatCode>General</c:formatCode>
              <c:ptCount val="14"/>
              <c:pt idx="0">
                <c:v>28.200056090842775</c:v>
              </c:pt>
              <c:pt idx="1">
                <c:v>29.192516531934622</c:v>
              </c:pt>
              <c:pt idx="2">
                <c:v>30.186878036299017</c:v>
              </c:pt>
              <c:pt idx="3">
                <c:v>31.183369872871133</c:v>
              </c:pt>
              <c:pt idx="4">
                <c:v>32.182238665200806</c:v>
              </c:pt>
              <c:pt idx="5">
                <c:v>33.183749518970501</c:v>
              </c:pt>
              <c:pt idx="6">
                <c:v>34.188187230843702</c:v>
              </c:pt>
              <c:pt idx="7">
                <c:v>35.195857586295595</c:v>
              </c:pt>
              <c:pt idx="8">
                <c:v>36.207088754941182</c:v>
              </c:pt>
              <c:pt idx="9">
                <c:v>37.222232792847343</c:v>
              </c:pt>
              <c:pt idx="10">
                <c:v>38.241667262409628</c:v>
              </c:pt>
              <c:pt idx="11">
                <c:v>39.265796981608062</c:v>
              </c:pt>
              <c:pt idx="12">
                <c:v>40.295050347074792</c:v>
              </c:pt>
              <c:pt idx="13">
                <c:v>39.594578804453931</c:v>
              </c:pt>
            </c:numLit>
          </c:xVal>
          <c:yVal>
            <c:numLit>
              <c:formatCode>General</c:formatCode>
              <c:ptCount val="14"/>
              <c:pt idx="0">
                <c:v>1.7677082476637275E-2</c:v>
              </c:pt>
              <c:pt idx="1">
                <c:v>1.8758879091709882E-2</c:v>
              </c:pt>
              <c:pt idx="2">
                <c:v>1.9900088775318587E-2</c:v>
              </c:pt>
              <c:pt idx="3">
                <c:v>2.1103706378928135E-2</c:v>
              </c:pt>
              <c:pt idx="4">
                <c:v>2.2372878301942182E-2</c:v>
              </c:pt>
              <c:pt idx="5">
                <c:v>2.3710911672963426E-2</c:v>
              </c:pt>
              <c:pt idx="6">
                <c:v>2.5121284265609178E-2</c:v>
              </c:pt>
              <c:pt idx="7">
                <c:v>2.6607655219993035E-2</c:v>
              </c:pt>
              <c:pt idx="8">
                <c:v>2.8173876648752687E-2</c:v>
              </c:pt>
              <c:pt idx="9">
                <c:v>2.9824006215230181E-2</c:v>
              </c:pt>
              <c:pt idx="10">
                <c:v>3.1562320781235269E-2</c:v>
              </c:pt>
              <c:pt idx="11">
                <c:v>3.339333123290554E-2</c:v>
              </c:pt>
              <c:pt idx="12">
                <c:v>3.5322129223631905E-2</c:v>
              </c:pt>
              <c:pt idx="13">
                <c:v>3.4000000000000002E-2</c:v>
              </c:pt>
            </c:numLit>
          </c:yVal>
          <c:smooth val="1"/>
          <c:extLst>
            <c:ext xmlns:c16="http://schemas.microsoft.com/office/drawing/2014/chart" uri="{C3380CC4-5D6E-409C-BE32-E72D297353CC}">
              <c16:uniqueId val="{00000032-530E-40B1-B0E6-1AADA81A91D3}"/>
            </c:ext>
          </c:extLst>
        </c:ser>
        <c:ser>
          <c:idx val="36"/>
          <c:order val="36"/>
          <c:tx>
            <c:v>RH=80_1</c:v>
          </c:tx>
          <c:spPr>
            <a:ln w="3175">
              <a:solidFill>
                <a:srgbClr val="0000FF"/>
              </a:solidFill>
              <a:prstDash val="solid"/>
            </a:ln>
          </c:spPr>
          <c:marker>
            <c:symbol val="none"/>
          </c:marker>
          <c:xVal>
            <c:numLit>
              <c:formatCode>General</c:formatCode>
              <c:ptCount val="25"/>
              <c:pt idx="0">
                <c:v>-10.142462252313372</c:v>
              </c:pt>
              <c:pt idx="1">
                <c:v>-9.1530693451110441</c:v>
              </c:pt>
              <c:pt idx="2">
                <c:v>-8.1643111797046028</c:v>
              </c:pt>
              <c:pt idx="3">
                <c:v>-7.1762121585269725</c:v>
              </c:pt>
              <c:pt idx="4">
                <c:v>-6.1887963741239869</c:v>
              </c:pt>
              <c:pt idx="5">
                <c:v>-5.2020874503179</c:v>
              </c:pt>
              <c:pt idx="6">
                <c:v>-4.216108366796858</c:v>
              </c:pt>
              <c:pt idx="7">
                <c:v>-3.2308812659811013</c:v>
              </c:pt>
              <c:pt idx="8">
                <c:v>-2.2464272409472805</c:v>
              </c:pt>
              <c:pt idx="9">
                <c:v>-1.2627661031165411</c:v>
              </c:pt>
              <c:pt idx="10">
                <c:v>-0.27991612832932827</c:v>
              </c:pt>
              <c:pt idx="11">
                <c:v>0.70496971377479312</c:v>
              </c:pt>
              <c:pt idx="12">
                <c:v>1.6893751797203689</c:v>
              </c:pt>
              <c:pt idx="13">
                <c:v>2.673280691795791</c:v>
              </c:pt>
              <c:pt idx="14">
                <c:v>3.6566967537427413</c:v>
              </c:pt>
              <c:pt idx="15">
                <c:v>4.6396369047700743</c:v>
              </c:pt>
              <c:pt idx="16">
                <c:v>5.6221103937215835</c:v>
              </c:pt>
              <c:pt idx="17">
                <c:v>6.6041444768900135</c:v>
              </c:pt>
              <c:pt idx="18">
                <c:v>7.5857633852747366</c:v>
              </c:pt>
              <c:pt idx="19">
                <c:v>8.5669955137537652</c:v>
              </c:pt>
              <c:pt idx="20">
                <c:v>9.5478737437203733</c:v>
              </c:pt>
              <c:pt idx="21">
                <c:v>10.528426290323946</c:v>
              </c:pt>
              <c:pt idx="22">
                <c:v>11.508704734555835</c:v>
              </c:pt>
              <c:pt idx="23">
                <c:v>12.488757521913389</c:v>
              </c:pt>
              <c:pt idx="24">
                <c:v>12.508356639226964</c:v>
              </c:pt>
            </c:numLit>
          </c:xVal>
          <c:yVal>
            <c:numLit>
              <c:formatCode>General</c:formatCode>
              <c:ptCount val="25"/>
              <c:pt idx="0">
                <c:v>1.2842027403875593E-3</c:v>
              </c:pt>
              <c:pt idx="1">
                <c:v>1.4032054053372527E-3</c:v>
              </c:pt>
              <c:pt idx="2">
                <c:v>1.5322306894960248E-3</c:v>
              </c:pt>
              <c:pt idx="3">
                <c:v>1.6720376483506344E-3</c:v>
              </c:pt>
              <c:pt idx="4">
                <c:v>1.8234365626798278E-3</c:v>
              </c:pt>
              <c:pt idx="5">
                <c:v>1.9872920334292098E-3</c:v>
              </c:pt>
              <c:pt idx="6">
                <c:v>2.1645262544567742E-3</c:v>
              </c:pt>
              <c:pt idx="7">
                <c:v>2.3561224749136492E-3</c:v>
              </c:pt>
              <c:pt idx="8">
                <c:v>2.5631286641125323E-3</c:v>
              </c:pt>
              <c:pt idx="9">
                <c:v>2.7866613929500377E-3</c:v>
              </c:pt>
              <c:pt idx="10">
                <c:v>3.027909947304347E-3</c:v>
              </c:pt>
              <c:pt idx="11">
                <c:v>3.2565335521456892E-3</c:v>
              </c:pt>
              <c:pt idx="12">
                <c:v>3.5000959811974544E-3</c:v>
              </c:pt>
              <c:pt idx="13">
                <c:v>3.7597760701605356E-3</c:v>
              </c:pt>
              <c:pt idx="14">
                <c:v>4.0365014695512222E-3</c:v>
              </c:pt>
              <c:pt idx="15">
                <c:v>4.3312458040777246E-3</c:v>
              </c:pt>
              <c:pt idx="16">
                <c:v>4.6451239481437702E-3</c:v>
              </c:pt>
              <c:pt idx="17">
                <c:v>4.9791279851043521E-3</c:v>
              </c:pt>
              <c:pt idx="18">
                <c:v>5.3343834410344883E-3</c:v>
              </c:pt>
              <c:pt idx="19">
                <c:v>5.7120707207410411E-3</c:v>
              </c:pt>
              <c:pt idx="20">
                <c:v>6.1134276050712729E-3</c:v>
              </c:pt>
              <c:pt idx="21">
                <c:v>6.5398835392074571E-3</c:v>
              </c:pt>
              <c:pt idx="22">
                <c:v>6.9926858663954712E-3</c:v>
              </c:pt>
              <c:pt idx="23">
                <c:v>7.4732626119606346E-3</c:v>
              </c:pt>
              <c:pt idx="24">
                <c:v>7.4831676078565192E-3</c:v>
              </c:pt>
            </c:numLit>
          </c:yVal>
          <c:smooth val="1"/>
          <c:extLst>
            <c:ext xmlns:c16="http://schemas.microsoft.com/office/drawing/2014/chart" uri="{C3380CC4-5D6E-409C-BE32-E72D297353CC}">
              <c16:uniqueId val="{00000033-530E-40B1-B0E6-1AADA81A91D3}"/>
            </c:ext>
          </c:extLst>
        </c:ser>
        <c:ser>
          <c:idx val="37"/>
          <c:order val="37"/>
          <c:tx>
            <c:v>RH=80_Label1</c:v>
          </c:tx>
          <c:spPr>
            <a:ln w="3175">
              <a:solidFill>
                <a:srgbClr val="0000FF"/>
              </a:solidFill>
              <a:prstDash val="solid"/>
            </a:ln>
          </c:spPr>
          <c:marker>
            <c:symbol val="none"/>
          </c:marker>
          <c:dLbls>
            <c:dLbl>
              <c:idx val="0"/>
              <c:tx>
                <c:rich>
                  <a:bodyPr rot="-21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80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4-530E-40B1-B0E6-1AADA81A91D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12.93952077992059</c:v>
              </c:pt>
            </c:numLit>
          </c:xVal>
          <c:yVal>
            <c:numLit>
              <c:formatCode>General</c:formatCode>
              <c:ptCount val="1"/>
              <c:pt idx="0">
                <c:v>7.7040641188605768E-3</c:v>
              </c:pt>
            </c:numLit>
          </c:yVal>
          <c:smooth val="0"/>
          <c:extLst>
            <c:ext xmlns:c16="http://schemas.microsoft.com/office/drawing/2014/chart" uri="{C3380CC4-5D6E-409C-BE32-E72D297353CC}">
              <c16:uniqueId val="{00000035-530E-40B1-B0E6-1AADA81A91D3}"/>
            </c:ext>
          </c:extLst>
        </c:ser>
        <c:ser>
          <c:idx val="38"/>
          <c:order val="38"/>
          <c:tx>
            <c:v>RH=80_2</c:v>
          </c:tx>
          <c:spPr>
            <a:ln w="3175">
              <a:solidFill>
                <a:srgbClr val="0000FF"/>
              </a:solidFill>
              <a:prstDash val="solid"/>
            </a:ln>
          </c:spPr>
          <c:marker>
            <c:symbol val="none"/>
          </c:marker>
          <c:xVal>
            <c:numLit>
              <c:formatCode>General</c:formatCode>
              <c:ptCount val="14"/>
              <c:pt idx="0">
                <c:v>13.3608586632075</c:v>
              </c:pt>
              <c:pt idx="1">
                <c:v>14.340638748180433</c:v>
              </c:pt>
              <c:pt idx="2">
                <c:v>15.320368273945533</c:v>
              </c:pt>
              <c:pt idx="3">
                <c:v>16.300121388752697</c:v>
              </c:pt>
              <c:pt idx="4">
                <c:v>17.279980004684329</c:v>
              </c:pt>
              <c:pt idx="5">
                <c:v>18.260034325056761</c:v>
              </c:pt>
              <c:pt idx="6">
                <c:v>19.240383402872951</c:v>
              </c:pt>
              <c:pt idx="7">
                <c:v>20.221135732568783</c:v>
              </c:pt>
              <c:pt idx="8">
                <c:v>21.202409877522989</c:v>
              </c:pt>
              <c:pt idx="9">
                <c:v>22.184335136054546</c:v>
              </c:pt>
              <c:pt idx="10">
                <c:v>23.167052248913919</c:v>
              </c:pt>
              <c:pt idx="11">
                <c:v>24.150714151590211</c:v>
              </c:pt>
              <c:pt idx="12">
                <c:v>25.135473037228405</c:v>
              </c:pt>
              <c:pt idx="13">
                <c:v>25.874877054992844</c:v>
              </c:pt>
            </c:numLit>
          </c:xVal>
          <c:yVal>
            <c:numLit>
              <c:formatCode>General</c:formatCode>
              <c:ptCount val="14"/>
              <c:pt idx="0">
                <c:v>7.9255468626814787E-3</c:v>
              </c:pt>
              <c:pt idx="1">
                <c:v>8.4627640216843013E-3</c:v>
              </c:pt>
              <c:pt idx="2">
                <c:v>9.0322819658535669E-3</c:v>
              </c:pt>
              <c:pt idx="3">
                <c:v>9.6358161442111449E-3</c:v>
              </c:pt>
              <c:pt idx="4">
                <c:v>1.0275164928481188E-2</c:v>
              </c:pt>
              <c:pt idx="5">
                <c:v>1.0952213771336889E-2</c:v>
              </c:pt>
              <c:pt idx="6">
                <c:v>1.1668939635490804E-2</c:v>
              </c:pt>
              <c:pt idx="7">
                <c:v>1.2427415717094702E-2</c:v>
              </c:pt>
              <c:pt idx="8">
                <c:v>1.3229816489212421E-2</c:v>
              </c:pt>
              <c:pt idx="9">
                <c:v>1.4078423093671105E-2</c:v>
              </c:pt>
              <c:pt idx="10">
                <c:v>1.497562911241101E-2</c:v>
              </c:pt>
              <c:pt idx="11">
                <c:v>1.5923946752573682E-2</c:v>
              </c:pt>
              <c:pt idx="12">
                <c:v>1.6926321665222295E-2</c:v>
              </c:pt>
              <c:pt idx="13">
                <c:v>1.7715092490545425E-2</c:v>
              </c:pt>
            </c:numLit>
          </c:yVal>
          <c:smooth val="1"/>
          <c:extLst>
            <c:ext xmlns:c16="http://schemas.microsoft.com/office/drawing/2014/chart" uri="{C3380CC4-5D6E-409C-BE32-E72D297353CC}">
              <c16:uniqueId val="{00000036-530E-40B1-B0E6-1AADA81A91D3}"/>
            </c:ext>
          </c:extLst>
        </c:ser>
        <c:ser>
          <c:idx val="39"/>
          <c:order val="39"/>
          <c:tx>
            <c:v>RH=80_Label2</c:v>
          </c:tx>
          <c:spPr>
            <a:ln w="3175">
              <a:solidFill>
                <a:srgbClr val="0000FF"/>
              </a:solidFill>
              <a:prstDash val="solid"/>
            </a:ln>
          </c:spPr>
          <c:marker>
            <c:symbol val="none"/>
          </c:marker>
          <c:dLbls>
            <c:dLbl>
              <c:idx val="0"/>
              <c:tx>
                <c:rich>
                  <a:bodyPr rot="-33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80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530E-40B1-B0E6-1AADA81A91D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26.170859778080111</c:v>
              </c:pt>
            </c:numLit>
          </c:xVal>
          <c:yVal>
            <c:numLit>
              <c:formatCode>General</c:formatCode>
              <c:ptCount val="1"/>
              <c:pt idx="0">
                <c:v>1.8039780825415901E-2</c:v>
              </c:pt>
            </c:numLit>
          </c:yVal>
          <c:smooth val="0"/>
          <c:extLst>
            <c:ext xmlns:c16="http://schemas.microsoft.com/office/drawing/2014/chart" uri="{C3380CC4-5D6E-409C-BE32-E72D297353CC}">
              <c16:uniqueId val="{00000038-530E-40B1-B0E6-1AADA81A91D3}"/>
            </c:ext>
          </c:extLst>
        </c:ser>
        <c:ser>
          <c:idx val="40"/>
          <c:order val="40"/>
          <c:tx>
            <c:v>RH=80_3</c:v>
          </c:tx>
          <c:spPr>
            <a:ln w="3175">
              <a:solidFill>
                <a:srgbClr val="0000FF"/>
              </a:solidFill>
              <a:prstDash val="solid"/>
            </a:ln>
          </c:spPr>
          <c:marker>
            <c:symbol val="none"/>
          </c:marker>
          <c:xVal>
            <c:numLit>
              <c:formatCode>General</c:formatCode>
              <c:ptCount val="13"/>
              <c:pt idx="0">
                <c:v>26.466976910593637</c:v>
              </c:pt>
              <c:pt idx="1">
                <c:v>27.455076949237203</c:v>
              </c:pt>
              <c:pt idx="2">
                <c:v>28.444949400883822</c:v>
              </c:pt>
              <c:pt idx="3">
                <c:v>29.436827565234527</c:v>
              </c:pt>
              <c:pt idx="4">
                <c:v>30.430963058409187</c:v>
              </c:pt>
              <c:pt idx="5">
                <c:v>31.427627039849007</c:v>
              </c:pt>
              <c:pt idx="6">
                <c:v>32.427111530608649</c:v>
              </c:pt>
              <c:pt idx="7">
                <c:v>33.429730831909019</c:v>
              </c:pt>
              <c:pt idx="8">
                <c:v>34.435823053853696</c:v>
              </c:pt>
              <c:pt idx="9">
                <c:v>35.445751765376748</c:v>
              </c:pt>
              <c:pt idx="10">
                <c:v>36.45990777780662</c:v>
              </c:pt>
              <c:pt idx="11">
                <c:v>37.478711075921858</c:v>
              </c:pt>
              <c:pt idx="12">
                <c:v>36.958513469612221</c:v>
              </c:pt>
            </c:numLit>
          </c:xVal>
          <c:yVal>
            <c:numLit>
              <c:formatCode>General</c:formatCode>
              <c:ptCount val="13"/>
              <c:pt idx="0">
                <c:v>1.8369834550872179E-2</c:v>
              </c:pt>
              <c:pt idx="1">
                <c:v>1.9509818475929395E-2</c:v>
              </c:pt>
              <c:pt idx="2">
                <c:v>2.0713450771512626E-2</c:v>
              </c:pt>
              <c:pt idx="3">
                <c:v>2.1984008896382069E-2</c:v>
              </c:pt>
              <c:pt idx="4">
                <c:v>2.3324941056249882E-2</c:v>
              </c:pt>
              <c:pt idx="5">
                <c:v>2.4739876910536536E-2</c:v>
              </c:pt>
              <c:pt idx="6">
                <c:v>2.6232639162871791E-2</c:v>
              </c:pt>
              <c:pt idx="7">
                <c:v>2.780725612342148E-2</c:v>
              </c:pt>
              <c:pt idx="8">
                <c:v>2.9467975341054942E-2</c:v>
              </c:pt>
              <c:pt idx="9">
                <c:v>3.1219278414564438E-2</c:v>
              </c:pt>
              <c:pt idx="10">
                <c:v>3.3065897104802532E-2</c:v>
              </c:pt>
              <c:pt idx="11">
                <c:v>3.5012830883924491E-2</c:v>
              </c:pt>
              <c:pt idx="12">
                <c:v>3.4000000000000002E-2</c:v>
              </c:pt>
            </c:numLit>
          </c:yVal>
          <c:smooth val="1"/>
          <c:extLst>
            <c:ext xmlns:c16="http://schemas.microsoft.com/office/drawing/2014/chart" uri="{C3380CC4-5D6E-409C-BE32-E72D297353CC}">
              <c16:uniqueId val="{00000039-530E-40B1-B0E6-1AADA81A91D3}"/>
            </c:ext>
          </c:extLst>
        </c:ser>
        <c:ser>
          <c:idx val="41"/>
          <c:order val="41"/>
          <c:tx>
            <c:v>RH=90_1</c:v>
          </c:tx>
          <c:spPr>
            <a:ln w="3175">
              <a:solidFill>
                <a:srgbClr val="0000FF"/>
              </a:solidFill>
              <a:prstDash val="solid"/>
            </a:ln>
          </c:spPr>
          <c:marker>
            <c:symbol val="none"/>
          </c:marker>
          <c:xVal>
            <c:numLit>
              <c:formatCode>General</c:formatCode>
              <c:ptCount val="24"/>
              <c:pt idx="0">
                <c:v>-10.160311408243556</c:v>
              </c:pt>
              <c:pt idx="1">
                <c:v>-9.1722515888392806</c:v>
              </c:pt>
              <c:pt idx="2">
                <c:v>-8.1849070163387818</c:v>
              </c:pt>
              <c:pt idx="3">
                <c:v>-7.1983053151223135</c:v>
              </c:pt>
              <c:pt idx="4">
                <c:v>-6.2124737836153079</c:v>
              </c:pt>
              <c:pt idx="5">
                <c:v>-5.2274392181591223</c:v>
              </c:pt>
              <c:pt idx="6">
                <c:v>-4.2432277184566214</c:v>
              </c:pt>
              <c:pt idx="7">
                <c:v>-3.2598644733070836</c:v>
              </c:pt>
              <c:pt idx="8">
                <c:v>-2.2773735252646343</c:v>
              </c:pt>
              <c:pt idx="9">
                <c:v>-1.2957775127664004</c:v>
              </c:pt>
              <c:pt idx="10">
                <c:v>-0.31509738817978866</c:v>
              </c:pt>
              <c:pt idx="11">
                <c:v>0.66787356150364452</c:v>
              </c:pt>
              <c:pt idx="12">
                <c:v>1.6503010926400361</c:v>
              </c:pt>
              <c:pt idx="13">
                <c:v>2.632162838192071</c:v>
              </c:pt>
              <c:pt idx="14">
                <c:v>3.6134702872847182</c:v>
              </c:pt>
              <c:pt idx="15">
                <c:v>4.5942383205023143</c:v>
              </c:pt>
              <c:pt idx="16">
                <c:v>5.5744769520084745</c:v>
              </c:pt>
              <c:pt idx="17">
                <c:v>6.5542164583903677</c:v>
              </c:pt>
              <c:pt idx="18">
                <c:v>7.5334836764058082</c:v>
              </c:pt>
              <c:pt idx="19">
                <c:v>8.5123101039472857</c:v>
              </c:pt>
              <c:pt idx="20">
                <c:v>9.490732264027244</c:v>
              </c:pt>
              <c:pt idx="21">
                <c:v>10.468781381354987</c:v>
              </c:pt>
              <c:pt idx="22">
                <c:v>11.446514998561955</c:v>
              </c:pt>
              <c:pt idx="23">
                <c:v>11.466066812546941</c:v>
              </c:pt>
            </c:numLit>
          </c:xVal>
          <c:yVal>
            <c:numLit>
              <c:formatCode>General</c:formatCode>
              <c:ptCount val="24"/>
              <c:pt idx="0">
                <c:v>1.4451010456363609E-3</c:v>
              </c:pt>
              <c:pt idx="1">
                <c:v>1.5790513793722909E-3</c:v>
              </c:pt>
              <c:pt idx="2">
                <c:v>1.7242904934817753E-3</c:v>
              </c:pt>
              <c:pt idx="3">
                <c:v>1.8816746558483943E-3</c:v>
              </c:pt>
              <c:pt idx="4">
                <c:v>2.0521181482046785E-3</c:v>
              </c:pt>
              <c:pt idx="5">
                <c:v>2.2365968080945969E-3</c:v>
              </c:pt>
              <c:pt idx="6">
                <c:v>2.4361517798423041E-3</c:v>
              </c:pt>
              <c:pt idx="7">
                <c:v>2.651893489013245E-3</c:v>
              </c:pt>
              <c:pt idx="8">
                <c:v>2.8850058562471248E-3</c:v>
              </c:pt>
              <c:pt idx="9">
                <c:v>3.1367507679000511E-3</c:v>
              </c:pt>
              <c:pt idx="10">
                <c:v>3.4084728226759938E-3</c:v>
              </c:pt>
              <c:pt idx="11">
                <c:v>3.6659995295954982E-3</c:v>
              </c:pt>
              <c:pt idx="12">
                <c:v>3.9403797133078381E-3</c:v>
              </c:pt>
              <c:pt idx="13">
                <c:v>4.2329465200043074E-3</c:v>
              </c:pt>
              <c:pt idx="14">
                <c:v>4.5447509466055858E-3</c:v>
              </c:pt>
              <c:pt idx="15">
                <c:v>4.8768966496376548E-3</c:v>
              </c:pt>
              <c:pt idx="16">
                <c:v>5.2306474374324884E-3</c:v>
              </c:pt>
              <c:pt idx="17">
                <c:v>5.6071298181956681E-3</c:v>
              </c:pt>
              <c:pt idx="18">
                <c:v>6.0076218834582296E-3</c:v>
              </c:pt>
              <c:pt idx="19">
                <c:v>6.4334649282589956E-3</c:v>
              </c:pt>
              <c:pt idx="20">
                <c:v>6.8860664299542004E-3</c:v>
              </c:pt>
              <c:pt idx="21">
                <c:v>7.3670517005360123E-3</c:v>
              </c:pt>
              <c:pt idx="22">
                <c:v>7.8778425501793113E-3</c:v>
              </c:pt>
              <c:pt idx="23">
                <c:v>7.8883734305233554E-3</c:v>
              </c:pt>
            </c:numLit>
          </c:yVal>
          <c:smooth val="1"/>
          <c:extLst>
            <c:ext xmlns:c16="http://schemas.microsoft.com/office/drawing/2014/chart" uri="{C3380CC4-5D6E-409C-BE32-E72D297353CC}">
              <c16:uniqueId val="{0000003A-530E-40B1-B0E6-1AADA81A91D3}"/>
            </c:ext>
          </c:extLst>
        </c:ser>
        <c:ser>
          <c:idx val="42"/>
          <c:order val="42"/>
          <c:tx>
            <c:v>RH=90_Label1</c:v>
          </c:tx>
          <c:spPr>
            <a:ln w="3175">
              <a:solidFill>
                <a:srgbClr val="0000FF"/>
              </a:solidFill>
              <a:prstDash val="solid"/>
            </a:ln>
          </c:spPr>
          <c:marker>
            <c:symbol val="none"/>
          </c:marker>
          <c:dLbls>
            <c:dLbl>
              <c:idx val="0"/>
              <c:tx>
                <c:rich>
                  <a:bodyPr rot="-21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90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530E-40B1-B0E6-1AADA81A91D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11.886406335561087</c:v>
              </c:pt>
            </c:numLit>
          </c:xVal>
          <c:yVal>
            <c:numLit>
              <c:formatCode>General</c:formatCode>
              <c:ptCount val="1"/>
              <c:pt idx="0">
                <c:v>8.1178532770005106E-3</c:v>
              </c:pt>
            </c:numLit>
          </c:yVal>
          <c:smooth val="0"/>
          <c:extLst>
            <c:ext xmlns:c16="http://schemas.microsoft.com/office/drawing/2014/chart" uri="{C3380CC4-5D6E-409C-BE32-E72D297353CC}">
              <c16:uniqueId val="{0000003C-530E-40B1-B0E6-1AADA81A91D3}"/>
            </c:ext>
          </c:extLst>
        </c:ser>
        <c:ser>
          <c:idx val="43"/>
          <c:order val="43"/>
          <c:tx>
            <c:v>RH=90_2</c:v>
          </c:tx>
          <c:spPr>
            <a:ln w="3175">
              <a:solidFill>
                <a:srgbClr val="0000FF"/>
              </a:solidFill>
              <a:prstDash val="solid"/>
            </a:ln>
          </c:spPr>
          <c:marker>
            <c:symbol val="none"/>
          </c:marker>
          <c:xVal>
            <c:numLit>
              <c:formatCode>General</c:formatCode>
              <c:ptCount val="14"/>
              <c:pt idx="0">
                <c:v>12.287154552505491</c:v>
              </c:pt>
              <c:pt idx="1">
                <c:v>13.264450008749437</c:v>
              </c:pt>
              <c:pt idx="2">
                <c:v>14.241602544783566</c:v>
              </c:pt>
              <c:pt idx="3">
                <c:v>15.218686623205453</c:v>
              </c:pt>
              <c:pt idx="4">
                <c:v>16.195784869538244</c:v>
              </c:pt>
              <c:pt idx="5">
                <c:v>17.172988640875836</c:v>
              </c:pt>
              <c:pt idx="6">
                <c:v>18.150398628951599</c:v>
              </c:pt>
              <c:pt idx="7">
                <c:v>19.128125500200142</c:v>
              </c:pt>
              <c:pt idx="8">
                <c:v>20.106290575649407</c:v>
              </c:pt>
              <c:pt idx="9">
                <c:v>21.085026553779926</c:v>
              </c:pt>
              <c:pt idx="10">
                <c:v>22.064478279822467</c:v>
              </c:pt>
              <c:pt idx="11">
                <c:v>23.044803565339887</c:v>
              </c:pt>
              <c:pt idx="12">
                <c:v>24.026174062357637</c:v>
              </c:pt>
              <c:pt idx="13">
                <c:v>24.350283760914369</c:v>
              </c:pt>
            </c:numLit>
          </c:xVal>
          <c:yVal>
            <c:numLit>
              <c:formatCode>General</c:formatCode>
              <c:ptCount val="14"/>
              <c:pt idx="0">
                <c:v>8.3422001056663829E-3</c:v>
              </c:pt>
              <c:pt idx="1">
                <c:v>8.9128194892929211E-3</c:v>
              </c:pt>
              <c:pt idx="2">
                <c:v>9.518115555408645E-3</c:v>
              </c:pt>
              <c:pt idx="3">
                <c:v>1.0159955796425158E-2</c:v>
              </c:pt>
              <c:pt idx="4">
                <c:v>1.0840299888458355E-2</c:v>
              </c:pt>
              <c:pt idx="5">
                <c:v>1.1561204462982987E-2</c:v>
              </c:pt>
              <c:pt idx="6">
                <c:v>1.2324828199989819E-2</c:v>
              </c:pt>
              <c:pt idx="7">
                <c:v>1.3133437271204971E-2</c:v>
              </c:pt>
              <c:pt idx="8">
                <c:v>1.3989411164801244E-2</c:v>
              </c:pt>
              <c:pt idx="9">
                <c:v>1.4895248926209768E-2</c:v>
              </c:pt>
              <c:pt idx="10">
                <c:v>1.5853575853174682E-2</c:v>
              </c:pt>
              <c:pt idx="11">
                <c:v>1.68671506871205E-2</c:v>
              </c:pt>
              <c:pt idx="12">
                <c:v>1.7938873347281416E-2</c:v>
              </c:pt>
              <c:pt idx="13">
                <c:v>1.830588898250678E-2</c:v>
              </c:pt>
            </c:numLit>
          </c:yVal>
          <c:smooth val="1"/>
          <c:extLst>
            <c:ext xmlns:c16="http://schemas.microsoft.com/office/drawing/2014/chart" uri="{C3380CC4-5D6E-409C-BE32-E72D297353CC}">
              <c16:uniqueId val="{0000003D-530E-40B1-B0E6-1AADA81A91D3}"/>
            </c:ext>
          </c:extLst>
        </c:ser>
        <c:ser>
          <c:idx val="44"/>
          <c:order val="44"/>
          <c:tx>
            <c:v>RH=90_Label2</c:v>
          </c:tx>
          <c:spPr>
            <a:ln w="3175">
              <a:solidFill>
                <a:srgbClr val="0000FF"/>
              </a:solidFill>
              <a:prstDash val="solid"/>
            </a:ln>
          </c:spPr>
          <c:marker>
            <c:symbol val="none"/>
          </c:marker>
          <c:dLbls>
            <c:dLbl>
              <c:idx val="0"/>
              <c:tx>
                <c:rich>
                  <a:bodyPr rot="-342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90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530E-40B1-B0E6-1AADA81A91D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24.645048916449817</c:v>
              </c:pt>
            </c:numLit>
          </c:xVal>
          <c:yVal>
            <c:numLit>
              <c:formatCode>General</c:formatCode>
              <c:ptCount val="1"/>
              <c:pt idx="0">
                <c:v>1.8645468166416327E-2</c:v>
              </c:pt>
            </c:numLit>
          </c:yVal>
          <c:smooth val="0"/>
          <c:extLst>
            <c:ext xmlns:c16="http://schemas.microsoft.com/office/drawing/2014/chart" uri="{C3380CC4-5D6E-409C-BE32-E72D297353CC}">
              <c16:uniqueId val="{0000003F-530E-40B1-B0E6-1AADA81A91D3}"/>
            </c:ext>
          </c:extLst>
        </c:ser>
        <c:ser>
          <c:idx val="45"/>
          <c:order val="45"/>
          <c:tx>
            <c:v>RH=90_3</c:v>
          </c:tx>
          <c:spPr>
            <a:ln w="3175">
              <a:solidFill>
                <a:srgbClr val="0000FF"/>
              </a:solidFill>
              <a:prstDash val="solid"/>
            </a:ln>
          </c:spPr>
          <c:marker>
            <c:symbol val="none"/>
          </c:marker>
          <c:xVal>
            <c:numLit>
              <c:formatCode>General</c:formatCode>
              <c:ptCount val="12"/>
              <c:pt idx="0">
                <c:v>24.939936032452529</c:v>
              </c:pt>
              <c:pt idx="1">
                <c:v>25.92384661002826</c:v>
              </c:pt>
              <c:pt idx="2">
                <c:v>26.909393516522343</c:v>
              </c:pt>
              <c:pt idx="3">
                <c:v>27.896812587546918</c:v>
              </c:pt>
              <c:pt idx="4">
                <c:v>28.886358806211785</c:v>
              </c:pt>
              <c:pt idx="5">
                <c:v>29.87830762052651</c:v>
              </c:pt>
              <c:pt idx="6">
                <c:v>30.872956361702308</c:v>
              </c:pt>
              <c:pt idx="7">
                <c:v>31.870625773419732</c:v>
              </c:pt>
              <c:pt idx="8">
                <c:v>32.871661663330364</c:v>
              </c:pt>
              <c:pt idx="9">
                <c:v>33.876436689422889</c:v>
              </c:pt>
              <c:pt idx="10">
                <c:v>34.885352295428454</c:v>
              </c:pt>
              <c:pt idx="11">
                <c:v>34.663014089963724</c:v>
              </c:pt>
            </c:numLit>
          </c:xVal>
          <c:yVal>
            <c:numLit>
              <c:formatCode>General</c:formatCode>
              <c:ptCount val="12"/>
              <c:pt idx="0">
                <c:v>1.8990738550069466E-2</c:v>
              </c:pt>
              <c:pt idx="1">
                <c:v>2.0183882325276323E-2</c:v>
              </c:pt>
              <c:pt idx="2">
                <c:v>2.1444620082461376E-2</c:v>
              </c:pt>
              <c:pt idx="3">
                <c:v>2.2776498631904309E-2</c:v>
              </c:pt>
              <c:pt idx="4">
                <c:v>2.4183254349516771E-2</c:v>
              </c:pt>
              <c:pt idx="5">
                <c:v>2.5668825425554889E-2</c:v>
              </c:pt>
              <c:pt idx="6">
                <c:v>2.7237365152299648E-2</c:v>
              </c:pt>
              <c:pt idx="7">
                <c:v>2.8893256356949129E-2</c:v>
              </c:pt>
              <c:pt idx="8">
                <c:v>3.0641127098288597E-2</c:v>
              </c:pt>
              <c:pt idx="9">
                <c:v>3.2485867759629528E-2</c:v>
              </c:pt>
              <c:pt idx="10">
                <c:v>3.4432649686309907E-2</c:v>
              </c:pt>
              <c:pt idx="11">
                <c:v>3.4000000000000002E-2</c:v>
              </c:pt>
            </c:numLit>
          </c:yVal>
          <c:smooth val="1"/>
          <c:extLst>
            <c:ext xmlns:c16="http://schemas.microsoft.com/office/drawing/2014/chart" uri="{C3380CC4-5D6E-409C-BE32-E72D297353CC}">
              <c16:uniqueId val="{00000040-530E-40B1-B0E6-1AADA81A91D3}"/>
            </c:ext>
          </c:extLst>
        </c:ser>
        <c:ser>
          <c:idx val="46"/>
          <c:order val="46"/>
          <c:tx>
            <c:v>RH=100_1</c:v>
          </c:tx>
          <c:spPr>
            <a:ln w="3175">
              <a:solidFill>
                <a:srgbClr val="0000FF"/>
              </a:solidFill>
              <a:prstDash val="solid"/>
            </a:ln>
          </c:spPr>
          <c:marker>
            <c:symbol val="none"/>
          </c:marker>
          <c:xVal>
            <c:numLit>
              <c:formatCode>General</c:formatCode>
              <c:ptCount val="23"/>
              <c:pt idx="0">
                <c:v>-10.178169782224485</c:v>
              </c:pt>
              <c:pt idx="1">
                <c:v>-9.1914446576012097</c:v>
              </c:pt>
              <c:pt idx="2">
                <c:v>-8.2055155451094635</c:v>
              </c:pt>
              <c:pt idx="3">
                <c:v>-7.22041332968442</c:v>
              </c:pt>
              <c:pt idx="4">
                <c:v>-6.2361685593886982</c:v>
              </c:pt>
              <c:pt idx="5">
                <c:v>-5.2528112525852375</c:v>
              </c:pt>
              <c:pt idx="6">
                <c:v>-4.2703706848883494</c:v>
              </c:pt>
              <c:pt idx="7">
                <c:v>-3.2888751544738279</c:v>
              </c:pt>
              <c:pt idx="8">
                <c:v>-2.3083517242375029</c:v>
              </c:pt>
              <c:pt idx="9">
                <c:v>-1.3288259391909207</c:v>
              </c:pt>
              <c:pt idx="10">
                <c:v>-0.35032151737137113</c:v>
              </c:pt>
              <c:pt idx="11">
                <c:v>0.63072878902048002</c:v>
              </c:pt>
              <c:pt idx="12">
                <c:v>1.6111719572746135</c:v>
              </c:pt>
              <c:pt idx="13">
                <c:v>2.5909827527240186</c:v>
              </c:pt>
              <c:pt idx="14">
                <c:v>3.5701735744985212</c:v>
              </c:pt>
              <c:pt idx="15">
                <c:v>4.5487605635344499</c:v>
              </c:pt>
              <c:pt idx="16">
                <c:v>5.5267544089063207</c:v>
              </c:pt>
              <c:pt idx="17">
                <c:v>6.5041883174927406</c:v>
              </c:pt>
              <c:pt idx="18">
                <c:v>7.481091633037142</c:v>
              </c:pt>
              <c:pt idx="19">
                <c:v>8.4574988517709855</c:v>
              </c:pt>
              <c:pt idx="20">
                <c:v>9.4334500278774112</c:v>
              </c:pt>
              <c:pt idx="21">
                <c:v>10.408979273270996</c:v>
              </c:pt>
              <c:pt idx="22">
                <c:v>10.516264586793987</c:v>
              </c:pt>
            </c:numLit>
          </c:xVal>
          <c:yVal>
            <c:numLit>
              <c:formatCode>General</c:formatCode>
              <c:ptCount val="23"/>
              <c:pt idx="0">
                <c:v>1.6060824455002855E-3</c:v>
              </c:pt>
              <c:pt idx="1">
                <c:v>1.7549965878149991E-3</c:v>
              </c:pt>
              <c:pt idx="2">
                <c:v>1.9164686538757729E-3</c:v>
              </c:pt>
              <c:pt idx="3">
                <c:v>2.0914526472602013E-3</c:v>
              </c:pt>
              <c:pt idx="4">
                <c:v>2.2809674610698065E-3</c:v>
              </c:pt>
              <c:pt idx="5">
                <c:v>2.4861008807502316E-3</c:v>
              </c:pt>
              <c:pt idx="6">
                <c:v>2.7080138291286308E-3</c:v>
              </c:pt>
              <c:pt idx="7">
                <c:v>2.9479448711774276E-3</c:v>
              </c:pt>
              <c:pt idx="8">
                <c:v>3.2072149977556683E-3</c:v>
              </c:pt>
              <c:pt idx="9">
                <c:v>3.4872327095305327E-3</c:v>
              </c:pt>
              <c:pt idx="10">
                <c:v>3.7894994244688104E-3</c:v>
              </c:pt>
              <c:pt idx="11">
                <c:v>4.076002175174424E-3</c:v>
              </c:pt>
              <c:pt idx="12">
                <c:v>4.3812837251538872E-3</c:v>
              </c:pt>
              <c:pt idx="13">
                <c:v>4.7068331132422495E-3</c:v>
              </c:pt>
              <c:pt idx="14">
                <c:v>5.0538263680982628E-3</c:v>
              </c:pt>
              <c:pt idx="15">
                <c:v>5.4234990810554818E-3</c:v>
              </c:pt>
              <c:pt idx="16">
                <c:v>5.8172661857312045E-3</c:v>
              </c:pt>
              <c:pt idx="17">
                <c:v>6.236391005280101E-3</c:v>
              </c:pt>
              <c:pt idx="18">
                <c:v>6.6823069273506883E-3</c:v>
              </c:pt>
              <c:pt idx="19">
                <c:v>7.156519212147776E-3</c:v>
              </c:pt>
              <c:pt idx="20">
                <c:v>7.6606084940231836E-3</c:v>
              </c:pt>
              <c:pt idx="21">
                <c:v>8.196399932304619E-3</c:v>
              </c:pt>
              <c:pt idx="22">
                <c:v>8.2573377030506299E-3</c:v>
              </c:pt>
            </c:numLit>
          </c:yVal>
          <c:smooth val="1"/>
          <c:extLst>
            <c:ext xmlns:c16="http://schemas.microsoft.com/office/drawing/2014/chart" uri="{C3380CC4-5D6E-409C-BE32-E72D297353CC}">
              <c16:uniqueId val="{00000041-530E-40B1-B0E6-1AADA81A91D3}"/>
            </c:ext>
          </c:extLst>
        </c:ser>
        <c:ser>
          <c:idx val="47"/>
          <c:order val="47"/>
          <c:tx>
            <c:v>RH=100_Label1</c:v>
          </c:tx>
          <c:spPr>
            <a:ln w="3175">
              <a:solidFill>
                <a:srgbClr val="0000FF"/>
              </a:solidFill>
              <a:prstDash val="solid"/>
            </a:ln>
          </c:spPr>
          <c:marker>
            <c:symbol val="none"/>
          </c:marker>
          <c:dLbls>
            <c:dLbl>
              <c:idx val="0"/>
              <c:tx>
                <c:rich>
                  <a:bodyPr rot="-22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2-530E-40B1-B0E6-1AADA81A91D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10.916109197854718</c:v>
              </c:pt>
            </c:numLit>
          </c:xVal>
          <c:yVal>
            <c:numLit>
              <c:formatCode>General</c:formatCode>
              <c:ptCount val="1"/>
              <c:pt idx="0">
                <c:v>8.4880589687444351E-3</c:v>
              </c:pt>
            </c:numLit>
          </c:yVal>
          <c:smooth val="0"/>
          <c:extLst>
            <c:ext xmlns:c16="http://schemas.microsoft.com/office/drawing/2014/chart" uri="{C3380CC4-5D6E-409C-BE32-E72D297353CC}">
              <c16:uniqueId val="{00000043-530E-40B1-B0E6-1AADA81A91D3}"/>
            </c:ext>
          </c:extLst>
        </c:ser>
        <c:ser>
          <c:idx val="48"/>
          <c:order val="48"/>
          <c:tx>
            <c:v>RH=100_2</c:v>
          </c:tx>
          <c:spPr>
            <a:ln w="3175">
              <a:solidFill>
                <a:srgbClr val="0000FF"/>
              </a:solidFill>
              <a:prstDash val="solid"/>
            </a:ln>
          </c:spPr>
          <c:marker>
            <c:symbol val="none"/>
          </c:marker>
          <c:xVal>
            <c:numLit>
              <c:formatCode>General</c:formatCode>
              <c:ptCount val="13"/>
              <c:pt idx="0">
                <c:v>11.306148161457124</c:v>
              </c:pt>
              <c:pt idx="1">
                <c:v>12.281041279910601</c:v>
              </c:pt>
              <c:pt idx="2">
                <c:v>13.255696426782698</c:v>
              </c:pt>
              <c:pt idx="3">
                <c:v>14.23018774206972</c:v>
              </c:pt>
              <c:pt idx="4">
                <c:v>15.204597871348779</c:v>
              </c:pt>
              <c:pt idx="5">
                <c:v>16.179018572095902</c:v>
              </c:pt>
              <c:pt idx="6">
                <c:v>17.153551357611043</c:v>
              </c:pt>
              <c:pt idx="7">
                <c:v>18.128308181438197</c:v>
              </c:pt>
              <c:pt idx="8">
                <c:v>19.103412165477447</c:v>
              </c:pt>
              <c:pt idx="9">
                <c:v>20.078998375331533</c:v>
              </c:pt>
              <c:pt idx="10">
                <c:v>21.055214646816154</c:v>
              </c:pt>
              <c:pt idx="11">
                <c:v>22.032222467998068</c:v>
              </c:pt>
              <c:pt idx="12">
                <c:v>22.980842787419583</c:v>
              </c:pt>
            </c:numLit>
          </c:xVal>
          <c:yVal>
            <c:numLit>
              <c:formatCode>General</c:formatCode>
              <c:ptCount val="13"/>
              <c:pt idx="0">
                <c:v>8.7186984612775478E-3</c:v>
              </c:pt>
              <c:pt idx="1">
                <c:v>9.3200472156966009E-3</c:v>
              </c:pt>
              <c:pt idx="2">
                <c:v>9.9582974908895144E-3</c:v>
              </c:pt>
              <c:pt idx="3">
                <c:v>1.0635461977505508E-2</c:v>
              </c:pt>
              <c:pt idx="4">
                <c:v>1.1353654611274092E-2</c:v>
              </c:pt>
              <c:pt idx="5">
                <c:v>1.2115095962728417E-2</c:v>
              </c:pt>
              <c:pt idx="6">
                <c:v>1.2922119000939997E-2</c:v>
              </c:pt>
              <c:pt idx="7">
                <c:v>1.377717526523955E-2</c:v>
              </c:pt>
              <c:pt idx="8">
                <c:v>1.46828414823855E-2</c:v>
              </c:pt>
              <c:pt idx="9">
                <c:v>1.5641826670521098E-2</c:v>
              </c:pt>
              <c:pt idx="10">
                <c:v>1.665697977558259E-2</c:v>
              </c:pt>
              <c:pt idx="11">
                <c:v>1.7731297890637539E-2</c:v>
              </c:pt>
              <c:pt idx="12">
                <c:v>1.8832897951509976E-2</c:v>
              </c:pt>
            </c:numLit>
          </c:yVal>
          <c:smooth val="1"/>
          <c:extLst>
            <c:ext xmlns:c16="http://schemas.microsoft.com/office/drawing/2014/chart" uri="{C3380CC4-5D6E-409C-BE32-E72D297353CC}">
              <c16:uniqueId val="{00000044-530E-40B1-B0E6-1AADA81A91D3}"/>
            </c:ext>
          </c:extLst>
        </c:ser>
        <c:ser>
          <c:idx val="49"/>
          <c:order val="49"/>
          <c:tx>
            <c:v>RH=100_Label2</c:v>
          </c:tx>
          <c:spPr>
            <a:ln w="3175">
              <a:solidFill>
                <a:srgbClr val="0000FF"/>
              </a:solidFill>
              <a:prstDash val="solid"/>
            </a:ln>
          </c:spPr>
          <c:marker>
            <c:symbol val="none"/>
          </c:marker>
          <c:dLbls>
            <c:dLbl>
              <c:idx val="0"/>
              <c:tx>
                <c:rich>
                  <a:bodyPr rot="-34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5-530E-40B1-B0E6-1AADA81A91D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23.274441676340576</c:v>
              </c:pt>
            </c:numLit>
          </c:xVal>
          <c:yVal>
            <c:numLit>
              <c:formatCode>General</c:formatCode>
              <c:ptCount val="1"/>
              <c:pt idx="0">
                <c:v>1.9185938466822944E-2</c:v>
              </c:pt>
            </c:numLit>
          </c:yVal>
          <c:smooth val="0"/>
          <c:extLst>
            <c:ext xmlns:c16="http://schemas.microsoft.com/office/drawing/2014/chart" uri="{C3380CC4-5D6E-409C-BE32-E72D297353CC}">
              <c16:uniqueId val="{00000046-530E-40B1-B0E6-1AADA81A91D3}"/>
            </c:ext>
          </c:extLst>
        </c:ser>
        <c:ser>
          <c:idx val="50"/>
          <c:order val="50"/>
          <c:tx>
            <c:v>RH=100_3</c:v>
          </c:tx>
          <c:spPr>
            <a:ln w="3175">
              <a:solidFill>
                <a:srgbClr val="0000FF"/>
              </a:solidFill>
              <a:prstDash val="solid"/>
            </a:ln>
          </c:spPr>
          <c:marker>
            <c:symbol val="none"/>
          </c:marker>
          <c:xVal>
            <c:numLit>
              <c:formatCode>General</c:formatCode>
              <c:ptCount val="12"/>
              <c:pt idx="0">
                <c:v>23.568149699182413</c:v>
              </c:pt>
              <c:pt idx="1">
                <c:v>24.548027900099004</c:v>
              </c:pt>
              <c:pt idx="2">
                <c:v>25.529389944809026</c:v>
              </c:pt>
              <c:pt idx="3">
                <c:v>26.512482514651783</c:v>
              </c:pt>
              <c:pt idx="4">
                <c:v>27.497562490796636</c:v>
              </c:pt>
              <c:pt idx="5">
                <c:v>28.484908011306281</c:v>
              </c:pt>
              <c:pt idx="6">
                <c:v>29.474819980120685</c:v>
              </c:pt>
              <c:pt idx="7">
                <c:v>30.467623697062518</c:v>
              </c:pt>
              <c:pt idx="8">
                <c:v>31.463670621458721</c:v>
              </c:pt>
              <c:pt idx="9">
                <c:v>32.463340283532261</c:v>
              </c:pt>
              <c:pt idx="10">
                <c:v>33.467042359491842</c:v>
              </c:pt>
              <c:pt idx="11">
                <c:v>32.643696673944994</c:v>
              </c:pt>
            </c:numLit>
          </c:xVal>
          <c:yVal>
            <c:numLit>
              <c:formatCode>General</c:formatCode>
              <c:ptCount val="12"/>
              <c:pt idx="0">
                <c:v>1.9544968716094731E-2</c:v>
              </c:pt>
              <c:pt idx="1">
                <c:v>2.078642319572007E-2</c:v>
              </c:pt>
              <c:pt idx="2">
                <c:v>2.2099351809162063E-2</c:v>
              </c:pt>
              <c:pt idx="3">
                <c:v>2.3487353058385261E-2</c:v>
              </c:pt>
              <c:pt idx="4">
                <c:v>2.4954438152261969E-2</c:v>
              </c:pt>
              <c:pt idx="5">
                <c:v>2.6504840036747992E-2</c:v>
              </c:pt>
              <c:pt idx="6">
                <c:v>2.8143028389042056E-2</c:v>
              </c:pt>
              <c:pt idx="7">
                <c:v>2.9873725935853069E-2</c:v>
              </c:pt>
              <c:pt idx="8">
                <c:v>3.1701926236084019E-2</c:v>
              </c:pt>
              <c:pt idx="9">
                <c:v>3.3632913085147265E-2</c:v>
              </c:pt>
              <c:pt idx="10">
                <c:v>3.567228171735233E-2</c:v>
              </c:pt>
              <c:pt idx="11">
                <c:v>3.4000000000000002E-2</c:v>
              </c:pt>
            </c:numLit>
          </c:yVal>
          <c:smooth val="1"/>
          <c:extLst>
            <c:ext xmlns:c16="http://schemas.microsoft.com/office/drawing/2014/chart" uri="{C3380CC4-5D6E-409C-BE32-E72D297353CC}">
              <c16:uniqueId val="{00000047-530E-40B1-B0E6-1AADA81A91D3}"/>
            </c:ext>
          </c:extLst>
        </c:ser>
        <c:ser>
          <c:idx val="51"/>
          <c:order val="51"/>
          <c:tx>
            <c:v>RH=5_1</c:v>
          </c:tx>
          <c:spPr>
            <a:ln w="3175">
              <a:solidFill>
                <a:srgbClr val="0000FF"/>
              </a:solidFill>
              <a:prstDash val="solid"/>
            </a:ln>
          </c:spPr>
          <c:marker>
            <c:symbol val="none"/>
          </c:marker>
          <c:xVal>
            <c:numLit>
              <c:formatCode>General</c:formatCode>
              <c:ptCount val="44"/>
              <c:pt idx="0">
                <c:v>4.9776233903200948</c:v>
              </c:pt>
              <c:pt idx="1">
                <c:v>5.9765461124062504</c:v>
              </c:pt>
              <c:pt idx="2">
                <c:v>6.9754433265574693</c:v>
              </c:pt>
              <c:pt idx="3">
                <c:v>7.9743167161359203</c:v>
              </c:pt>
              <c:pt idx="4">
                <c:v>8.9731682332912257</c:v>
              </c:pt>
              <c:pt idx="5">
                <c:v>9.9720001185570162</c:v>
              </c:pt>
              <c:pt idx="6">
                <c:v>10.970814339524935</c:v>
              </c:pt>
              <c:pt idx="7">
                <c:v>11.969614309804435</c:v>
              </c:pt>
              <c:pt idx="8">
                <c:v>12.96840326099748</c:v>
              </c:pt>
              <c:pt idx="9">
                <c:v>13.967184800874087</c:v>
              </c:pt>
              <c:pt idx="10">
                <c:v>14.965962937671193</c:v>
              </c:pt>
              <c:pt idx="11">
                <c:v>15.96474210539113</c:v>
              </c:pt>
              <c:pt idx="12">
                <c:v>16.963527190121308</c:v>
              </c:pt>
              <c:pt idx="13">
                <c:v>17.962323557396687</c:v>
              </c:pt>
              <c:pt idx="14">
                <c:v>18.96113708062671</c:v>
              </c:pt>
              <c:pt idx="15">
                <c:v>19.959974170608504</c:v>
              </c:pt>
              <c:pt idx="16">
                <c:v>20.958841806148165</c:v>
              </c:pt>
              <c:pt idx="17">
                <c:v>21.957747565812291</c:v>
              </c:pt>
              <c:pt idx="18">
                <c:v>22.956699660831834</c:v>
              </c:pt>
              <c:pt idx="19">
                <c:v>23.955706969180849</c:v>
              </c:pt>
              <c:pt idx="20">
                <c:v>24.954779070852826</c:v>
              </c:pt>
              <c:pt idx="21">
                <c:v>25.953925365223707</c:v>
              </c:pt>
              <c:pt idx="22">
                <c:v>26.953157835456782</c:v>
              </c:pt>
              <c:pt idx="23">
                <c:v>27.952488397435463</c:v>
              </c:pt>
              <c:pt idx="24">
                <c:v>28.951929823629314</c:v>
              </c:pt>
              <c:pt idx="25">
                <c:v>29.951495784802255</c:v>
              </c:pt>
              <c:pt idx="26">
                <c:v>30.951200893068666</c:v>
              </c:pt>
              <c:pt idx="27">
                <c:v>31.951060746323797</c:v>
              </c:pt>
              <c:pt idx="28">
                <c:v>32.951091974075759</c:v>
              </c:pt>
              <c:pt idx="29">
                <c:v>33.9513122847072</c:v>
              </c:pt>
              <c:pt idx="30">
                <c:v>34.951740514195947</c:v>
              </c:pt>
              <c:pt idx="31">
                <c:v>35.952396676324661</c:v>
              </c:pt>
              <c:pt idx="32">
                <c:v>36.9533020144112</c:v>
              </c:pt>
              <c:pt idx="33">
                <c:v>37.954479054592419</c:v>
              </c:pt>
              <c:pt idx="34">
                <c:v>38.955951660695632</c:v>
              </c:pt>
              <c:pt idx="35">
                <c:v>39.957745090733781</c:v>
              </c:pt>
              <c:pt idx="36">
                <c:v>40.959885654307307</c:v>
              </c:pt>
              <c:pt idx="37">
                <c:v>41.962402024883296</c:v>
              </c:pt>
              <c:pt idx="38">
                <c:v>42.965324010989782</c:v>
              </c:pt>
              <c:pt idx="39">
                <c:v>43.968683059608644</c:v>
              </c:pt>
              <c:pt idx="40">
                <c:v>44.972512321482363</c:v>
              </c:pt>
              <c:pt idx="41">
                <c:v>45.976846718306781</c:v>
              </c:pt>
              <c:pt idx="42">
                <c:v>46.981723011861952</c:v>
              </c:pt>
              <c:pt idx="43">
                <c:v>47.182766666949178</c:v>
              </c:pt>
            </c:numLit>
          </c:xVal>
          <c:yVal>
            <c:numLit>
              <c:formatCode>General</c:formatCode>
              <c:ptCount val="44"/>
              <c:pt idx="0">
                <c:v>2.6894706496995591E-4</c:v>
              </c:pt>
              <c:pt idx="1">
                <c:v>2.883016974500513E-4</c:v>
              </c:pt>
              <c:pt idx="2">
                <c:v>3.0887738788679987E-4</c:v>
              </c:pt>
              <c:pt idx="3">
                <c:v>3.3073967700030329E-4</c:v>
              </c:pt>
              <c:pt idx="4">
                <c:v>3.539569539605077E-4</c:v>
              </c:pt>
              <c:pt idx="5">
                <c:v>3.7860054746830814E-4</c:v>
              </c:pt>
              <c:pt idx="6">
                <c:v>4.0475288720587759E-4</c:v>
              </c:pt>
              <c:pt idx="7">
                <c:v>4.324844982560534E-4</c:v>
              </c:pt>
              <c:pt idx="8">
                <c:v>4.6187619059190967E-4</c:v>
              </c:pt>
              <c:pt idx="9">
                <c:v>4.930121015631261E-4</c:v>
              </c:pt>
              <c:pt idx="10">
                <c:v>5.2597979574161853E-4</c:v>
              </c:pt>
              <c:pt idx="11">
                <c:v>5.6087036648519981E-4</c:v>
              </c:pt>
              <c:pt idx="12">
                <c:v>5.9777853923045476E-4</c:v>
              </c:pt>
              <c:pt idx="13">
                <c:v>6.3680277652780669E-4</c:v>
              </c:pt>
              <c:pt idx="14">
                <c:v>6.780453848340256E-4</c:v>
              </c:pt>
              <c:pt idx="15">
                <c:v>7.2161262307971201E-4</c:v>
              </c:pt>
              <c:pt idx="16">
                <c:v>7.6761481303197878E-4</c:v>
              </c:pt>
              <c:pt idx="17">
                <c:v>8.1616645147532241E-4</c:v>
              </c:pt>
              <c:pt idx="18">
                <c:v>8.6738632423690452E-4</c:v>
              </c:pt>
              <c:pt idx="19">
                <c:v>9.2139762208571683E-4</c:v>
              </c:pt>
              <c:pt idx="20">
                <c:v>9.783280585388284E-4</c:v>
              </c:pt>
              <c:pt idx="21">
                <c:v>1.0383307030678828E-3</c:v>
              </c:pt>
              <c:pt idx="22">
                <c:v>1.1015244864534207E-3</c:v>
              </c:pt>
              <c:pt idx="23">
                <c:v>1.1680516173001498E-3</c:v>
              </c:pt>
              <c:pt idx="24">
                <c:v>1.2380593299771872E-3</c:v>
              </c:pt>
              <c:pt idx="25">
                <c:v>1.3117000131433135E-3</c:v>
              </c:pt>
              <c:pt idx="26">
                <c:v>1.3891313404901472E-3</c:v>
              </c:pt>
              <c:pt idx="27">
                <c:v>1.4705164037711607E-3</c:v>
              </c:pt>
              <c:pt idx="28">
                <c:v>1.5560238481906713E-3</c:v>
              </c:pt>
              <c:pt idx="29">
                <c:v>1.6458280102336351E-3</c:v>
              </c:pt>
              <c:pt idx="30">
                <c:v>1.7401090580242489E-3</c:v>
              </c:pt>
              <c:pt idx="31">
                <c:v>1.8390531343085432E-3</c:v>
              </c:pt>
              <c:pt idx="32">
                <c:v>1.9428525021642465E-3</c:v>
              </c:pt>
              <c:pt idx="33">
                <c:v>2.0517056935495715E-3</c:v>
              </c:pt>
              <c:pt idx="34">
                <c:v>2.1658176608111267E-3</c:v>
              </c:pt>
              <c:pt idx="35">
                <c:v>2.2853999312806269E-3</c:v>
              </c:pt>
              <c:pt idx="36">
                <c:v>2.4106948486765866E-3</c:v>
              </c:pt>
              <c:pt idx="37">
                <c:v>2.5419061134005754E-3</c:v>
              </c:pt>
              <c:pt idx="38">
                <c:v>2.6792661247527954E-3</c:v>
              </c:pt>
              <c:pt idx="39">
                <c:v>2.8230145191489361E-3</c:v>
              </c:pt>
              <c:pt idx="40">
                <c:v>2.9733983428754376E-3</c:v>
              </c:pt>
              <c:pt idx="41">
                <c:v>3.1306722289495314E-3</c:v>
              </c:pt>
              <c:pt idx="42">
                <c:v>3.295098578294037E-3</c:v>
              </c:pt>
              <c:pt idx="43">
                <c:v>3.3288657928423463E-3</c:v>
              </c:pt>
            </c:numLit>
          </c:yVal>
          <c:smooth val="1"/>
          <c:extLst>
            <c:ext xmlns:c16="http://schemas.microsoft.com/office/drawing/2014/chart" uri="{C3380CC4-5D6E-409C-BE32-E72D297353CC}">
              <c16:uniqueId val="{00000048-530E-40B1-B0E6-1AADA81A91D3}"/>
            </c:ext>
          </c:extLst>
        </c:ser>
        <c:ser>
          <c:idx val="52"/>
          <c:order val="52"/>
          <c:tx>
            <c:v>RH=5_Label</c:v>
          </c:tx>
          <c:spPr>
            <a:ln w="3175">
              <a:solidFill>
                <a:srgbClr val="0000FF"/>
              </a:solidFill>
              <a:prstDash val="solid"/>
            </a:ln>
          </c:spPr>
          <c:marker>
            <c:symbol val="none"/>
          </c:marker>
          <c:dLbls>
            <c:dLbl>
              <c:idx val="0"/>
              <c:tx>
                <c:rich>
                  <a:bodyPr rot="-78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9-530E-40B1-B0E6-1AADA81A91D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47.484376378579221</c:v>
              </c:pt>
            </c:numLit>
          </c:xVal>
          <c:yVal>
            <c:numLit>
              <c:formatCode>General</c:formatCode>
              <c:ptCount val="1"/>
              <c:pt idx="0">
                <c:v>3.3800780966238612E-3</c:v>
              </c:pt>
            </c:numLit>
          </c:yVal>
          <c:smooth val="0"/>
          <c:extLst>
            <c:ext xmlns:c16="http://schemas.microsoft.com/office/drawing/2014/chart" uri="{C3380CC4-5D6E-409C-BE32-E72D297353CC}">
              <c16:uniqueId val="{0000004A-530E-40B1-B0E6-1AADA81A91D3}"/>
            </c:ext>
          </c:extLst>
        </c:ser>
        <c:ser>
          <c:idx val="53"/>
          <c:order val="53"/>
          <c:tx>
            <c:v>RH=5_2</c:v>
          </c:tx>
          <c:spPr>
            <a:ln w="3175">
              <a:solidFill>
                <a:srgbClr val="0000FF"/>
              </a:solidFill>
              <a:prstDash val="solid"/>
            </a:ln>
          </c:spPr>
          <c:marker>
            <c:symbol val="none"/>
          </c:marker>
          <c:xVal>
            <c:numLit>
              <c:formatCode>General</c:formatCode>
              <c:ptCount val="4"/>
              <c:pt idx="0">
                <c:v>47.78604013452582</c:v>
              </c:pt>
              <c:pt idx="1">
                <c:v>48.791990629120036</c:v>
              </c:pt>
              <c:pt idx="2">
                <c:v>49.798596355979541</c:v>
              </c:pt>
              <c:pt idx="3">
                <c:v>50.000000000000007</c:v>
              </c:pt>
            </c:numLit>
          </c:xVal>
          <c:yVal>
            <c:numLit>
              <c:formatCode>General</c:formatCode>
              <c:ptCount val="4"/>
              <c:pt idx="0">
                <c:v>3.4319708374959527E-3</c:v>
              </c:pt>
              <c:pt idx="1">
                <c:v>3.6099583804882654E-3</c:v>
              </c:pt>
              <c:pt idx="2">
                <c:v>3.7958760338435635E-3</c:v>
              </c:pt>
              <c:pt idx="3">
                <c:v>3.8340368674482672E-3</c:v>
              </c:pt>
            </c:numLit>
          </c:yVal>
          <c:smooth val="1"/>
          <c:extLst>
            <c:ext xmlns:c16="http://schemas.microsoft.com/office/drawing/2014/chart" uri="{C3380CC4-5D6E-409C-BE32-E72D297353CC}">
              <c16:uniqueId val="{0000004B-530E-40B1-B0E6-1AADA81A91D3}"/>
            </c:ext>
          </c:extLst>
        </c:ser>
        <c:ser>
          <c:idx val="54"/>
          <c:order val="54"/>
          <c:tx>
            <c:v>RH=15_1</c:v>
          </c:tx>
          <c:spPr>
            <a:ln w="3175">
              <a:solidFill>
                <a:srgbClr val="0000FF"/>
              </a:solidFill>
              <a:prstDash val="solid"/>
            </a:ln>
          </c:spPr>
          <c:marker>
            <c:symbol val="none"/>
          </c:marker>
          <c:xVal>
            <c:numLit>
              <c:formatCode>General</c:formatCode>
              <c:ptCount val="43"/>
              <c:pt idx="0">
                <c:v>4.9328120662058037</c:v>
              </c:pt>
              <c:pt idx="1">
                <c:v>5.9295730482714228</c:v>
              </c:pt>
              <c:pt idx="2">
                <c:v>6.9262567373612773</c:v>
              </c:pt>
              <c:pt idx="3">
                <c:v>7.9228681182020555</c:v>
              </c:pt>
              <c:pt idx="4">
                <c:v>8.9194129788004801</c:v>
              </c:pt>
              <c:pt idx="5">
                <c:v>9.9158979695017493</c:v>
              </c:pt>
              <c:pt idx="6">
                <c:v>10.912328914825977</c:v>
              </c:pt>
              <c:pt idx="7">
                <c:v>11.908715983459764</c:v>
              </c:pt>
              <c:pt idx="8">
                <c:v>12.905068793043446</c:v>
              </c:pt>
              <c:pt idx="9">
                <c:v>13.901398089122475</c:v>
              </c:pt>
              <c:pt idx="10">
                <c:v>14.897715818985999</c:v>
              </c:pt>
              <c:pt idx="11">
                <c:v>15.894035208705857</c:v>
              </c:pt>
              <c:pt idx="12">
                <c:v>16.890370843469007</c:v>
              </c:pt>
              <c:pt idx="13">
                <c:v>17.886738751299848</c:v>
              </c:pt>
              <c:pt idx="14">
                <c:v>18.883156490272302</c:v>
              </c:pt>
              <c:pt idx="15">
                <c:v>19.879643239315833</c:v>
              </c:pt>
              <c:pt idx="16">
                <c:v>20.876219892723721</c:v>
              </c:pt>
              <c:pt idx="17">
                <c:v>21.872909158476965</c:v>
              </c:pt>
              <c:pt idx="18">
                <c:v>22.86973566050245</c:v>
              </c:pt>
              <c:pt idx="19">
                <c:v>23.866726044989953</c:v>
              </c:pt>
              <c:pt idx="20">
                <c:v>24.863909090898993</c:v>
              </c:pt>
              <c:pt idx="21">
                <c:v>25.861313048886803</c:v>
              </c:pt>
              <c:pt idx="22">
                <c:v>26.858973993203644</c:v>
              </c:pt>
              <c:pt idx="23">
                <c:v>27.856927825559083</c:v>
              </c:pt>
              <c:pt idx="24">
                <c:v>28.855213070331221</c:v>
              </c:pt>
              <c:pt idx="25">
                <c:v>29.853871008543511</c:v>
              </c:pt>
              <c:pt idx="26">
                <c:v>30.852945817009974</c:v>
              </c:pt>
              <c:pt idx="27">
                <c:v>31.852484712846547</c:v>
              </c:pt>
              <c:pt idx="28">
                <c:v>32.852538103559269</c:v>
              </c:pt>
              <c:pt idx="29">
                <c:v>33.853159742934409</c:v>
              </c:pt>
              <c:pt idx="30">
                <c:v>34.854406892971049</c:v>
              </c:pt>
              <c:pt idx="31">
                <c:v>35.856340492113461</c:v>
              </c:pt>
              <c:pt idx="32">
                <c:v>36.859025330058785</c:v>
              </c:pt>
              <c:pt idx="33">
                <c:v>37.86253022943545</c:v>
              </c:pt>
              <c:pt idx="34">
                <c:v>38.866928234668933</c:v>
              </c:pt>
              <c:pt idx="35">
                <c:v>39.872296808374962</c:v>
              </c:pt>
              <c:pt idx="36">
                <c:v>40.878716814523401</c:v>
              </c:pt>
              <c:pt idx="37">
                <c:v>41.886276545260401</c:v>
              </c:pt>
              <c:pt idx="38">
                <c:v>42.895068014466354</c:v>
              </c:pt>
              <c:pt idx="39">
                <c:v>43.90518852682635</c:v>
              </c:pt>
              <c:pt idx="40">
                <c:v>44.916740918221194</c:v>
              </c:pt>
              <c:pt idx="41">
                <c:v>45.929833806311073</c:v>
              </c:pt>
              <c:pt idx="42">
                <c:v>46.447141040472602</c:v>
              </c:pt>
            </c:numLit>
          </c:xVal>
          <c:yVal>
            <c:numLit>
              <c:formatCode>General</c:formatCode>
              <c:ptCount val="43"/>
              <c:pt idx="0">
                <c:v>8.0753956268771263E-4</c:v>
              </c:pt>
              <c:pt idx="1">
                <c:v>8.6570764221589327E-4</c:v>
              </c:pt>
              <c:pt idx="2">
                <c:v>9.2755341603594442E-4</c:v>
              </c:pt>
              <c:pt idx="3">
                <c:v>9.9327538516040146E-4</c:v>
              </c:pt>
              <c:pt idx="4">
                <c:v>1.0630808199149999E-3</c:v>
              </c:pt>
              <c:pt idx="5">
                <c:v>1.137186057543544E-3</c:v>
              </c:pt>
              <c:pt idx="6">
                <c:v>1.2158410764414958E-3</c:v>
              </c:pt>
              <c:pt idx="7">
                <c:v>1.2992603372874558E-3</c:v>
              </c:pt>
              <c:pt idx="8">
                <c:v>1.3876895408063471E-3</c:v>
              </c:pt>
              <c:pt idx="9">
                <c:v>1.4813847422758377E-3</c:v>
              </c:pt>
              <c:pt idx="10">
                <c:v>1.5806126897094368E-3</c:v>
              </c:pt>
              <c:pt idx="11">
                <c:v>1.6856511708081745E-3</c:v>
              </c:pt>
              <c:pt idx="12">
                <c:v>1.7967893690155705E-3</c:v>
              </c:pt>
              <c:pt idx="13">
                <c:v>1.9143282290381843E-3</c:v>
              </c:pt>
              <c:pt idx="14">
                <c:v>2.0385808322245149E-3</c:v>
              </c:pt>
              <c:pt idx="15">
                <c:v>2.1698727822271171E-3</c:v>
              </c:pt>
              <c:pt idx="16">
                <c:v>2.3085426014077663E-3</c:v>
              </c:pt>
              <c:pt idx="17">
                <c:v>2.4549421384825049E-3</c:v>
              </c:pt>
              <c:pt idx="18">
                <c:v>2.6094369879436801E-3</c:v>
              </c:pt>
              <c:pt idx="19">
                <c:v>2.7724069218384747E-3</c:v>
              </c:pt>
              <c:pt idx="20">
                <c:v>2.9442463345293766E-3</c:v>
              </c:pt>
              <c:pt idx="21">
                <c:v>3.1254272585097861E-3</c:v>
              </c:pt>
              <c:pt idx="22">
                <c:v>3.3163198419152674E-3</c:v>
              </c:pt>
              <c:pt idx="23">
                <c:v>3.517365774378339E-3</c:v>
              </c:pt>
              <c:pt idx="24">
                <c:v>3.729023329410901E-3</c:v>
              </c:pt>
              <c:pt idx="25">
                <c:v>3.9517678872373575E-3</c:v>
              </c:pt>
              <c:pt idx="26">
                <c:v>4.1860924756074117E-3</c:v>
              </c:pt>
              <c:pt idx="27">
                <c:v>4.4325083296407235E-3</c:v>
              </c:pt>
              <c:pt idx="28">
                <c:v>4.6915454718334821E-3</c:v>
              </c:pt>
              <c:pt idx="29">
                <c:v>4.9637533134403835E-3</c:v>
              </c:pt>
              <c:pt idx="30">
                <c:v>5.2497012785349493E-3</c:v>
              </c:pt>
              <c:pt idx="31">
                <c:v>5.5499794521452683E-3</c:v>
              </c:pt>
              <c:pt idx="32">
                <c:v>5.8651992539645445E-3</c:v>
              </c:pt>
              <c:pt idx="33">
                <c:v>6.1959941392444491E-3</c:v>
              </c:pt>
              <c:pt idx="34">
                <c:v>6.5430203285947253E-3</c:v>
              </c:pt>
              <c:pt idx="35">
                <c:v>6.906957568537187E-3</c:v>
              </c:pt>
              <c:pt idx="36">
                <c:v>7.2885833088089363E-3</c:v>
              </c:pt>
              <c:pt idx="37">
                <c:v>7.6885615233894828E-3</c:v>
              </c:pt>
              <c:pt idx="38">
                <c:v>8.1076480373922614E-3</c:v>
              </c:pt>
              <c:pt idx="39">
                <c:v>8.5466256283771892E-3</c:v>
              </c:pt>
              <c:pt idx="40">
                <c:v>9.0063049752121399E-3</c:v>
              </c:pt>
              <c:pt idx="41">
                <c:v>9.487525652025099E-3</c:v>
              </c:pt>
              <c:pt idx="42">
                <c:v>9.7415215954277639E-3</c:v>
              </c:pt>
            </c:numLit>
          </c:yVal>
          <c:smooth val="1"/>
          <c:extLst>
            <c:ext xmlns:c16="http://schemas.microsoft.com/office/drawing/2014/chart" uri="{C3380CC4-5D6E-409C-BE32-E72D297353CC}">
              <c16:uniqueId val="{0000004C-530E-40B1-B0E6-1AADA81A91D3}"/>
            </c:ext>
          </c:extLst>
        </c:ser>
        <c:ser>
          <c:idx val="55"/>
          <c:order val="55"/>
          <c:tx>
            <c:v>RH=15_Label</c:v>
          </c:tx>
          <c:spPr>
            <a:ln w="3175">
              <a:solidFill>
                <a:srgbClr val="0000FF"/>
              </a:solidFill>
              <a:prstDash val="solid"/>
            </a:ln>
          </c:spPr>
          <c:marker>
            <c:symbol val="none"/>
          </c:marker>
          <c:dLbls>
            <c:dLbl>
              <c:idx val="0"/>
              <c:tx>
                <c:rich>
                  <a:bodyPr rot="-204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15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D-530E-40B1-B0E6-1AADA81A91D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46.751646831740644</c:v>
              </c:pt>
            </c:numLit>
          </c:xVal>
          <c:yVal>
            <c:numLit>
              <c:formatCode>General</c:formatCode>
              <c:ptCount val="1"/>
              <c:pt idx="0">
                <c:v>9.8937012958702358E-3</c:v>
              </c:pt>
            </c:numLit>
          </c:yVal>
          <c:smooth val="0"/>
          <c:extLst>
            <c:ext xmlns:c16="http://schemas.microsoft.com/office/drawing/2014/chart" uri="{C3380CC4-5D6E-409C-BE32-E72D297353CC}">
              <c16:uniqueId val="{0000004E-530E-40B1-B0E6-1AADA81A91D3}"/>
            </c:ext>
          </c:extLst>
        </c:ser>
        <c:ser>
          <c:idx val="56"/>
          <c:order val="56"/>
          <c:tx>
            <c:v>RH=15_2</c:v>
          </c:tx>
          <c:spPr>
            <a:ln w="3175">
              <a:solidFill>
                <a:srgbClr val="0000FF"/>
              </a:solidFill>
              <a:prstDash val="solid"/>
            </a:ln>
          </c:spPr>
          <c:marker>
            <c:symbol val="none"/>
          </c:marker>
          <c:xVal>
            <c:numLit>
              <c:formatCode>General</c:formatCode>
              <c:ptCount val="4"/>
              <c:pt idx="0">
                <c:v>47.056310316800555</c:v>
              </c:pt>
              <c:pt idx="1">
                <c:v>48.073037537462</c:v>
              </c:pt>
              <c:pt idx="2">
                <c:v>49.091682918519822</c:v>
              </c:pt>
              <c:pt idx="3">
                <c:v>50</c:v>
              </c:pt>
            </c:numLit>
          </c:xVal>
          <c:yVal>
            <c:numLit>
              <c:formatCode>General</c:formatCode>
              <c:ptCount val="4"/>
              <c:pt idx="0">
                <c:v>1.0047963183881549E-2</c:v>
              </c:pt>
              <c:pt idx="1">
                <c:v>1.0577526686358711E-2</c:v>
              </c:pt>
              <c:pt idx="2">
                <c:v>1.1131438908453318E-2</c:v>
              </c:pt>
              <c:pt idx="3">
                <c:v>1.1645684295829718E-2</c:v>
              </c:pt>
            </c:numLit>
          </c:yVal>
          <c:smooth val="1"/>
          <c:extLst>
            <c:ext xmlns:c16="http://schemas.microsoft.com/office/drawing/2014/chart" uri="{C3380CC4-5D6E-409C-BE32-E72D297353CC}">
              <c16:uniqueId val="{0000004F-530E-40B1-B0E6-1AADA81A91D3}"/>
            </c:ext>
          </c:extLst>
        </c:ser>
        <c:ser>
          <c:idx val="57"/>
          <c:order val="57"/>
          <c:tx>
            <c:v>RH=25_1</c:v>
          </c:tx>
          <c:spPr>
            <a:ln w="3175">
              <a:solidFill>
                <a:srgbClr val="0000FF"/>
              </a:solidFill>
              <a:prstDash val="solid"/>
            </a:ln>
          </c:spPr>
          <c:marker>
            <c:symbol val="none"/>
          </c:marker>
          <c:xVal>
            <c:numLit>
              <c:formatCode>General</c:formatCode>
              <c:ptCount val="37"/>
              <c:pt idx="0">
                <c:v>4.8879231012968791</c:v>
              </c:pt>
              <c:pt idx="1">
                <c:v>5.8825127300794398</c:v>
              </c:pt>
              <c:pt idx="2">
                <c:v>6.8769722487850746</c:v>
              </c:pt>
              <c:pt idx="3">
                <c:v>7.8713098552420631</c:v>
              </c:pt>
              <c:pt idx="4">
                <c:v>8.8655350807734692</c:v>
              </c:pt>
              <c:pt idx="5">
                <c:v>9.8596588890554671</c:v>
              </c:pt>
              <c:pt idx="6">
                <c:v>10.853690855483984</c:v>
              </c:pt>
              <c:pt idx="7">
                <c:v>11.847647805735933</c:v>
              </c:pt>
              <c:pt idx="8">
                <c:v>12.841545638426375</c:v>
              </c:pt>
              <c:pt idx="9">
                <c:v>13.835402130731799</c:v>
              </c:pt>
              <c:pt idx="10">
                <c:v>14.829237063000017</c:v>
              </c:pt>
              <c:pt idx="11">
                <c:v>15.823072349030694</c:v>
              </c:pt>
              <c:pt idx="12">
                <c:v>16.816932172229965</c:v>
              </c:pt>
              <c:pt idx="13">
                <c:v>17.810843127853662</c:v>
              </c:pt>
              <c:pt idx="14">
                <c:v>18.804834371565729</c:v>
              </c:pt>
              <c:pt idx="15">
                <c:v>19.798937774551831</c:v>
              </c:pt>
              <c:pt idx="16">
                <c:v>20.793188085442747</c:v>
              </c:pt>
              <c:pt idx="17">
                <c:v>21.787623099318349</c:v>
              </c:pt>
              <c:pt idx="18">
                <c:v>22.782283834080481</c:v>
              </c:pt>
              <c:pt idx="19">
                <c:v>23.777214714502644</c:v>
              </c:pt>
              <c:pt idx="20">
                <c:v>24.772463764285462</c:v>
              </c:pt>
              <c:pt idx="21">
                <c:v>25.768078148805394</c:v>
              </c:pt>
              <c:pt idx="22">
                <c:v>26.764118193744252</c:v>
              </c:pt>
              <c:pt idx="23">
                <c:v>27.760643986089452</c:v>
              </c:pt>
              <c:pt idx="24">
                <c:v>28.757720072682208</c:v>
              </c:pt>
              <c:pt idx="25">
                <c:v>29.755415698625718</c:v>
              </c:pt>
              <c:pt idx="26">
                <c:v>30.753805056280719</c:v>
              </c:pt>
              <c:pt idx="27">
                <c:v>31.752967545395908</c:v>
              </c:pt>
              <c:pt idx="28">
                <c:v>32.752988044964312</c:v>
              </c:pt>
              <c:pt idx="29">
                <c:v>33.753957197444102</c:v>
              </c:pt>
              <c:pt idx="30">
                <c:v>34.755971706033954</c:v>
              </c:pt>
              <c:pt idx="31">
                <c:v>35.75913464574959</c:v>
              </c:pt>
              <c:pt idx="32">
                <c:v>36.763555789109603</c:v>
              </c:pt>
              <c:pt idx="33">
                <c:v>37.76935194730585</c:v>
              </c:pt>
              <c:pt idx="34">
                <c:v>38.776647327806749</c:v>
              </c:pt>
              <c:pt idx="35">
                <c:v>39.785573909421991</c:v>
              </c:pt>
              <c:pt idx="36">
                <c:v>40.502977025632909</c:v>
              </c:pt>
            </c:numLit>
          </c:xVal>
          <c:yVal>
            <c:numLit>
              <c:formatCode>General</c:formatCode>
              <c:ptCount val="37"/>
              <c:pt idx="0">
                <c:v>1.3470652341139875E-3</c:v>
              </c:pt>
              <c:pt idx="1">
                <c:v>1.444186138075305E-3</c:v>
              </c:pt>
              <c:pt idx="2">
                <c:v>1.5474608367368606E-3</c:v>
              </c:pt>
              <c:pt idx="3">
                <c:v>1.6572233183113699E-3</c:v>
              </c:pt>
              <c:pt idx="4">
                <c:v>1.7738225641475147E-3</c:v>
              </c:pt>
              <c:pt idx="5">
                <c:v>1.8976230861585969E-3</c:v>
              </c:pt>
              <c:pt idx="6">
                <c:v>2.0290460350580602E-3</c:v>
              </c:pt>
              <c:pt idx="7">
                <c:v>2.1684536987783059E-3</c:v>
              </c:pt>
              <c:pt idx="8">
                <c:v>2.3162610831599165E-3</c:v>
              </c:pt>
              <c:pt idx="9">
                <c:v>2.4729010824941617E-3</c:v>
              </c:pt>
              <c:pt idx="10">
                <c:v>2.6388251094006578E-3</c:v>
              </c:pt>
              <c:pt idx="11">
                <c:v>2.8145037456534252E-3</c:v>
              </c:pt>
              <c:pt idx="12">
                <c:v>3.0004274150644203E-3</c:v>
              </c:pt>
              <c:pt idx="13">
                <c:v>3.1971070796238963E-3</c:v>
              </c:pt>
              <c:pt idx="14">
                <c:v>3.4050749601955599E-3</c:v>
              </c:pt>
              <c:pt idx="15">
                <c:v>3.6248852831695564E-3</c:v>
              </c:pt>
              <c:pt idx="16">
                <c:v>3.8571150545902433E-3</c:v>
              </c:pt>
              <c:pt idx="17">
                <c:v>4.1023648633974888E-3</c:v>
              </c:pt>
              <c:pt idx="18">
                <c:v>4.361259715552286E-3</c:v>
              </c:pt>
              <c:pt idx="19">
                <c:v>4.6344499009583016E-3</c:v>
              </c:pt>
              <c:pt idx="20">
                <c:v>4.9226118952435081E-3</c:v>
              </c:pt>
              <c:pt idx="21">
                <c:v>5.2265542630326326E-3</c:v>
              </c:pt>
              <c:pt idx="22">
                <c:v>5.5469167155980728E-3</c:v>
              </c:pt>
              <c:pt idx="23">
                <c:v>5.8844611435486405E-3</c:v>
              </c:pt>
              <c:pt idx="24">
                <c:v>6.2399796948719773E-3</c:v>
              </c:pt>
              <c:pt idx="25">
                <c:v>6.6142958920034235E-3</c:v>
              </c:pt>
              <c:pt idx="26">
                <c:v>7.0082658002715171E-3</c:v>
              </c:pt>
              <c:pt idx="27">
                <c:v>7.4227792512461021E-3</c:v>
              </c:pt>
              <c:pt idx="28">
                <c:v>7.8587611247914815E-3</c:v>
              </c:pt>
              <c:pt idx="29">
                <c:v>8.3171726939259092E-3</c:v>
              </c:pt>
              <c:pt idx="30">
                <c:v>8.7990130369118413E-3</c:v>
              </c:pt>
              <c:pt idx="31">
                <c:v>9.3053205213483765E-3</c:v>
              </c:pt>
              <c:pt idx="32">
                <c:v>9.8371743654150946E-3</c:v>
              </c:pt>
              <c:pt idx="33">
                <c:v>1.0395696281824395E-2</c:v>
              </c:pt>
              <c:pt idx="34">
                <c:v>1.0982052210479678E-2</c:v>
              </c:pt>
              <c:pt idx="35">
                <c:v>1.1597454146316129E-2</c:v>
              </c:pt>
              <c:pt idx="36">
                <c:v>1.2052797678929153E-2</c:v>
              </c:pt>
            </c:numLit>
          </c:yVal>
          <c:smooth val="1"/>
          <c:extLst>
            <c:ext xmlns:c16="http://schemas.microsoft.com/office/drawing/2014/chart" uri="{C3380CC4-5D6E-409C-BE32-E72D297353CC}">
              <c16:uniqueId val="{00000050-530E-40B1-B0E6-1AADA81A91D3}"/>
            </c:ext>
          </c:extLst>
        </c:ser>
        <c:ser>
          <c:idx val="58"/>
          <c:order val="58"/>
          <c:tx>
            <c:v>RH=25_Label</c:v>
          </c:tx>
          <c:spPr>
            <a:ln w="3175">
              <a:solidFill>
                <a:srgbClr val="0000FF"/>
              </a:solidFill>
              <a:prstDash val="solid"/>
            </a:ln>
          </c:spPr>
          <c:marker>
            <c:symbol val="none"/>
          </c:marker>
          <c:dLbls>
            <c:dLbl>
              <c:idx val="0"/>
              <c:tx>
                <c:rich>
                  <a:bodyPr rot="-246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25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1-530E-40B1-B0E6-1AADA81A91D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40.806386169423767</c:v>
              </c:pt>
            </c:numLit>
          </c:xVal>
          <c:yVal>
            <c:numLit>
              <c:formatCode>General</c:formatCode>
              <c:ptCount val="1"/>
              <c:pt idx="0">
                <c:v>1.2249902134970242E-2</c:v>
              </c:pt>
            </c:numLit>
          </c:yVal>
          <c:smooth val="0"/>
          <c:extLst>
            <c:ext xmlns:c16="http://schemas.microsoft.com/office/drawing/2014/chart" uri="{C3380CC4-5D6E-409C-BE32-E72D297353CC}">
              <c16:uniqueId val="{00000052-530E-40B1-B0E6-1AADA81A91D3}"/>
            </c:ext>
          </c:extLst>
        </c:ser>
        <c:ser>
          <c:idx val="59"/>
          <c:order val="59"/>
          <c:tx>
            <c:v>RH=25_2</c:v>
          </c:tx>
          <c:spPr>
            <a:ln w="3175">
              <a:solidFill>
                <a:srgbClr val="0000FF"/>
              </a:solidFill>
              <a:prstDash val="solid"/>
            </a:ln>
          </c:spPr>
          <c:marker>
            <c:symbol val="none"/>
          </c:marker>
          <c:xVal>
            <c:numLit>
              <c:formatCode>General</c:formatCode>
              <c:ptCount val="10"/>
              <c:pt idx="0">
                <c:v>41.109968218308687</c:v>
              </c:pt>
              <c:pt idx="1">
                <c:v>42.123211303357891</c:v>
              </c:pt>
              <c:pt idx="2">
                <c:v>43.138583326693805</c:v>
              </c:pt>
              <c:pt idx="3">
                <c:v>44.156254599087745</c:v>
              </c:pt>
              <c:pt idx="4">
                <c:v>45.176405544700636</c:v>
              </c:pt>
              <c:pt idx="5">
                <c:v>46.199227216995773</c:v>
              </c:pt>
              <c:pt idx="6">
                <c:v>47.224921842907413</c:v>
              </c:pt>
              <c:pt idx="7">
                <c:v>48.25370339732104</c:v>
              </c:pt>
              <c:pt idx="8">
                <c:v>49.28579821010468</c:v>
              </c:pt>
              <c:pt idx="9">
                <c:v>50.000000000000007</c:v>
              </c:pt>
            </c:numLit>
          </c:xVal>
          <c:yVal>
            <c:numLit>
              <c:formatCode>General</c:formatCode>
              <c:ptCount val="10"/>
              <c:pt idx="0">
                <c:v>1.2449854138452305E-2</c:v>
              </c:pt>
              <c:pt idx="1">
                <c:v>1.3137395921386881E-2</c:v>
              </c:pt>
              <c:pt idx="2">
                <c:v>1.3858364542330524E-2</c:v>
              </c:pt>
              <c:pt idx="3">
                <c:v>1.4614195184697873E-2</c:v>
              </c:pt>
              <c:pt idx="4">
                <c:v>1.5406380772538593E-2</c:v>
              </c:pt>
              <c:pt idx="5">
                <c:v>1.6236474590181415E-2</c:v>
              </c:pt>
              <c:pt idx="6">
                <c:v>1.710609306374512E-2</c:v>
              </c:pt>
              <c:pt idx="7">
                <c:v>1.801691871700566E-2</c:v>
              </c:pt>
              <c:pt idx="8">
                <c:v>1.8970703315174638E-2</c:v>
              </c:pt>
              <c:pt idx="9">
                <c:v>1.9654812629101279E-2</c:v>
              </c:pt>
            </c:numLit>
          </c:yVal>
          <c:smooth val="1"/>
          <c:extLst>
            <c:ext xmlns:c16="http://schemas.microsoft.com/office/drawing/2014/chart" uri="{C3380CC4-5D6E-409C-BE32-E72D297353CC}">
              <c16:uniqueId val="{00000053-530E-40B1-B0E6-1AADA81A91D3}"/>
            </c:ext>
          </c:extLst>
        </c:ser>
        <c:ser>
          <c:idx val="60"/>
          <c:order val="60"/>
          <c:tx>
            <c:v>RH=35_1</c:v>
          </c:tx>
          <c:spPr>
            <a:ln w="3175">
              <a:solidFill>
                <a:srgbClr val="0000FF"/>
              </a:solidFill>
              <a:prstDash val="solid"/>
            </a:ln>
          </c:spPr>
          <c:marker>
            <c:symbol val="none"/>
          </c:marker>
          <c:xVal>
            <c:numLit>
              <c:formatCode>General</c:formatCode>
              <c:ptCount val="33"/>
              <c:pt idx="0">
                <c:v>4.8429562936358943</c:v>
              </c:pt>
              <c:pt idx="1">
                <c:v>5.8353649144882471</c:v>
              </c:pt>
              <c:pt idx="2">
                <c:v>6.8275895682541066</c:v>
              </c:pt>
              <c:pt idx="3">
                <c:v>7.8196415762478599</c:v>
              </c:pt>
              <c:pt idx="4">
                <c:v>8.8115341190108474</c:v>
              </c:pt>
              <c:pt idx="5">
                <c:v>9.8032823752824214</c:v>
              </c:pt>
              <c:pt idx="6">
                <c:v>10.794899563201826</c:v>
              </c:pt>
              <c:pt idx="7">
                <c:v>11.786409065042472</c:v>
              </c:pt>
              <c:pt idx="8">
                <c:v>12.77783295268264</c:v>
              </c:pt>
              <c:pt idx="9">
                <c:v>13.769195925791198</c:v>
              </c:pt>
              <c:pt idx="10">
                <c:v>14.760525488409519</c:v>
              </c:pt>
              <c:pt idx="11">
                <c:v>15.751852133944434</c:v>
              </c:pt>
              <c:pt idx="12">
                <c:v>16.74320953892617</c:v>
              </c:pt>
              <c:pt idx="13">
                <c:v>17.734634765908794</c:v>
              </c:pt>
              <c:pt idx="14">
                <c:v>18.726168475916662</c:v>
              </c:pt>
              <c:pt idx="15">
                <c:v>19.717855150869013</c:v>
              </c:pt>
              <c:pt idx="16">
                <c:v>20.709743326446262</c:v>
              </c:pt>
              <c:pt idx="17">
                <c:v>21.701885835896331</c:v>
              </c:pt>
              <c:pt idx="18">
                <c:v>22.694340065317235</c:v>
              </c:pt>
              <c:pt idx="19">
                <c:v>23.687168220994245</c:v>
              </c:pt>
              <c:pt idx="20">
                <c:v>24.680437609415605</c:v>
              </c:pt>
              <c:pt idx="21">
                <c:v>25.674214365853523</c:v>
              </c:pt>
              <c:pt idx="22">
                <c:v>26.668583220188367</c:v>
              </c:pt>
              <c:pt idx="23">
                <c:v>27.6636286365605</c:v>
              </c:pt>
              <c:pt idx="24">
                <c:v>28.659441447875434</c:v>
              </c:pt>
              <c:pt idx="25">
                <c:v>29.656119211242075</c:v>
              </c:pt>
              <c:pt idx="26">
                <c:v>30.653766581138218</c:v>
              </c:pt>
              <c:pt idx="27">
                <c:v>31.652495701406082</c:v>
              </c:pt>
              <c:pt idx="28">
                <c:v>32.652426617277726</c:v>
              </c:pt>
              <c:pt idx="29">
                <c:v>33.6536877087363</c:v>
              </c:pt>
              <c:pt idx="30">
                <c:v>34.656416146635898</c:v>
              </c:pt>
              <c:pt idx="31">
                <c:v>35.660758373130619</c:v>
              </c:pt>
              <c:pt idx="32">
                <c:v>36.384971337507565</c:v>
              </c:pt>
            </c:numLit>
          </c:xVal>
          <c:yVal>
            <c:numLit>
              <c:formatCode>General</c:formatCode>
              <c:ptCount val="33"/>
              <c:pt idx="0">
                <c:v>1.8875265065984568E-3</c:v>
              </c:pt>
              <c:pt idx="1">
                <c:v>2.0237401762564001E-3</c:v>
              </c:pt>
              <c:pt idx="2">
                <c:v>2.1686033300371225E-3</c:v>
              </c:pt>
              <c:pt idx="3">
                <c:v>2.3225879966033455E-3</c:v>
              </c:pt>
              <c:pt idx="4">
                <c:v>2.4861877298070602E-3</c:v>
              </c:pt>
              <c:pt idx="5">
                <c:v>2.6599184202403814E-3</c:v>
              </c:pt>
              <c:pt idx="6">
                <c:v>2.8443760603662129E-3</c:v>
              </c:pt>
              <c:pt idx="7">
                <c:v>3.0400747109121822E-3</c:v>
              </c:pt>
              <c:pt idx="8">
                <c:v>3.2476031618899315E-3</c:v>
              </c:pt>
              <c:pt idx="9">
                <c:v>3.467576144773824E-3</c:v>
              </c:pt>
              <c:pt idx="10">
                <c:v>3.7006353096777946E-3</c:v>
              </c:pt>
              <c:pt idx="11">
                <c:v>3.9474502411748786E-3</c:v>
              </c:pt>
              <c:pt idx="12">
                <c:v>4.2087195151559722E-3</c:v>
              </c:pt>
              <c:pt idx="13">
                <c:v>4.4851717993238342E-3</c:v>
              </c:pt>
              <c:pt idx="14">
                <c:v>4.7775670001359146E-3</c:v>
              </c:pt>
              <c:pt idx="15">
                <c:v>5.0866974592432227E-3</c:v>
              </c:pt>
              <c:pt idx="16">
                <c:v>5.4133892027263455E-3</c:v>
              </c:pt>
              <c:pt idx="17">
                <c:v>5.7585032467030641E-3</c:v>
              </c:pt>
              <c:pt idx="18">
                <c:v>6.1229369631792784E-3</c:v>
              </c:pt>
              <c:pt idx="19">
                <c:v>6.5076255103347367E-3</c:v>
              </c:pt>
              <c:pt idx="20">
                <c:v>6.9135433317828654E-3</c:v>
              </c:pt>
              <c:pt idx="21">
                <c:v>7.3418536727454121E-3</c:v>
              </c:pt>
              <c:pt idx="22">
                <c:v>7.7934848174498117E-3</c:v>
              </c:pt>
              <c:pt idx="23">
                <c:v>8.2695403621734203E-3</c:v>
              </c:pt>
              <c:pt idx="24">
                <c:v>8.771170082880541E-3</c:v>
              </c:pt>
              <c:pt idx="25">
                <c:v>9.299571868023453E-3</c:v>
              </c:pt>
              <c:pt idx="26">
                <c:v>9.8559937570728701E-3</c:v>
              </c:pt>
              <c:pt idx="27">
                <c:v>1.0441736092756343E-2</c:v>
              </c:pt>
              <c:pt idx="28">
                <c:v>1.1058153795654896E-2</c:v>
              </c:pt>
              <c:pt idx="29">
                <c:v>1.1706658770540258E-2</c:v>
              </c:pt>
              <c:pt idx="30">
                <c:v>1.2388722454634234E-2</c:v>
              </c:pt>
              <c:pt idx="31">
                <c:v>1.310587851884021E-2</c:v>
              </c:pt>
              <c:pt idx="32">
                <c:v>1.3644855003375554E-2</c:v>
              </c:pt>
            </c:numLit>
          </c:yVal>
          <c:smooth val="1"/>
          <c:extLst>
            <c:ext xmlns:c16="http://schemas.microsoft.com/office/drawing/2014/chart" uri="{C3380CC4-5D6E-409C-BE32-E72D297353CC}">
              <c16:uniqueId val="{00000054-530E-40B1-B0E6-1AADA81A91D3}"/>
            </c:ext>
          </c:extLst>
        </c:ser>
        <c:ser>
          <c:idx val="61"/>
          <c:order val="61"/>
          <c:tx>
            <c:v>RH=35_Label</c:v>
          </c:tx>
          <c:spPr>
            <a:ln w="3175">
              <a:solidFill>
                <a:srgbClr val="0000FF"/>
              </a:solidFill>
              <a:prstDash val="solid"/>
            </a:ln>
          </c:spPr>
          <c:marker>
            <c:symbol val="none"/>
          </c:marker>
          <c:dLbls>
            <c:dLbl>
              <c:idx val="0"/>
              <c:tx>
                <c:rich>
                  <a:bodyPr rot="-276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35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5-530E-40B1-B0E6-1AADA81A91D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36.687012032716936</c:v>
              </c:pt>
            </c:numLit>
          </c:xVal>
          <c:yVal>
            <c:numLit>
              <c:formatCode>General</c:formatCode>
              <c:ptCount val="1"/>
              <c:pt idx="0">
                <c:v>1.3875188258477089E-2</c:v>
              </c:pt>
            </c:numLit>
          </c:yVal>
          <c:smooth val="0"/>
          <c:extLst>
            <c:ext xmlns:c16="http://schemas.microsoft.com/office/drawing/2014/chart" uri="{C3380CC4-5D6E-409C-BE32-E72D297353CC}">
              <c16:uniqueId val="{00000056-530E-40B1-B0E6-1AADA81A91D3}"/>
            </c:ext>
          </c:extLst>
        </c:ser>
        <c:ser>
          <c:idx val="62"/>
          <c:order val="62"/>
          <c:tx>
            <c:v>RH=35_2</c:v>
          </c:tx>
          <c:spPr>
            <a:ln w="3175">
              <a:solidFill>
                <a:srgbClr val="0000FF"/>
              </a:solidFill>
              <a:prstDash val="solid"/>
            </a:ln>
          </c:spPr>
          <c:marker>
            <c:symbol val="none"/>
          </c:marker>
          <c:xVal>
            <c:numLit>
              <c:formatCode>General</c:formatCode>
              <c:ptCount val="14"/>
              <c:pt idx="0">
                <c:v>36.989227251847005</c:v>
              </c:pt>
              <c:pt idx="1">
                <c:v>37.997932651779394</c:v>
              </c:pt>
              <c:pt idx="2">
                <c:v>39.00881116417105</c:v>
              </c:pt>
              <c:pt idx="3">
                <c:v>40.02205449777933</c:v>
              </c:pt>
              <c:pt idx="4">
                <c:v>41.037866760035634</c:v>
              </c:pt>
              <c:pt idx="5">
                <c:v>42.056468183587832</c:v>
              </c:pt>
              <c:pt idx="6">
                <c:v>43.078090565743416</c:v>
              </c:pt>
              <c:pt idx="7">
                <c:v>44.102980194192732</c:v>
              </c:pt>
              <c:pt idx="8">
                <c:v>45.131398661199782</c:v>
              </c:pt>
              <c:pt idx="9">
                <c:v>46.163623729572627</c:v>
              </c:pt>
              <c:pt idx="10">
                <c:v>47.199950254715397</c:v>
              </c:pt>
              <c:pt idx="11">
                <c:v>48.240691167489317</c:v>
              </c:pt>
              <c:pt idx="12">
                <c:v>49.286178523080601</c:v>
              </c:pt>
              <c:pt idx="13">
                <c:v>50</c:v>
              </c:pt>
            </c:numLit>
          </c:xVal>
          <c:yVal>
            <c:numLit>
              <c:formatCode>General</c:formatCode>
              <c:ptCount val="14"/>
              <c:pt idx="0">
                <c:v>1.4108976317031181E-2</c:v>
              </c:pt>
              <c:pt idx="1">
                <c:v>1.491381979626661E-2</c:v>
              </c:pt>
              <c:pt idx="2">
                <c:v>1.5759331523293861E-2</c:v>
              </c:pt>
              <c:pt idx="3">
                <c:v>1.6647403760885849E-2</c:v>
              </c:pt>
              <c:pt idx="4">
                <c:v>1.7580028207482008E-2</c:v>
              </c:pt>
              <c:pt idx="5">
                <c:v>1.8559098294035549E-2</c:v>
              </c:pt>
              <c:pt idx="6">
                <c:v>1.9586704885560857E-2</c:v>
              </c:pt>
              <c:pt idx="7">
                <c:v>2.0665031485887941E-2</c:v>
              </c:pt>
              <c:pt idx="8">
                <c:v>2.1796359116006504E-2</c:v>
              </c:pt>
              <c:pt idx="9">
                <c:v>2.298307153604754E-2</c:v>
              </c:pt>
              <c:pt idx="10">
                <c:v>2.4227660840216245E-2</c:v>
              </c:pt>
              <c:pt idx="11">
                <c:v>2.5532733456782093E-2</c:v>
              </c:pt>
              <c:pt idx="12">
                <c:v>2.6901016588325579E-2</c:v>
              </c:pt>
              <c:pt idx="13">
                <c:v>2.7869006304865641E-2</c:v>
              </c:pt>
            </c:numLit>
          </c:yVal>
          <c:smooth val="1"/>
          <c:extLst>
            <c:ext xmlns:c16="http://schemas.microsoft.com/office/drawing/2014/chart" uri="{C3380CC4-5D6E-409C-BE32-E72D297353CC}">
              <c16:uniqueId val="{00000057-530E-40B1-B0E6-1AADA81A91D3}"/>
            </c:ext>
          </c:extLst>
        </c:ser>
        <c:ser>
          <c:idx val="63"/>
          <c:order val="63"/>
          <c:tx>
            <c:v>RH=45_1</c:v>
          </c:tx>
          <c:spPr>
            <a:ln w="3175">
              <a:solidFill>
                <a:srgbClr val="0000FF"/>
              </a:solidFill>
              <a:prstDash val="solid"/>
            </a:ln>
          </c:spPr>
          <c:marker>
            <c:symbol val="none"/>
          </c:marker>
          <c:xVal>
            <c:numLit>
              <c:formatCode>General</c:formatCode>
              <c:ptCount val="30"/>
              <c:pt idx="0">
                <c:v>4.7979114405643841</c:v>
              </c:pt>
              <c:pt idx="1">
                <c:v>5.7881293572500709</c:v>
              </c:pt>
              <c:pt idx="2">
                <c:v>6.7781084020266285</c:v>
              </c:pt>
              <c:pt idx="3">
                <c:v>7.7678629287117902</c:v>
              </c:pt>
              <c:pt idx="4">
                <c:v>8.7574096713914997</c:v>
              </c:pt>
              <c:pt idx="5">
                <c:v>9.7467679237906673</c:v>
              </c:pt>
              <c:pt idx="6">
                <c:v>10.735954436551337</c:v>
              </c:pt>
              <c:pt idx="7">
                <c:v>11.724999045808413</c:v>
              </c:pt>
              <c:pt idx="8">
                <c:v>12.7139298863019</c:v>
              </c:pt>
              <c:pt idx="9">
                <c:v>13.702778468008708</c:v>
              </c:pt>
              <c:pt idx="10">
                <c:v>14.691579905864549</c:v>
              </c:pt>
              <c:pt idx="11">
                <c:v>15.680373160907957</c:v>
              </c:pt>
              <c:pt idx="12">
                <c:v>16.669201293391961</c:v>
              </c:pt>
              <c:pt idx="13">
                <c:v>17.658111728450482</c:v>
              </c:pt>
              <c:pt idx="14">
                <c:v>18.647156534952014</c:v>
              </c:pt>
              <c:pt idx="15">
                <c:v>19.636392718223561</c:v>
              </c:pt>
              <c:pt idx="16">
                <c:v>20.625882527383471</c:v>
              </c:pt>
              <c:pt idx="17">
                <c:v>21.615693778082875</c:v>
              </c:pt>
              <c:pt idx="18">
                <c:v>22.60590019152318</c:v>
              </c:pt>
              <c:pt idx="19">
                <c:v>23.596581750691325</c:v>
              </c:pt>
              <c:pt idx="20">
                <c:v>24.587825074836598</c:v>
              </c:pt>
              <c:pt idx="21">
                <c:v>25.579715315640659</c:v>
              </c:pt>
              <c:pt idx="22">
                <c:v>26.572361751927581</c:v>
              </c:pt>
              <c:pt idx="23">
                <c:v>27.565873408785404</c:v>
              </c:pt>
              <c:pt idx="24">
                <c:v>28.560367661273503</c:v>
              </c:pt>
              <c:pt idx="25">
                <c:v>29.555970719929455</c:v>
              </c:pt>
              <c:pt idx="26">
                <c:v>30.552818142991558</c:v>
              </c:pt>
              <c:pt idx="27">
                <c:v>31.551055377229062</c:v>
              </c:pt>
              <c:pt idx="28">
                <c:v>32.550838329451459</c:v>
              </c:pt>
              <c:pt idx="29">
                <c:v>33.241676623013277</c:v>
              </c:pt>
            </c:numLit>
          </c:xVal>
          <c:yVal>
            <c:numLit>
              <c:formatCode>General</c:formatCode>
              <c:ptCount val="30"/>
              <c:pt idx="0">
                <c:v>2.4289258159167224E-3</c:v>
              </c:pt>
              <c:pt idx="1">
                <c:v>2.6043727591205873E-3</c:v>
              </c:pt>
              <c:pt idx="2">
                <c:v>2.7909845906628123E-3</c:v>
              </c:pt>
              <c:pt idx="3">
                <c:v>2.9893739594974377E-3</c:v>
              </c:pt>
              <c:pt idx="4">
                <c:v>3.2001818853940622E-3</c:v>
              </c:pt>
              <c:pt idx="5">
                <c:v>3.4240788799272735E-3</c:v>
              </c:pt>
              <c:pt idx="6">
                <c:v>3.6618394930983864E-3</c:v>
              </c:pt>
              <c:pt idx="7">
                <c:v>3.9141335585276644E-3</c:v>
              </c:pt>
              <c:pt idx="8">
                <c:v>4.181728195005634E-3</c:v>
              </c:pt>
              <c:pt idx="9">
                <c:v>4.4654250475394362E-3</c:v>
              </c:pt>
              <c:pt idx="10">
                <c:v>4.7660616697429072E-3</c:v>
              </c:pt>
              <c:pt idx="11">
                <c:v>5.0845129684787566E-3</c:v>
              </c:pt>
              <c:pt idx="12">
                <c:v>5.4216927150161328E-3</c:v>
              </c:pt>
              <c:pt idx="13">
                <c:v>5.7785551273322622E-3</c:v>
              </c:pt>
              <c:pt idx="14">
                <c:v>6.1560965285861443E-3</c:v>
              </c:pt>
              <c:pt idx="15">
                <c:v>6.5553570872239637E-3</c:v>
              </c:pt>
              <c:pt idx="16">
                <c:v>6.9774226446464435E-3</c:v>
              </c:pt>
              <c:pt idx="17">
                <c:v>7.4234266368784479E-3</c:v>
              </c:pt>
              <c:pt idx="18">
                <c:v>7.8945521172378037E-3</c:v>
              </c:pt>
              <c:pt idx="19">
                <c:v>8.3920338876039037E-3</c:v>
              </c:pt>
              <c:pt idx="20">
                <c:v>8.9171607465458672E-3</c:v>
              </c:pt>
              <c:pt idx="21">
                <c:v>9.4714693652664696E-3</c:v>
              </c:pt>
              <c:pt idx="22">
                <c:v>1.0056196296420142E-2</c:v>
              </c:pt>
              <c:pt idx="23">
                <c:v>1.0672809158403808E-2</c:v>
              </c:pt>
              <c:pt idx="24">
                <c:v>1.1322840060390603E-2</c:v>
              </c:pt>
              <c:pt idx="25">
                <c:v>1.2007888595456073E-2</c:v>
              </c:pt>
              <c:pt idx="26">
                <c:v>1.272962501840671E-2</c:v>
              </c:pt>
              <c:pt idx="27">
                <c:v>1.3489793623284507E-2</c:v>
              </c:pt>
              <c:pt idx="28">
                <c:v>1.4290216336870146E-2</c:v>
              </c:pt>
              <c:pt idx="29">
                <c:v>1.4866969840016564E-2</c:v>
              </c:pt>
            </c:numLit>
          </c:yVal>
          <c:smooth val="1"/>
          <c:extLst>
            <c:ext xmlns:c16="http://schemas.microsoft.com/office/drawing/2014/chart" uri="{C3380CC4-5D6E-409C-BE32-E72D297353CC}">
              <c16:uniqueId val="{00000058-530E-40B1-B0E6-1AADA81A91D3}"/>
            </c:ext>
          </c:extLst>
        </c:ser>
        <c:ser>
          <c:idx val="64"/>
          <c:order val="64"/>
          <c:tx>
            <c:v>RH=45_Label</c:v>
          </c:tx>
          <c:spPr>
            <a:ln w="3175">
              <a:solidFill>
                <a:srgbClr val="0000FF"/>
              </a:solidFill>
              <a:prstDash val="solid"/>
            </a:ln>
          </c:spPr>
          <c:marker>
            <c:symbol val="none"/>
          </c:marker>
          <c:dLbls>
            <c:dLbl>
              <c:idx val="0"/>
              <c:tx>
                <c:rich>
                  <a:bodyPr rot="-294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45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9-530E-40B1-B0E6-1AADA81A91D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33.542309960090257</c:v>
              </c:pt>
            </c:numLit>
          </c:xVal>
          <c:yVal>
            <c:numLit>
              <c:formatCode>General</c:formatCode>
              <c:ptCount val="1"/>
              <c:pt idx="0">
                <c:v>1.5124155606683983E-2</c:v>
              </c:pt>
            </c:numLit>
          </c:yVal>
          <c:smooth val="0"/>
          <c:extLst>
            <c:ext xmlns:c16="http://schemas.microsoft.com/office/drawing/2014/chart" uri="{C3380CC4-5D6E-409C-BE32-E72D297353CC}">
              <c16:uniqueId val="{0000005A-530E-40B1-B0E6-1AADA81A91D3}"/>
            </c:ext>
          </c:extLst>
        </c:ser>
        <c:ser>
          <c:idx val="65"/>
          <c:order val="65"/>
          <c:tx>
            <c:v>RH=45_2</c:v>
          </c:tx>
          <c:spPr>
            <a:ln w="3175">
              <a:solidFill>
                <a:srgbClr val="0000FF"/>
              </a:solidFill>
              <a:prstDash val="solid"/>
            </a:ln>
          </c:spPr>
          <c:marker>
            <c:symbol val="none"/>
          </c:marker>
          <c:xVal>
            <c:numLit>
              <c:formatCode>General</c:formatCode>
              <c:ptCount val="17"/>
              <c:pt idx="0">
                <c:v>33.843113269370306</c:v>
              </c:pt>
              <c:pt idx="1">
                <c:v>34.847083943135722</c:v>
              </c:pt>
              <c:pt idx="2">
                <c:v>35.853194864619347</c:v>
              </c:pt>
              <c:pt idx="3">
                <c:v>36.861654133883768</c:v>
              </c:pt>
              <c:pt idx="4">
                <c:v>37.872683946588978</c:v>
              </c:pt>
              <c:pt idx="5">
                <c:v>38.886521420379061</c:v>
              </c:pt>
              <c:pt idx="6">
                <c:v>39.903418320194405</c:v>
              </c:pt>
              <c:pt idx="7">
                <c:v>40.923642892256069</c:v>
              </c:pt>
              <c:pt idx="8">
                <c:v>41.947485589808181</c:v>
              </c:pt>
              <c:pt idx="9">
                <c:v>42.975252742791277</c:v>
              </c:pt>
              <c:pt idx="10">
                <c:v>44.007270646239782</c:v>
              </c:pt>
              <c:pt idx="11">
                <c:v>45.043886785233312</c:v>
              </c:pt>
              <c:pt idx="12">
                <c:v>46.085471148292477</c:v>
              </c:pt>
              <c:pt idx="13">
                <c:v>47.132417637407976</c:v>
              </c:pt>
              <c:pt idx="14">
                <c:v>48.185145583777889</c:v>
              </c:pt>
              <c:pt idx="15">
                <c:v>49.244101379321037</c:v>
              </c:pt>
              <c:pt idx="16">
                <c:v>50.000000000000007</c:v>
              </c:pt>
            </c:numLit>
          </c:xVal>
          <c:yVal>
            <c:numLit>
              <c:formatCode>General</c:formatCode>
              <c:ptCount val="17"/>
              <c:pt idx="0">
                <c:v>1.5385312109042031E-2</c:v>
              </c:pt>
              <c:pt idx="1">
                <c:v>1.6285225952846927E-2</c:v>
              </c:pt>
              <c:pt idx="2">
                <c:v>1.7231985372616151E-2</c:v>
              </c:pt>
              <c:pt idx="3">
                <c:v>1.8227792074351917E-2</c:v>
              </c:pt>
              <c:pt idx="4">
                <c:v>1.9274948795326451E-2</c:v>
              </c:pt>
              <c:pt idx="5">
                <c:v>2.0375864737942648E-2</c:v>
              </c:pt>
              <c:pt idx="6">
                <c:v>2.1533125692636469E-2</c:v>
              </c:pt>
              <c:pt idx="7">
                <c:v>2.274948152478275E-2</c:v>
              </c:pt>
              <c:pt idx="8">
                <c:v>2.4027550915091813E-2</c:v>
              </c:pt>
              <c:pt idx="9">
                <c:v>2.5370233863113451E-2</c:v>
              </c:pt>
              <c:pt idx="10">
                <c:v>2.6780570766508603E-2</c:v>
              </c:pt>
              <c:pt idx="11">
                <c:v>2.8261750799635506E-2</c:v>
              </c:pt>
              <c:pt idx="12">
                <c:v>2.9817120948578829E-2</c:v>
              </c:pt>
              <c:pt idx="13">
                <c:v>3.1450195763913363E-2</c:v>
              </c:pt>
              <c:pt idx="14">
                <c:v>3.3164667898963343E-2</c:v>
              </c:pt>
              <c:pt idx="15">
                <c:v>3.4964419508579071E-2</c:v>
              </c:pt>
              <c:pt idx="16">
                <c:v>3.6296243180437608E-2</c:v>
              </c:pt>
            </c:numLit>
          </c:yVal>
          <c:smooth val="1"/>
          <c:extLst>
            <c:ext xmlns:c16="http://schemas.microsoft.com/office/drawing/2014/chart" uri="{C3380CC4-5D6E-409C-BE32-E72D297353CC}">
              <c16:uniqueId val="{0000005B-530E-40B1-B0E6-1AADA81A91D3}"/>
            </c:ext>
          </c:extLst>
        </c:ser>
        <c:ser>
          <c:idx val="66"/>
          <c:order val="66"/>
          <c:tx>
            <c:v>RH=55_1</c:v>
          </c:tx>
          <c:spPr>
            <a:ln w="3175">
              <a:solidFill>
                <a:srgbClr val="0000FF"/>
              </a:solidFill>
              <a:prstDash val="solid"/>
            </a:ln>
          </c:spPr>
          <c:marker>
            <c:symbol val="none"/>
          </c:marker>
          <c:xVal>
            <c:numLit>
              <c:formatCode>General</c:formatCode>
              <c:ptCount val="28"/>
              <c:pt idx="0">
                <c:v>4.7527883387197933</c:v>
              </c:pt>
              <c:pt idx="1">
                <c:v>5.7408058132072091</c:v>
              </c:pt>
              <c:pt idx="2">
                <c:v>6.7285284551880915</c:v>
              </c:pt>
              <c:pt idx="3">
                <c:v>7.7159735586186047</c:v>
              </c:pt>
              <c:pt idx="4">
                <c:v>8.7031613138615409</c:v>
              </c:pt>
              <c:pt idx="5">
                <c:v>9.690115027717022</c:v>
              </c:pt>
              <c:pt idx="6">
                <c:v>10.676854870952818</c:v>
              </c:pt>
              <c:pt idx="7">
                <c:v>11.663417028454429</c:v>
              </c:pt>
              <c:pt idx="8">
                <c:v>12.649835584689367</c:v>
              </c:pt>
              <c:pt idx="9">
                <c:v>13.636148744660289</c:v>
              </c:pt>
              <c:pt idx="10">
                <c:v>14.622399117900304</c:v>
              </c:pt>
              <c:pt idx="11">
                <c:v>15.608634017172154</c:v>
              </c:pt>
              <c:pt idx="12">
                <c:v>16.59490577265089</c:v>
              </c:pt>
              <c:pt idx="13">
                <c:v>17.581272062434444</c:v>
              </c:pt>
              <c:pt idx="14">
                <c:v>18.567796260297889</c:v>
              </c:pt>
              <c:pt idx="15">
                <c:v>19.554547801686571</c:v>
              </c:pt>
              <c:pt idx="16">
                <c:v>20.541602569030708</c:v>
              </c:pt>
              <c:pt idx="17">
                <c:v>21.529043297560914</c:v>
              </c:pt>
              <c:pt idx="18">
                <c:v>22.516960002911134</c:v>
              </c:pt>
              <c:pt idx="19">
                <c:v>23.50545043191384</c:v>
              </c:pt>
              <c:pt idx="20">
                <c:v>24.494620538123129</c:v>
              </c:pt>
              <c:pt idx="21">
                <c:v>25.484574527064105</c:v>
              </c:pt>
              <c:pt idx="22">
                <c:v>26.475446362765325</c:v>
              </c:pt>
              <c:pt idx="23">
                <c:v>27.467369806450417</c:v>
              </c:pt>
              <c:pt idx="24">
                <c:v>28.460489023324861</c:v>
              </c:pt>
              <c:pt idx="25">
                <c:v>29.454959211633383</c:v>
              </c:pt>
              <c:pt idx="26">
                <c:v>30.450947269402214</c:v>
              </c:pt>
              <c:pt idx="27">
                <c:v>30.690229911761239</c:v>
              </c:pt>
            </c:numLit>
          </c:xVal>
          <c:yVal>
            <c:numLit>
              <c:formatCode>General</c:formatCode>
              <c:ptCount val="28"/>
              <c:pt idx="0">
                <c:v>2.9712656063069056E-3</c:v>
              </c:pt>
              <c:pt idx="1">
                <c:v>3.1860869002144176E-3</c:v>
              </c:pt>
              <c:pt idx="2">
                <c:v>3.414608328091779E-3</c:v>
              </c:pt>
              <c:pt idx="3">
                <c:v>3.6575857658689651E-3</c:v>
              </c:pt>
              <c:pt idx="4">
                <c:v>3.9158106249054629E-3</c:v>
              </c:pt>
              <c:pt idx="5">
                <c:v>4.19011131877251E-3</c:v>
              </c:pt>
              <c:pt idx="6">
                <c:v>4.4814447176932176E-3</c:v>
              </c:pt>
              <c:pt idx="7">
                <c:v>4.7906404835150358E-3</c:v>
              </c:pt>
              <c:pt idx="8">
                <c:v>5.1186486748401082E-3</c:v>
              </c:pt>
              <c:pt idx="9">
                <c:v>5.4664630058504768E-3</c:v>
              </c:pt>
              <c:pt idx="10">
                <c:v>5.8351226941980557E-3</c:v>
              </c:pt>
              <c:pt idx="11">
                <c:v>6.2257144010881621E-3</c:v>
              </c:pt>
              <c:pt idx="12">
                <c:v>6.6393742703356956E-3</c:v>
              </c:pt>
              <c:pt idx="13">
                <c:v>7.0772900737726746E-3</c:v>
              </c:pt>
              <c:pt idx="14">
                <c:v>7.5407034710427414E-3</c:v>
              </c:pt>
              <c:pt idx="15">
                <c:v>8.0309123925323949E-3</c:v>
              </c:pt>
              <c:pt idx="16">
                <c:v>8.5492735549704338E-3</c:v>
              </c:pt>
              <c:pt idx="17">
                <c:v>9.0972051200791226E-3</c:v>
              </c:pt>
              <c:pt idx="18">
                <c:v>9.6761895075946035E-3</c:v>
              </c:pt>
              <c:pt idx="19">
                <c:v>1.0287776374993248E-2</c:v>
              </c:pt>
              <c:pt idx="20">
                <c:v>1.0933585777379171E-2</c:v>
              </c:pt>
              <c:pt idx="21">
                <c:v>1.1615547172345699E-2</c:v>
              </c:pt>
              <c:pt idx="22">
                <c:v>1.2335225784433806E-2</c:v>
              </c:pt>
              <c:pt idx="23">
                <c:v>1.3094476410334279E-2</c:v>
              </c:pt>
              <c:pt idx="24">
                <c:v>1.3895239184208591E-2</c:v>
              </c:pt>
              <c:pt idx="25">
                <c:v>1.4739543900452028E-2</c:v>
              </c:pt>
              <c:pt idx="26">
                <c:v>1.5629514628788175E-2</c:v>
              </c:pt>
              <c:pt idx="27">
                <c:v>1.5850147556233648E-2</c:v>
              </c:pt>
            </c:numLit>
          </c:yVal>
          <c:smooth val="1"/>
          <c:extLst>
            <c:ext xmlns:c16="http://schemas.microsoft.com/office/drawing/2014/chart" uri="{C3380CC4-5D6E-409C-BE32-E72D297353CC}">
              <c16:uniqueId val="{0000005C-530E-40B1-B0E6-1AADA81A91D3}"/>
            </c:ext>
          </c:extLst>
        </c:ser>
        <c:ser>
          <c:idx val="67"/>
          <c:order val="67"/>
          <c:tx>
            <c:v>RH=55_Label</c:v>
          </c:tx>
          <c:spPr>
            <a:ln w="3175">
              <a:solidFill>
                <a:srgbClr val="0000FF"/>
              </a:solidFill>
              <a:prstDash val="solid"/>
            </a:ln>
          </c:spPr>
          <c:marker>
            <c:symbol val="none"/>
          </c:marker>
          <c:dLbls>
            <c:dLbl>
              <c:idx val="0"/>
              <c:tx>
                <c:rich>
                  <a:bodyPr rot="-312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55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D-530E-40B1-B0E6-1AADA81A91D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30.989474550516114</c:v>
              </c:pt>
            </c:numLit>
          </c:xVal>
          <c:yVal>
            <c:numLit>
              <c:formatCode>General</c:formatCode>
              <c:ptCount val="1"/>
              <c:pt idx="0">
                <c:v>1.6129865276295948E-2</c:v>
              </c:pt>
            </c:numLit>
          </c:yVal>
          <c:smooth val="0"/>
          <c:extLst>
            <c:ext xmlns:c16="http://schemas.microsoft.com/office/drawing/2014/chart" uri="{C3380CC4-5D6E-409C-BE32-E72D297353CC}">
              <c16:uniqueId val="{0000005E-530E-40B1-B0E6-1AADA81A91D3}"/>
            </c:ext>
          </c:extLst>
        </c:ser>
        <c:ser>
          <c:idx val="68"/>
          <c:order val="68"/>
          <c:tx>
            <c:v>RH=55_2</c:v>
          </c:tx>
          <c:spPr>
            <a:ln w="3175">
              <a:solidFill>
                <a:srgbClr val="0000FF"/>
              </a:solidFill>
              <a:prstDash val="solid"/>
            </a:ln>
          </c:spPr>
          <c:marker>
            <c:symbol val="none"/>
          </c:marker>
          <c:xVal>
            <c:numLit>
              <c:formatCode>General</c:formatCode>
              <c:ptCount val="15"/>
              <c:pt idx="0">
                <c:v>31.288881044490907</c:v>
              </c:pt>
              <c:pt idx="1">
                <c:v>32.28814007408657</c:v>
              </c:pt>
              <c:pt idx="2">
                <c:v>33.289461162964656</c:v>
              </c:pt>
              <c:pt idx="3">
                <c:v>34.293063110456032</c:v>
              </c:pt>
              <c:pt idx="4">
                <c:v>35.299180279992967</c:v>
              </c:pt>
              <c:pt idx="5">
                <c:v>36.308063555400999</c:v>
              </c:pt>
              <c:pt idx="6">
                <c:v>37.319981362124537</c:v>
              </c:pt>
              <c:pt idx="7">
                <c:v>38.335220759151703</c:v>
              </c:pt>
              <c:pt idx="8">
                <c:v>39.354088608020184</c:v>
              </c:pt>
              <c:pt idx="9">
                <c:v>40.376908784565998</c:v>
              </c:pt>
              <c:pt idx="10">
                <c:v>41.404035377551232</c:v>
              </c:pt>
              <c:pt idx="11">
                <c:v>42.435843506013669</c:v>
              </c:pt>
              <c:pt idx="12">
                <c:v>43.472732904478228</c:v>
              </c:pt>
              <c:pt idx="13">
                <c:v>44.515130408086179</c:v>
              </c:pt>
              <c:pt idx="14">
                <c:v>44.483774059522453</c:v>
              </c:pt>
            </c:numLit>
          </c:xVal>
          <c:yVal>
            <c:numLit>
              <c:formatCode>General</c:formatCode>
              <c:ptCount val="15"/>
              <c:pt idx="0">
                <c:v>1.6414004228901657E-2</c:v>
              </c:pt>
              <c:pt idx="1">
                <c:v>1.7393885676520521E-2</c:v>
              </c:pt>
              <c:pt idx="2">
                <c:v>1.8426024368464747E-2</c:v>
              </c:pt>
              <c:pt idx="3">
                <c:v>1.9512955389155106E-2</c:v>
              </c:pt>
              <c:pt idx="4">
                <c:v>2.0657335456802466E-2</c:v>
              </c:pt>
              <c:pt idx="5">
                <c:v>2.18619498344035E-2</c:v>
              </c:pt>
              <c:pt idx="6">
                <c:v>2.3129719762606075E-2</c:v>
              </c:pt>
              <c:pt idx="7">
                <c:v>2.4463710462355535E-2</c:v>
              </c:pt>
              <c:pt idx="8">
                <c:v>2.586713976016505E-2</c:v>
              </c:pt>
              <c:pt idx="9">
                <c:v>2.7343626022832548E-2</c:v>
              </c:pt>
              <c:pt idx="10">
                <c:v>2.8896558756553385E-2</c:v>
              </c:pt>
              <c:pt idx="11">
                <c:v>3.0529632437545379E-2</c:v>
              </c:pt>
              <c:pt idx="12">
                <c:v>3.2246779263973561E-2</c:v>
              </c:pt>
              <c:pt idx="13">
                <c:v>3.4052139020724105E-2</c:v>
              </c:pt>
              <c:pt idx="14">
                <c:v>3.4000000000000002E-2</c:v>
              </c:pt>
            </c:numLit>
          </c:yVal>
          <c:smooth val="1"/>
          <c:extLst>
            <c:ext xmlns:c16="http://schemas.microsoft.com/office/drawing/2014/chart" uri="{C3380CC4-5D6E-409C-BE32-E72D297353CC}">
              <c16:uniqueId val="{0000005F-530E-40B1-B0E6-1AADA81A91D3}"/>
            </c:ext>
          </c:extLst>
        </c:ser>
        <c:ser>
          <c:idx val="69"/>
          <c:order val="69"/>
          <c:tx>
            <c:v>RH=65_1</c:v>
          </c:tx>
          <c:spPr>
            <a:ln w="3175">
              <a:solidFill>
                <a:srgbClr val="0000FF"/>
              </a:solidFill>
              <a:prstDash val="solid"/>
            </a:ln>
          </c:spPr>
          <c:marker>
            <c:symbol val="none"/>
          </c:marker>
          <c:xVal>
            <c:numLit>
              <c:formatCode>General</c:formatCode>
              <c:ptCount val="26"/>
              <c:pt idx="0">
                <c:v>4.7075867840324177</c:v>
              </c:pt>
              <c:pt idx="1">
                <c:v>5.693394036287784</c:v>
              </c:pt>
              <c:pt idx="2">
                <c:v>6.6788494316452747</c:v>
              </c:pt>
              <c:pt idx="3">
                <c:v>7.6639731104373956</c:v>
              </c:pt>
              <c:pt idx="4">
                <c:v>8.6487886204232431</c:v>
              </c:pt>
              <c:pt idx="5">
                <c:v>9.633323177711917</c:v>
              </c:pt>
              <c:pt idx="6">
                <c:v>10.61760025865436</c:v>
              </c:pt>
              <c:pt idx="7">
                <c:v>11.601662289364722</c:v>
              </c:pt>
              <c:pt idx="8">
                <c:v>12.585549188127688</c:v>
              </c:pt>
              <c:pt idx="9">
                <c:v>13.569305736538357</c:v>
              </c:pt>
              <c:pt idx="10">
                <c:v>14.5529819188678</c:v>
              </c:pt>
              <c:pt idx="11">
                <c:v>15.536633279684853</c:v>
              </c:pt>
              <c:pt idx="12">
                <c:v>16.520321300791181</c:v>
              </c:pt>
              <c:pt idx="13">
                <c:v>17.504113798620708</c:v>
              </c:pt>
              <c:pt idx="14">
                <c:v>18.488085343358691</c:v>
              </c:pt>
              <c:pt idx="15">
                <c:v>19.472317701151294</c:v>
              </c:pt>
              <c:pt idx="16">
                <c:v>20.456900300904735</c:v>
              </c:pt>
              <c:pt idx="17">
                <c:v>21.441930727315192</c:v>
              </c:pt>
              <c:pt idx="18">
                <c:v>22.427515241928276</c:v>
              </c:pt>
              <c:pt idx="19">
                <c:v>23.413769334201806</c:v>
              </c:pt>
              <c:pt idx="20">
                <c:v>24.400818304739552</c:v>
              </c:pt>
              <c:pt idx="21">
                <c:v>25.388785440831832</c:v>
              </c:pt>
              <c:pt idx="22">
                <c:v>26.37782951900634</c:v>
              </c:pt>
              <c:pt idx="23">
                <c:v>27.36810920265324</c:v>
              </c:pt>
              <c:pt idx="24">
                <c:v>28.35979568640477</c:v>
              </c:pt>
              <c:pt idx="25">
                <c:v>28.558317792615352</c:v>
              </c:pt>
            </c:numLit>
          </c:xVal>
          <c:yVal>
            <c:numLit>
              <c:formatCode>General</c:formatCode>
              <c:ptCount val="26"/>
              <c:pt idx="0">
                <c:v>3.5145483305064288E-3</c:v>
              </c:pt>
              <c:pt idx="1">
                <c:v>3.7688856243217176E-3</c:v>
              </c:pt>
              <c:pt idx="2">
                <c:v>4.0394782666273339E-3</c:v>
              </c:pt>
              <c:pt idx="3">
                <c:v>4.3272279941113561E-3</c:v>
              </c:pt>
              <c:pt idx="4">
                <c:v>4.6330795679808117E-3</c:v>
              </c:pt>
              <c:pt idx="5">
                <c:v>4.9580226239490759E-3</c:v>
              </c:pt>
              <c:pt idx="6">
                <c:v>5.3032001625822091E-3</c:v>
              </c:pt>
              <c:pt idx="7">
                <c:v>5.669605785216322E-3</c:v>
              </c:pt>
              <c:pt idx="8">
                <c:v>6.0583771686071762E-3</c:v>
              </c:pt>
              <c:pt idx="9">
                <c:v>6.4707053321746109E-3</c:v>
              </c:pt>
              <c:pt idx="10">
                <c:v>6.907837014116615E-3</c:v>
              </c:pt>
              <c:pt idx="11">
                <c:v>7.3710771764237074E-3</c:v>
              </c:pt>
              <c:pt idx="12">
                <c:v>7.861791648811841E-3</c:v>
              </c:pt>
              <c:pt idx="13">
                <c:v>8.3814099225061629E-3</c:v>
              </c:pt>
              <c:pt idx="14">
                <c:v>8.9314281058126502E-3</c:v>
              </c:pt>
              <c:pt idx="15">
                <c:v>9.513412054512508E-3</c:v>
              </c:pt>
              <c:pt idx="16">
                <c:v>1.0129000691320653E-2</c:v>
              </c:pt>
              <c:pt idx="17">
                <c:v>1.0779909529971536E-2</c:v>
              </c:pt>
              <c:pt idx="18">
                <c:v>1.1467934420950916E-2</c:v>
              </c:pt>
              <c:pt idx="19">
                <c:v>1.2194955537489258E-2</c:v>
              </c:pt>
              <c:pt idx="20">
                <c:v>1.2962941622193738E-2</c:v>
              </c:pt>
              <c:pt idx="21">
                <c:v>1.3774234913153584E-2</c:v>
              </c:pt>
              <c:pt idx="22">
                <c:v>1.4630750441318861E-2</c:v>
              </c:pt>
              <c:pt idx="23">
                <c:v>1.5534754206521045E-2</c:v>
              </c:pt>
              <c:pt idx="24">
                <c:v>1.6488621082355326E-2</c:v>
              </c:pt>
              <c:pt idx="25">
                <c:v>1.6685595032799646E-2</c:v>
              </c:pt>
            </c:numLit>
          </c:yVal>
          <c:smooth val="1"/>
          <c:extLst>
            <c:ext xmlns:c16="http://schemas.microsoft.com/office/drawing/2014/chart" uri="{C3380CC4-5D6E-409C-BE32-E72D297353CC}">
              <c16:uniqueId val="{00000060-530E-40B1-B0E6-1AADA81A91D3}"/>
            </c:ext>
          </c:extLst>
        </c:ser>
        <c:ser>
          <c:idx val="70"/>
          <c:order val="70"/>
          <c:tx>
            <c:v>RH=65_Label</c:v>
          </c:tx>
          <c:spPr>
            <a:ln w="3175">
              <a:solidFill>
                <a:srgbClr val="0000FF"/>
              </a:solidFill>
              <a:prstDash val="solid"/>
            </a:ln>
          </c:spPr>
          <c:marker>
            <c:symbol val="none"/>
          </c:marker>
          <c:dLbls>
            <c:dLbl>
              <c:idx val="0"/>
              <c:tx>
                <c:rich>
                  <a:bodyPr rot="-324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65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1-530E-40B1-B0E6-1AADA81A91D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28.826426268543489</c:v>
              </c:pt>
            </c:numLit>
          </c:xVal>
          <c:yVal>
            <c:numLit>
              <c:formatCode>General</c:formatCode>
              <c:ptCount val="1"/>
              <c:pt idx="0">
                <c:v>1.69548673550181E-2</c:v>
              </c:pt>
            </c:numLit>
          </c:yVal>
          <c:smooth val="0"/>
          <c:extLst>
            <c:ext xmlns:c16="http://schemas.microsoft.com/office/drawing/2014/chart" uri="{C3380CC4-5D6E-409C-BE32-E72D297353CC}">
              <c16:uniqueId val="{00000062-530E-40B1-B0E6-1AADA81A91D3}"/>
            </c:ext>
          </c:extLst>
        </c:ser>
        <c:ser>
          <c:idx val="71"/>
          <c:order val="71"/>
          <c:tx>
            <c:v>RH=65_2</c:v>
          </c:tx>
          <c:spPr>
            <a:ln w="3175">
              <a:solidFill>
                <a:srgbClr val="0000FF"/>
              </a:solidFill>
              <a:prstDash val="solid"/>
            </a:ln>
          </c:spPr>
          <c:marker>
            <c:symbol val="none"/>
          </c:marker>
          <c:xVal>
            <c:numLit>
              <c:formatCode>General</c:formatCode>
              <c:ptCount val="14"/>
              <c:pt idx="0">
                <c:v>29.154281293235872</c:v>
              </c:pt>
              <c:pt idx="1">
                <c:v>30.148974471149877</c:v>
              </c:pt>
              <c:pt idx="2">
                <c:v>31.14562735244127</c:v>
              </c:pt>
              <c:pt idx="3">
                <c:v>32.144466372583011</c:v>
              </c:pt>
              <c:pt idx="4">
                <c:v>33.145734775067154</c:v>
              </c:pt>
              <c:pt idx="5">
                <c:v>34.149693684929971</c:v>
              </c:pt>
              <c:pt idx="6">
                <c:v>35.156623258311356</c:v>
              </c:pt>
              <c:pt idx="7">
                <c:v>36.166823915077146</c:v>
              </c:pt>
              <c:pt idx="8">
                <c:v>37.180617662312947</c:v>
              </c:pt>
              <c:pt idx="9">
                <c:v>38.198349517373778</c:v>
              </c:pt>
              <c:pt idx="10">
                <c:v>39.220389040157556</c:v>
              </c:pt>
              <c:pt idx="11">
                <c:v>40.247127353684583</c:v>
              </c:pt>
              <c:pt idx="12">
                <c:v>41.278992238745232</c:v>
              </c:pt>
              <c:pt idx="13">
                <c:v>41.082522687554388</c:v>
              </c:pt>
            </c:numLit>
          </c:xVal>
          <c:yVal>
            <c:numLit>
              <c:formatCode>General</c:formatCode>
              <c:ptCount val="14"/>
              <c:pt idx="0">
                <c:v>1.7289285079439821E-2</c:v>
              </c:pt>
              <c:pt idx="1">
                <c:v>1.8339260809342089E-2</c:v>
              </c:pt>
              <c:pt idx="2">
                <c:v>1.9446380817797437E-2</c:v>
              </c:pt>
              <c:pt idx="3">
                <c:v>2.0613491784867648E-2</c:v>
              </c:pt>
              <c:pt idx="4">
                <c:v>2.1843582114776178E-2</c:v>
              </c:pt>
              <c:pt idx="5">
                <c:v>2.3139790356552118E-2</c:v>
              </c:pt>
              <c:pt idx="6">
                <c:v>2.450541428664121E-2</c:v>
              </c:pt>
              <c:pt idx="7">
                <c:v>2.5943920716535944E-2</c:v>
              </c:pt>
              <c:pt idx="8">
                <c:v>2.7458956095239195E-2</c:v>
              </c:pt>
              <c:pt idx="9">
                <c:v>2.9054357983965853E-2</c:v>
              </c:pt>
              <c:pt idx="10">
                <c:v>3.0734167489009444E-2</c:v>
              </c:pt>
              <c:pt idx="11">
                <c:v>3.2502915041684302E-2</c:v>
              </c:pt>
              <c:pt idx="12">
                <c:v>3.4364923145966897E-2</c:v>
              </c:pt>
              <c:pt idx="13">
                <c:v>3.4000000000000002E-2</c:v>
              </c:pt>
            </c:numLit>
          </c:yVal>
          <c:smooth val="1"/>
          <c:extLst>
            <c:ext xmlns:c16="http://schemas.microsoft.com/office/drawing/2014/chart" uri="{C3380CC4-5D6E-409C-BE32-E72D297353CC}">
              <c16:uniqueId val="{00000063-530E-40B1-B0E6-1AADA81A91D3}"/>
            </c:ext>
          </c:extLst>
        </c:ser>
        <c:ser>
          <c:idx val="72"/>
          <c:order val="72"/>
          <c:tx>
            <c:v>RH=75_1</c:v>
          </c:tx>
          <c:spPr>
            <a:ln w="3175">
              <a:solidFill>
                <a:srgbClr val="0000FF"/>
              </a:solidFill>
              <a:prstDash val="solid"/>
            </a:ln>
          </c:spPr>
          <c:marker>
            <c:symbol val="none"/>
          </c:marker>
          <c:xVal>
            <c:numLit>
              <c:formatCode>General</c:formatCode>
              <c:ptCount val="24"/>
              <c:pt idx="0">
                <c:v>4.6623065717223273</c:v>
              </c:pt>
              <c:pt idx="1">
                <c:v>5.6458937795014803</c:v>
              </c:pt>
              <c:pt idx="2">
                <c:v>6.629071034120396</c:v>
              </c:pt>
              <c:pt idx="3">
                <c:v>7.6118612271134749</c:v>
              </c:pt>
              <c:pt idx="4">
                <c:v>8.5942911631238914</c:v>
              </c:pt>
              <c:pt idx="5">
                <c:v>9.5763918619241188</c:v>
              </c:pt>
              <c:pt idx="6">
                <c:v>10.558189988711014</c:v>
              </c:pt>
              <c:pt idx="7">
                <c:v>11.539734100858675</c:v>
              </c:pt>
              <c:pt idx="8">
                <c:v>12.521069831738515</c:v>
              </c:pt>
              <c:pt idx="9">
                <c:v>13.5022484178998</c:v>
              </c:pt>
              <c:pt idx="10">
                <c:v>14.48332709486384</c:v>
              </c:pt>
              <c:pt idx="11">
                <c:v>15.464369514996749</c:v>
              </c:pt>
              <c:pt idx="12">
                <c:v>16.4454461888397</c:v>
              </c:pt>
              <c:pt idx="13">
                <c:v>17.426634951405386</c:v>
              </c:pt>
              <c:pt idx="14">
                <c:v>18.40802145509323</c:v>
              </c:pt>
              <c:pt idx="15">
                <c:v>19.389699691036181</c:v>
              </c:pt>
              <c:pt idx="16">
                <c:v>20.371772540870129</c:v>
              </c:pt>
              <c:pt idx="17">
                <c:v>21.354352361114962</c:v>
              </c:pt>
              <c:pt idx="18">
                <c:v>22.33756160257677</c:v>
              </c:pt>
              <c:pt idx="19">
                <c:v>23.321533467426086</c:v>
              </c:pt>
              <c:pt idx="20">
                <c:v>24.306412606880112</c:v>
              </c:pt>
              <c:pt idx="21">
                <c:v>25.29234140795505</c:v>
              </c:pt>
              <c:pt idx="22">
                <c:v>26.279503577504428</c:v>
              </c:pt>
              <c:pt idx="23">
                <c:v>26.714292480798427</c:v>
              </c:pt>
            </c:numLit>
          </c:xVal>
          <c:yVal>
            <c:numLit>
              <c:formatCode>General</c:formatCode>
              <c:ptCount val="24"/>
              <c:pt idx="0">
                <c:v>4.0587764497889908E-3</c:v>
              </c:pt>
              <c:pt idx="1">
                <c:v>4.3527719675160188E-3</c:v>
              </c:pt>
              <c:pt idx="2">
                <c:v>4.6655981454723928E-3</c:v>
              </c:pt>
              <c:pt idx="3">
                <c:v>4.998305242240709E-3</c:v>
              </c:pt>
              <c:pt idx="4">
                <c:v>5.3519943600493667E-3</c:v>
              </c:pt>
              <c:pt idx="5">
                <c:v>5.727819716456117E-3</c:v>
              </c:pt>
              <c:pt idx="6">
                <c:v>6.1271143004786397E-3</c:v>
              </c:pt>
              <c:pt idx="7">
                <c:v>6.5510398208286965E-3</c:v>
              </c:pt>
              <c:pt idx="8">
                <c:v>7.0009263189632839E-3</c:v>
              </c:pt>
              <c:pt idx="9">
                <c:v>7.4781674371684767E-3</c:v>
              </c:pt>
              <c:pt idx="10">
                <c:v>7.9842233881256032E-3</c:v>
              </c:pt>
              <c:pt idx="11">
                <c:v>8.5206240973003389E-3</c:v>
              </c:pt>
              <c:pt idx="12">
                <c:v>9.0889725322134893E-3</c:v>
              </c:pt>
              <c:pt idx="13">
                <c:v>9.6909482339747766E-3</c:v>
              </c:pt>
              <c:pt idx="14">
                <c:v>1.032831106791901E-2</c:v>
              </c:pt>
              <c:pt idx="15">
                <c:v>1.1002905211784977E-2</c:v>
              </c:pt>
              <c:pt idx="16">
                <c:v>1.1716663401643478E-2</c:v>
              </c:pt>
              <c:pt idx="17">
                <c:v>1.2471611457725566E-2</c:v>
              </c:pt>
              <c:pt idx="18">
                <c:v>1.3269873114451802E-2</c:v>
              </c:pt>
              <c:pt idx="19">
                <c:v>1.411367518133497E-2</c:v>
              </c:pt>
              <c:pt idx="20">
                <c:v>1.5005353064056037E-2</c:v>
              </c:pt>
              <c:pt idx="21">
                <c:v>1.5947682428253101E-2</c:v>
              </c:pt>
              <c:pt idx="22">
                <c:v>1.6942950000713969E-2</c:v>
              </c:pt>
              <c:pt idx="23">
                <c:v>1.7398330004498919E-2</c:v>
              </c:pt>
            </c:numLit>
          </c:yVal>
          <c:smooth val="1"/>
          <c:extLst>
            <c:ext xmlns:c16="http://schemas.microsoft.com/office/drawing/2014/chart" uri="{C3380CC4-5D6E-409C-BE32-E72D297353CC}">
              <c16:uniqueId val="{00000064-530E-40B1-B0E6-1AADA81A91D3}"/>
            </c:ext>
          </c:extLst>
        </c:ser>
        <c:ser>
          <c:idx val="73"/>
          <c:order val="73"/>
          <c:tx>
            <c:v>RH=75_Label</c:v>
          </c:tx>
          <c:spPr>
            <a:ln w="3175">
              <a:solidFill>
                <a:srgbClr val="0000FF"/>
              </a:solidFill>
              <a:prstDash val="solid"/>
            </a:ln>
          </c:spPr>
          <c:marker>
            <c:symbol val="none"/>
          </c:marker>
          <c:dLbls>
            <c:dLbl>
              <c:idx val="0"/>
              <c:tx>
                <c:rich>
                  <a:bodyPr rot="-330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75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5-530E-40B1-B0E6-1AADA81A91D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26.971348751559898</c:v>
              </c:pt>
            </c:numLit>
          </c:xVal>
          <c:yVal>
            <c:numLit>
              <c:formatCode>General</c:formatCode>
              <c:ptCount val="1"/>
              <c:pt idx="0">
                <c:v>1.7672577171771574E-2</c:v>
              </c:pt>
            </c:numLit>
          </c:yVal>
          <c:smooth val="0"/>
          <c:extLst>
            <c:ext xmlns:c16="http://schemas.microsoft.com/office/drawing/2014/chart" uri="{C3380CC4-5D6E-409C-BE32-E72D297353CC}">
              <c16:uniqueId val="{00000066-530E-40B1-B0E6-1AADA81A91D3}"/>
            </c:ext>
          </c:extLst>
        </c:ser>
        <c:ser>
          <c:idx val="74"/>
          <c:order val="74"/>
          <c:tx>
            <c:v>RH=75_2</c:v>
          </c:tx>
          <c:spPr>
            <a:ln w="3175">
              <a:solidFill>
                <a:srgbClr val="0000FF"/>
              </a:solidFill>
              <a:prstDash val="solid"/>
            </a:ln>
          </c:spPr>
          <c:marker>
            <c:symbol val="none"/>
          </c:marker>
          <c:xVal>
            <c:numLit>
              <c:formatCode>General</c:formatCode>
              <c:ptCount val="13"/>
              <c:pt idx="0">
                <c:v>27.307658238247463</c:v>
              </c:pt>
              <c:pt idx="1">
                <c:v>28.297922010597887</c:v>
              </c:pt>
              <c:pt idx="2">
                <c:v>29.290024378160101</c:v>
              </c:pt>
              <c:pt idx="3">
                <c:v>30.284196891370367</c:v>
              </c:pt>
              <c:pt idx="4">
                <c:v>31.280688957760731</c:v>
              </c:pt>
              <c:pt idx="5">
                <c:v>32.279769020620691</c:v>
              </c:pt>
              <c:pt idx="6">
                <c:v>33.281725824114545</c:v>
              </c:pt>
              <c:pt idx="7">
                <c:v>34.286869773121346</c:v>
              </c:pt>
              <c:pt idx="8">
                <c:v>35.295534397012268</c:v>
              </c:pt>
              <c:pt idx="9">
                <c:v>36.3080779276481</c:v>
              </c:pt>
              <c:pt idx="10">
                <c:v>37.324885003084674</c:v>
              </c:pt>
              <c:pt idx="11">
                <c:v>38.346368509836374</c:v>
              </c:pt>
              <c:pt idx="12">
                <c:v>38.22352920257061</c:v>
              </c:pt>
            </c:numLit>
          </c:xVal>
          <c:yVal>
            <c:numLit>
              <c:formatCode>General</c:formatCode>
              <c:ptCount val="13"/>
              <c:pt idx="0">
                <c:v>1.8037091200106173E-2</c:v>
              </c:pt>
              <c:pt idx="1">
                <c:v>1.9148876952991056E-2</c:v>
              </c:pt>
              <c:pt idx="2">
                <c:v>2.0322243292255012E-2</c:v>
              </c:pt>
              <c:pt idx="3">
                <c:v>2.1560328685217813E-2</c:v>
              </c:pt>
              <c:pt idx="4">
                <c:v>2.2866432828409361E-2</c:v>
              </c:pt>
              <c:pt idx="5">
                <c:v>2.4244026591841397E-2</c:v>
              </c:pt>
              <c:pt idx="6">
                <c:v>2.5696762771875013E-2</c:v>
              </c:pt>
              <c:pt idx="7">
                <c:v>2.7228487732157729E-2</c:v>
              </c:pt>
              <c:pt idx="8">
                <c:v>2.8843254020922502E-2</c:v>
              </c:pt>
              <c:pt idx="9">
                <c:v>3.0545334062874491E-2</c:v>
              </c:pt>
              <c:pt idx="10">
                <c:v>3.2339235035100056E-2</c:v>
              </c:pt>
              <c:pt idx="11">
                <c:v>3.4229715049084494E-2</c:v>
              </c:pt>
              <c:pt idx="12">
                <c:v>3.4000000000000002E-2</c:v>
              </c:pt>
            </c:numLit>
          </c:yVal>
          <c:smooth val="1"/>
          <c:extLst>
            <c:ext xmlns:c16="http://schemas.microsoft.com/office/drawing/2014/chart" uri="{C3380CC4-5D6E-409C-BE32-E72D297353CC}">
              <c16:uniqueId val="{00000067-530E-40B1-B0E6-1AADA81A91D3}"/>
            </c:ext>
          </c:extLst>
        </c:ser>
        <c:ser>
          <c:idx val="75"/>
          <c:order val="75"/>
          <c:tx>
            <c:v>RH=85_1</c:v>
          </c:tx>
          <c:spPr>
            <a:ln w="3175">
              <a:solidFill>
                <a:srgbClr val="0000FF"/>
              </a:solidFill>
              <a:prstDash val="solid"/>
            </a:ln>
          </c:spPr>
          <c:marker>
            <c:symbol val="none"/>
          </c:marker>
          <c:xVal>
            <c:numLit>
              <c:formatCode>General</c:formatCode>
              <c:ptCount val="22"/>
              <c:pt idx="0">
                <c:v>4.6169474962962767</c:v>
              </c:pt>
              <c:pt idx="1">
                <c:v>5.5983047949352542</c:v>
              </c:pt>
              <c:pt idx="2">
                <c:v>6.5791929641451805</c:v>
              </c:pt>
              <c:pt idx="3">
                <c:v>7.5596375500601978</c:v>
              </c:pt>
              <c:pt idx="4">
                <c:v>8.5396685120445444</c:v>
              </c:pt>
              <c:pt idx="5">
                <c:v>9.5193205659853692</c:v>
              </c:pt>
              <c:pt idx="6">
                <c:v>10.498623446963785</c:v>
              </c:pt>
              <c:pt idx="7">
                <c:v>11.477631731162283</c:v>
              </c:pt>
              <c:pt idx="8">
                <c:v>12.456396645443721</c:v>
              </c:pt>
              <c:pt idx="9">
                <c:v>13.434975756413518</c:v>
              </c:pt>
              <c:pt idx="10">
                <c:v>14.413433423660246</c:v>
              </c:pt>
              <c:pt idx="11">
                <c:v>15.391841279166217</c:v>
              </c:pt>
              <c:pt idx="12">
                <c:v>16.37027873463445</c:v>
              </c:pt>
              <c:pt idx="13">
                <c:v>17.348833518650352</c:v>
              </c:pt>
              <c:pt idx="14">
                <c:v>18.327602245787897</c:v>
              </c:pt>
              <c:pt idx="15">
                <c:v>19.306691019983756</c:v>
              </c:pt>
              <c:pt idx="16">
                <c:v>20.286216074740807</c:v>
              </c:pt>
              <c:pt idx="17">
                <c:v>21.266304452988376</c:v>
              </c:pt>
              <c:pt idx="18">
                <c:v>22.247094729722747</c:v>
              </c:pt>
              <c:pt idx="19">
                <c:v>23.228737780882987</c:v>
              </c:pt>
              <c:pt idx="20">
                <c:v>24.211397602286706</c:v>
              </c:pt>
              <c:pt idx="21">
                <c:v>25.096792770011287</c:v>
              </c:pt>
            </c:numLit>
          </c:xVal>
          <c:yVal>
            <c:numLit>
              <c:formatCode>General</c:formatCode>
              <c:ptCount val="22"/>
              <c:pt idx="0">
                <c:v>4.6039524340017379E-3</c:v>
              </c:pt>
              <c:pt idx="1">
                <c:v>4.9377489772132778E-3</c:v>
              </c:pt>
              <c:pt idx="2">
                <c:v>5.2929717188040567E-3</c:v>
              </c:pt>
              <c:pt idx="3">
                <c:v>5.6708221280010393E-3</c:v>
              </c:pt>
              <c:pt idx="4">
                <c:v>6.0725606724782053E-3</c:v>
              </c:pt>
              <c:pt idx="5">
                <c:v>6.4995095513268536E-3</c:v>
              </c:pt>
              <c:pt idx="6">
                <c:v>6.9531956486687616E-3</c:v>
              </c:pt>
              <c:pt idx="7">
                <c:v>7.4349530058112978E-3</c:v>
              </c:pt>
              <c:pt idx="8">
                <c:v>7.9463088445744789E-3</c:v>
              </c:pt>
              <c:pt idx="9">
                <c:v>8.4888648304659586E-3</c:v>
              </c:pt>
              <c:pt idx="10">
                <c:v>9.06430070349914E-3</c:v>
              </c:pt>
              <c:pt idx="11">
                <c:v>9.6743781334406344E-3</c:v>
              </c:pt>
              <c:pt idx="12">
                <c:v>1.0320944818470866E-2</c:v>
              </c:pt>
              <c:pt idx="13">
                <c:v>1.1005938848080411E-2</c:v>
              </c:pt>
              <c:pt idx="14">
                <c:v>1.1731393353058893E-2</c:v>
              </c:pt>
              <c:pt idx="15">
                <c:v>1.2499441467676403E-2</c:v>
              </c:pt>
              <c:pt idx="16">
                <c:v>1.3312321631641564E-2</c:v>
              </c:pt>
              <c:pt idx="17">
                <c:v>1.4172383262167699E-2</c:v>
              </c:pt>
              <c:pt idx="18">
                <c:v>1.5082092829528373E-2</c:v>
              </c:pt>
              <c:pt idx="19">
                <c:v>1.6044040372864291E-2</c:v>
              </c:pt>
              <c:pt idx="20">
                <c:v>1.7060946496765018E-2</c:v>
              </c:pt>
              <c:pt idx="21">
                <c:v>1.8025843781926617E-2</c:v>
              </c:pt>
            </c:numLit>
          </c:yVal>
          <c:smooth val="1"/>
          <c:extLst>
            <c:ext xmlns:c16="http://schemas.microsoft.com/office/drawing/2014/chart" uri="{C3380CC4-5D6E-409C-BE32-E72D297353CC}">
              <c16:uniqueId val="{00000068-530E-40B1-B0E6-1AADA81A91D3}"/>
            </c:ext>
          </c:extLst>
        </c:ser>
        <c:ser>
          <c:idx val="76"/>
          <c:order val="76"/>
          <c:tx>
            <c:v>RH=85_Label</c:v>
          </c:tx>
          <c:spPr>
            <a:ln w="3175">
              <a:solidFill>
                <a:srgbClr val="0000FF"/>
              </a:solidFill>
              <a:prstDash val="solid"/>
            </a:ln>
          </c:spPr>
          <c:marker>
            <c:symbol val="none"/>
          </c:marker>
          <c:dLbls>
            <c:dLbl>
              <c:idx val="0"/>
              <c:tx>
                <c:rich>
                  <a:bodyPr rot="-342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85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9-530E-40B1-B0E6-1AADA81A91D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25.352773263547515</c:v>
              </c:pt>
            </c:numLit>
          </c:xVal>
          <c:yVal>
            <c:numLit>
              <c:formatCode>General</c:formatCode>
              <c:ptCount val="1"/>
              <c:pt idx="0">
                <c:v>1.8313625263206273E-2</c:v>
              </c:pt>
            </c:numLit>
          </c:yVal>
          <c:smooth val="0"/>
          <c:extLst>
            <c:ext xmlns:c16="http://schemas.microsoft.com/office/drawing/2014/chart" uri="{C3380CC4-5D6E-409C-BE32-E72D297353CC}">
              <c16:uniqueId val="{0000006A-530E-40B1-B0E6-1AADA81A91D3}"/>
            </c:ext>
          </c:extLst>
        </c:ser>
        <c:ser>
          <c:idx val="77"/>
          <c:order val="77"/>
          <c:tx>
            <c:v>RH=85_2</c:v>
          </c:tx>
          <c:spPr>
            <a:ln w="3175">
              <a:solidFill>
                <a:srgbClr val="0000FF"/>
              </a:solidFill>
              <a:prstDash val="solid"/>
            </a:ln>
          </c:spPr>
          <c:marker>
            <c:symbol val="none"/>
          </c:marker>
          <c:xVal>
            <c:numLit>
              <c:formatCode>General</c:formatCode>
              <c:ptCount val="13"/>
              <c:pt idx="0">
                <c:v>25.6876621875757</c:v>
              </c:pt>
              <c:pt idx="1">
                <c:v>26.673658098131735</c:v>
              </c:pt>
              <c:pt idx="2">
                <c:v>27.661360715570094</c:v>
              </c:pt>
              <c:pt idx="3">
                <c:v>28.651004900924384</c:v>
              </c:pt>
              <c:pt idx="4">
                <c:v>29.642844270739275</c:v>
              </c:pt>
              <c:pt idx="5">
                <c:v>30.637152470911296</c:v>
              </c:pt>
              <c:pt idx="6">
                <c:v>31.634224546804546</c:v>
              </c:pt>
              <c:pt idx="7">
                <c:v>32.634378419120495</c:v>
              </c:pt>
              <c:pt idx="8">
                <c:v>33.637956476119065</c:v>
              </c:pt>
              <c:pt idx="9">
                <c:v>34.645327294052166</c:v>
              </c:pt>
              <c:pt idx="10">
                <c:v>35.656887499102659</c:v>
              </c:pt>
              <c:pt idx="11">
                <c:v>36.673063785745285</c:v>
              </c:pt>
              <c:pt idx="12">
                <c:v>35.768432905416319</c:v>
              </c:pt>
            </c:numLit>
          </c:xVal>
          <c:yVal>
            <c:numLit>
              <c:formatCode>General</c:formatCode>
              <c:ptCount val="13"/>
              <c:pt idx="0">
                <c:v>1.8696221443579193E-2</c:v>
              </c:pt>
              <c:pt idx="1">
                <c:v>1.9863798166773625E-2</c:v>
              </c:pt>
              <c:pt idx="2">
                <c:v>2.1097052266478809E-2</c:v>
              </c:pt>
              <c:pt idx="3">
                <c:v>2.239939862759165E-2</c:v>
              </c:pt>
              <c:pt idx="4">
                <c:v>2.377443241346253E-2</c:v>
              </c:pt>
              <c:pt idx="5">
                <c:v>2.5225940548190579E-2</c:v>
              </c:pt>
              <c:pt idx="6">
                <c:v>2.6757914160203695E-2</c:v>
              </c:pt>
              <c:pt idx="7">
                <c:v>2.8374562084222253E-2</c:v>
              </c:pt>
              <c:pt idx="8">
                <c:v>3.008032552980296E-2</c:v>
              </c:pt>
              <c:pt idx="9">
                <c:v>3.1879894037208895E-2</c:v>
              </c:pt>
              <c:pt idx="10">
                <c:v>3.3778222855544576E-2</c:v>
              </c:pt>
              <c:pt idx="11">
                <c:v>3.5780551894204121E-2</c:v>
              </c:pt>
              <c:pt idx="12">
                <c:v>3.4000000000000002E-2</c:v>
              </c:pt>
            </c:numLit>
          </c:yVal>
          <c:smooth val="1"/>
          <c:extLst>
            <c:ext xmlns:c16="http://schemas.microsoft.com/office/drawing/2014/chart" uri="{C3380CC4-5D6E-409C-BE32-E72D297353CC}">
              <c16:uniqueId val="{0000006B-530E-40B1-B0E6-1AADA81A91D3}"/>
            </c:ext>
          </c:extLst>
        </c:ser>
        <c:ser>
          <c:idx val="78"/>
          <c:order val="78"/>
          <c:tx>
            <c:v>RH=95_1</c:v>
          </c:tx>
          <c:spPr>
            <a:ln w="3175">
              <a:solidFill>
                <a:srgbClr val="0000FF"/>
              </a:solidFill>
              <a:prstDash val="solid"/>
            </a:ln>
          </c:spPr>
          <c:marker>
            <c:symbol val="none"/>
          </c:marker>
          <c:xVal>
            <c:numLit>
              <c:formatCode>General</c:formatCode>
              <c:ptCount val="21"/>
              <c:pt idx="0">
                <c:v>4.5715093515445933</c:v>
              </c:pt>
              <c:pt idx="1">
                <c:v>5.5506268337490203</c:v>
              </c:pt>
              <c:pt idx="2">
                <c:v>6.5292149220548952</c:v>
              </c:pt>
              <c:pt idx="3">
                <c:v>7.5073017191507443</c:v>
              </c:pt>
              <c:pt idx="4">
                <c:v>8.4849202352887367</c:v>
              </c:pt>
              <c:pt idx="5">
                <c:v>9.4621087729948794</c:v>
              </c:pt>
              <c:pt idx="6">
                <c:v>10.438900016018483</c:v>
              </c:pt>
              <c:pt idx="7">
                <c:v>11.415354444379318</c:v>
              </c:pt>
              <c:pt idx="8">
                <c:v>12.391528753926261</c:v>
              </c:pt>
              <c:pt idx="9">
                <c:v>13.36748671310745</c:v>
              </c:pt>
              <c:pt idx="10">
                <c:v>14.343299674632375</c:v>
              </c:pt>
              <c:pt idx="11">
                <c:v>15.319047117663203</c:v>
              </c:pt>
              <c:pt idx="12">
                <c:v>16.294817222695624</c:v>
              </c:pt>
              <c:pt idx="13">
                <c:v>17.270707481510758</c:v>
              </c:pt>
              <c:pt idx="14">
                <c:v>18.246825344826785</c:v>
              </c:pt>
              <c:pt idx="15">
                <c:v>19.223288910555173</c:v>
              </c:pt>
              <c:pt idx="16">
                <c:v>20.20022765587548</c:v>
              </c:pt>
              <c:pt idx="17">
                <c:v>21.177783216688368</c:v>
              </c:pt>
              <c:pt idx="18">
                <c:v>22.156110218393444</c:v>
              </c:pt>
              <c:pt idx="19">
                <c:v>23.135377162372347</c:v>
              </c:pt>
              <c:pt idx="20">
                <c:v>23.65483180251206</c:v>
              </c:pt>
            </c:numLit>
          </c:xVal>
          <c:yVal>
            <c:numLit>
              <c:formatCode>General</c:formatCode>
              <c:ptCount val="21"/>
              <c:pt idx="0">
                <c:v>5.1500787616026219E-3</c:v>
              </c:pt>
              <c:pt idx="1">
                <c:v>5.5238197122248938E-3</c:v>
              </c:pt>
              <c:pt idx="2">
                <c:v>5.9216027558486456E-3</c:v>
              </c:pt>
              <c:pt idx="3">
                <c:v>6.3447832889701929E-3</c:v>
              </c:pt>
              <c:pt idx="4">
                <c:v>6.7947842027213596E-3</c:v>
              </c:pt>
              <c:pt idx="5">
                <c:v>7.2730991178380543E-3</c:v>
              </c:pt>
              <c:pt idx="6">
                <c:v>7.781452769305296E-3</c:v>
              </c:pt>
              <c:pt idx="7">
                <c:v>8.3213558142954808E-3</c:v>
              </c:pt>
              <c:pt idx="8">
                <c:v>8.8945375406884828E-3</c:v>
              </c:pt>
              <c:pt idx="9">
                <c:v>9.5028131214741039E-3</c:v>
              </c:pt>
              <c:pt idx="10">
                <c:v>1.0148087977263168E-2</c:v>
              </c:pt>
              <c:pt idx="11">
                <c:v>1.0832362423004708E-2</c:v>
              </c:pt>
              <c:pt idx="12">
                <c:v>1.1557736623789566E-2</c:v>
              </c:pt>
              <c:pt idx="13">
                <c:v>1.2326415887099727E-2</c:v>
              </c:pt>
              <c:pt idx="14">
                <c:v>1.3140716321613845E-2</c:v>
              </c:pt>
              <c:pt idx="15">
                <c:v>1.4003070895725766E-2</c:v>
              </c:pt>
              <c:pt idx="16">
                <c:v>1.4916035932318635E-2</c:v>
              </c:pt>
              <c:pt idx="17">
                <c:v>1.5882298080097952E-2</c:v>
              </c:pt>
              <c:pt idx="18">
                <c:v>1.6904681805977675E-2</c:v>
              </c:pt>
              <c:pt idx="19">
                <c:v>1.7986157457680306E-2</c:v>
              </c:pt>
              <c:pt idx="20">
                <c:v>1.8584360404457909E-2</c:v>
              </c:pt>
            </c:numLit>
          </c:yVal>
          <c:smooth val="1"/>
          <c:extLst>
            <c:ext xmlns:c16="http://schemas.microsoft.com/office/drawing/2014/chart" uri="{C3380CC4-5D6E-409C-BE32-E72D297353CC}">
              <c16:uniqueId val="{0000006C-530E-40B1-B0E6-1AADA81A91D3}"/>
            </c:ext>
          </c:extLst>
        </c:ser>
        <c:ser>
          <c:idx val="79"/>
          <c:order val="79"/>
          <c:tx>
            <c:v>RH=95_Label</c:v>
          </c:tx>
          <c:spPr>
            <a:ln w="3175">
              <a:solidFill>
                <a:srgbClr val="0000FF"/>
              </a:solidFill>
              <a:prstDash val="solid"/>
            </a:ln>
          </c:spPr>
          <c:marker>
            <c:symbol val="none"/>
          </c:marker>
          <c:dLbls>
            <c:dLbl>
              <c:idx val="0"/>
              <c:tx>
                <c:rich>
                  <a:bodyPr rot="-348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95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D-530E-40B1-B0E6-1AADA81A91D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23.899975266563242</c:v>
              </c:pt>
            </c:numLit>
          </c:xVal>
          <c:yVal>
            <c:numLit>
              <c:formatCode>General</c:formatCode>
              <c:ptCount val="1"/>
              <c:pt idx="0">
                <c:v>1.887273459870089E-2</c:v>
              </c:pt>
            </c:numLit>
          </c:yVal>
          <c:smooth val="0"/>
          <c:extLst>
            <c:ext xmlns:c16="http://schemas.microsoft.com/office/drawing/2014/chart" uri="{C3380CC4-5D6E-409C-BE32-E72D297353CC}">
              <c16:uniqueId val="{0000006E-530E-40B1-B0E6-1AADA81A91D3}"/>
            </c:ext>
          </c:extLst>
        </c:ser>
        <c:ser>
          <c:idx val="80"/>
          <c:order val="80"/>
          <c:tx>
            <c:v>RH=95_2</c:v>
          </c:tx>
          <c:spPr>
            <a:ln w="3175">
              <a:solidFill>
                <a:srgbClr val="0000FF"/>
              </a:solidFill>
              <a:prstDash val="solid"/>
            </a:ln>
          </c:spPr>
          <c:marker>
            <c:symbol val="none"/>
          </c:marker>
          <c:xVal>
            <c:numLit>
              <c:formatCode>General</c:formatCode>
              <c:ptCount val="12"/>
              <c:pt idx="0">
                <c:v>24.243308436413216</c:v>
              </c:pt>
              <c:pt idx="1">
                <c:v>25.225189821207071</c:v>
              </c:pt>
              <c:pt idx="2">
                <c:v>26.208638356334774</c:v>
              </c:pt>
              <c:pt idx="3">
                <c:v>27.193890751050116</c:v>
              </c:pt>
              <c:pt idx="4">
                <c:v>28.181203240062626</c:v>
              </c:pt>
              <c:pt idx="5">
                <c:v>29.170852943546347</c:v>
              </c:pt>
              <c:pt idx="6">
                <c:v>30.163139332641901</c:v>
              </c:pt>
              <c:pt idx="7">
                <c:v>31.158385811108786</c:v>
              </c:pt>
              <c:pt idx="8">
                <c:v>32.156941425074045</c:v>
              </c:pt>
              <c:pt idx="9">
                <c:v>33.159182714285301</c:v>
              </c:pt>
              <c:pt idx="10">
                <c:v>34.165515719936757</c:v>
              </c:pt>
              <c:pt idx="11">
                <c:v>33.621562011400414</c:v>
              </c:pt>
            </c:numLit>
          </c:xVal>
          <c:yVal>
            <c:numLit>
              <c:formatCode>General</c:formatCode>
              <c:ptCount val="12"/>
              <c:pt idx="0">
                <c:v>1.9283320859184057E-2</c:v>
              </c:pt>
              <c:pt idx="1">
                <c:v>2.0501710426676936E-2</c:v>
              </c:pt>
              <c:pt idx="2">
                <c:v>2.1789587089421334E-2</c:v>
              </c:pt>
              <c:pt idx="3">
                <c:v>2.3150628701456469E-2</c:v>
              </c:pt>
              <c:pt idx="4">
                <c:v>2.4588712008722775E-2</c:v>
              </c:pt>
              <c:pt idx="5">
                <c:v>2.6107925677992385E-2</c:v>
              </c:pt>
              <c:pt idx="6">
                <c:v>2.7712584444850481E-2</c:v>
              </c:pt>
              <c:pt idx="7">
                <c:v>2.9407244496529976E-2</c:v>
              </c:pt>
              <c:pt idx="8">
                <c:v>3.1196720218989966E-2</c:v>
              </c:pt>
              <c:pt idx="9">
                <c:v>3.3086102453028524E-2</c:v>
              </c:pt>
              <c:pt idx="10">
                <c:v>3.5080778421720527E-2</c:v>
              </c:pt>
              <c:pt idx="11">
                <c:v>3.4000000000000002E-2</c:v>
              </c:pt>
            </c:numLit>
          </c:yVal>
          <c:smooth val="1"/>
          <c:extLst>
            <c:ext xmlns:c16="http://schemas.microsoft.com/office/drawing/2014/chart" uri="{C3380CC4-5D6E-409C-BE32-E72D297353CC}">
              <c16:uniqueId val="{0000006F-530E-40B1-B0E6-1AADA81A91D3}"/>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A7ED-49B8-9C70-AD70AAC1C9F8}"/>
            </c:ext>
          </c:extLst>
        </c:ser>
        <c:ser>
          <c:idx val="1"/>
          <c:order val="1"/>
          <c:tx>
            <c:v>t=-10</c:v>
          </c:tx>
          <c:spPr>
            <a:ln w="3175">
              <a:solidFill>
                <a:srgbClr val="3366FF"/>
              </a:solidFill>
              <a:prstDash val="solid"/>
            </a:ln>
          </c:spPr>
          <c:marker>
            <c:symbol val="none"/>
          </c:marker>
          <c:dLbls>
            <c:dLbl>
              <c:idx val="0"/>
              <c:layout>
                <c:manualLayout>
                  <c:x val="-1.8663194444444444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c:v>
              </c:pt>
              <c:pt idx="1">
                <c:v>-10.178169782224485</c:v>
              </c:pt>
            </c:numLit>
          </c:xVal>
          <c:yVal>
            <c:numLit>
              <c:formatCode>General</c:formatCode>
              <c:ptCount val="2"/>
              <c:pt idx="0">
                <c:v>0</c:v>
              </c:pt>
              <c:pt idx="1">
                <c:v>1.6060824455002901E-3</c:v>
              </c:pt>
            </c:numLit>
          </c:yVal>
          <c:smooth val="0"/>
          <c:extLst>
            <c:ext xmlns:c16="http://schemas.microsoft.com/office/drawing/2014/chart" uri="{C3380CC4-5D6E-409C-BE32-E72D297353CC}">
              <c16:uniqueId val="{00000002-A7ED-49B8-9C70-AD70AAC1C9F8}"/>
            </c:ext>
          </c:extLst>
        </c:ser>
        <c:ser>
          <c:idx val="2"/>
          <c:order val="2"/>
          <c:tx>
            <c:v>t=-9</c:v>
          </c:tx>
          <c:spPr>
            <a:ln w="3175">
              <a:solidFill>
                <a:srgbClr val="3366FF"/>
              </a:solidFill>
              <a:prstDash val="solid"/>
            </a:ln>
          </c:spPr>
          <c:marker>
            <c:symbol val="none"/>
          </c:marker>
          <c:xVal>
            <c:numLit>
              <c:formatCode>General</c:formatCode>
              <c:ptCount val="2"/>
              <c:pt idx="0">
                <c:v>-9</c:v>
              </c:pt>
              <c:pt idx="1">
                <c:v>-9.1914446576012097</c:v>
              </c:pt>
            </c:numLit>
          </c:xVal>
          <c:yVal>
            <c:numLit>
              <c:formatCode>General</c:formatCode>
              <c:ptCount val="2"/>
              <c:pt idx="0">
                <c:v>0</c:v>
              </c:pt>
              <c:pt idx="1">
                <c:v>1.754996587815E-3</c:v>
              </c:pt>
            </c:numLit>
          </c:yVal>
          <c:smooth val="0"/>
          <c:extLst>
            <c:ext xmlns:c16="http://schemas.microsoft.com/office/drawing/2014/chart" uri="{C3380CC4-5D6E-409C-BE32-E72D297353CC}">
              <c16:uniqueId val="{00000003-A7ED-49B8-9C70-AD70AAC1C9F8}"/>
            </c:ext>
          </c:extLst>
        </c:ser>
        <c:ser>
          <c:idx val="3"/>
          <c:order val="3"/>
          <c:tx>
            <c:v>t=-8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c:v>
              </c:pt>
              <c:pt idx="1">
                <c:v>-8.2055155451094635</c:v>
              </c:pt>
            </c:numLit>
          </c:xVal>
          <c:yVal>
            <c:numLit>
              <c:formatCode>General</c:formatCode>
              <c:ptCount val="2"/>
              <c:pt idx="0">
                <c:v>0</c:v>
              </c:pt>
              <c:pt idx="1">
                <c:v>1.9164686538757701E-3</c:v>
              </c:pt>
            </c:numLit>
          </c:yVal>
          <c:smooth val="0"/>
          <c:extLst>
            <c:ext xmlns:c16="http://schemas.microsoft.com/office/drawing/2014/chart" uri="{C3380CC4-5D6E-409C-BE32-E72D297353CC}">
              <c16:uniqueId val="{00000005-A7ED-49B8-9C70-AD70AAC1C9F8}"/>
            </c:ext>
          </c:extLst>
        </c:ser>
        <c:ser>
          <c:idx val="4"/>
          <c:order val="4"/>
          <c:tx>
            <c:v>t=-7</c:v>
          </c:tx>
          <c:spPr>
            <a:ln w="3175">
              <a:solidFill>
                <a:srgbClr val="3366FF"/>
              </a:solidFill>
              <a:prstDash val="solid"/>
            </a:ln>
          </c:spPr>
          <c:marker>
            <c:symbol val="none"/>
          </c:marker>
          <c:xVal>
            <c:numLit>
              <c:formatCode>General</c:formatCode>
              <c:ptCount val="2"/>
              <c:pt idx="0">
                <c:v>-7</c:v>
              </c:pt>
              <c:pt idx="1">
                <c:v>-7.22041332968442</c:v>
              </c:pt>
            </c:numLit>
          </c:xVal>
          <c:yVal>
            <c:numLit>
              <c:formatCode>General</c:formatCode>
              <c:ptCount val="2"/>
              <c:pt idx="0">
                <c:v>0</c:v>
              </c:pt>
              <c:pt idx="1">
                <c:v>2.0914526472602E-3</c:v>
              </c:pt>
            </c:numLit>
          </c:yVal>
          <c:smooth val="0"/>
          <c:extLst>
            <c:ext xmlns:c16="http://schemas.microsoft.com/office/drawing/2014/chart" uri="{C3380CC4-5D6E-409C-BE32-E72D297353CC}">
              <c16:uniqueId val="{00000006-A7ED-49B8-9C70-AD70AAC1C9F8}"/>
            </c:ext>
          </c:extLst>
        </c:ser>
        <c:ser>
          <c:idx val="5"/>
          <c:order val="5"/>
          <c:tx>
            <c:v>t=-6</c:v>
          </c:tx>
          <c:spPr>
            <a:ln w="3175">
              <a:solidFill>
                <a:srgbClr val="3366FF"/>
              </a:solidFill>
              <a:prstDash val="solid"/>
            </a:ln>
          </c:spPr>
          <c:marker>
            <c:symbol val="none"/>
          </c:marker>
          <c:dLbls>
            <c:dLbl>
              <c:idx val="0"/>
              <c:layout>
                <c:manualLayout>
                  <c:x val="-1.5625000000000017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c:v>
              </c:pt>
              <c:pt idx="1">
                <c:v>-6.2361685593886991</c:v>
              </c:pt>
            </c:numLit>
          </c:xVal>
          <c:yVal>
            <c:numLit>
              <c:formatCode>General</c:formatCode>
              <c:ptCount val="2"/>
              <c:pt idx="0">
                <c:v>0</c:v>
              </c:pt>
              <c:pt idx="1">
                <c:v>2.28096746106981E-3</c:v>
              </c:pt>
            </c:numLit>
          </c:yVal>
          <c:smooth val="0"/>
          <c:extLst>
            <c:ext xmlns:c16="http://schemas.microsoft.com/office/drawing/2014/chart" uri="{C3380CC4-5D6E-409C-BE32-E72D297353CC}">
              <c16:uniqueId val="{00000008-A7ED-49B8-9C70-AD70AAC1C9F8}"/>
            </c:ext>
          </c:extLst>
        </c:ser>
        <c:ser>
          <c:idx val="6"/>
          <c:order val="6"/>
          <c:tx>
            <c:v>t=-5</c:v>
          </c:tx>
          <c:spPr>
            <a:ln w="3175">
              <a:solidFill>
                <a:srgbClr val="3366FF"/>
              </a:solidFill>
              <a:prstDash val="solid"/>
            </a:ln>
          </c:spPr>
          <c:marker>
            <c:symbol val="none"/>
          </c:marker>
          <c:xVal>
            <c:numLit>
              <c:formatCode>General</c:formatCode>
              <c:ptCount val="2"/>
              <c:pt idx="0">
                <c:v>-5</c:v>
              </c:pt>
              <c:pt idx="1">
                <c:v>-5.2528112525852375</c:v>
              </c:pt>
            </c:numLit>
          </c:xVal>
          <c:yVal>
            <c:numLit>
              <c:formatCode>General</c:formatCode>
              <c:ptCount val="2"/>
              <c:pt idx="0">
                <c:v>0</c:v>
              </c:pt>
              <c:pt idx="1">
                <c:v>2.4861008807502299E-3</c:v>
              </c:pt>
            </c:numLit>
          </c:yVal>
          <c:smooth val="0"/>
          <c:extLst>
            <c:ext xmlns:c16="http://schemas.microsoft.com/office/drawing/2014/chart" uri="{C3380CC4-5D6E-409C-BE32-E72D297353CC}">
              <c16:uniqueId val="{00000009-A7ED-49B8-9C70-AD70AAC1C9F8}"/>
            </c:ext>
          </c:extLst>
        </c:ser>
        <c:ser>
          <c:idx val="7"/>
          <c:order val="7"/>
          <c:tx>
            <c:v>t=-4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c:v>
              </c:pt>
              <c:pt idx="1">
                <c:v>-4.2703706848883494</c:v>
              </c:pt>
            </c:numLit>
          </c:xVal>
          <c:yVal>
            <c:numLit>
              <c:formatCode>General</c:formatCode>
              <c:ptCount val="2"/>
              <c:pt idx="0">
                <c:v>0</c:v>
              </c:pt>
              <c:pt idx="1">
                <c:v>2.7080138291286299E-3</c:v>
              </c:pt>
            </c:numLit>
          </c:yVal>
          <c:smooth val="0"/>
          <c:extLst>
            <c:ext xmlns:c16="http://schemas.microsoft.com/office/drawing/2014/chart" uri="{C3380CC4-5D6E-409C-BE32-E72D297353CC}">
              <c16:uniqueId val="{0000000B-A7ED-49B8-9C70-AD70AAC1C9F8}"/>
            </c:ext>
          </c:extLst>
        </c:ser>
        <c:ser>
          <c:idx val="8"/>
          <c:order val="8"/>
          <c:tx>
            <c:v>t=-3</c:v>
          </c:tx>
          <c:spPr>
            <a:ln w="3175">
              <a:solidFill>
                <a:srgbClr val="3366FF"/>
              </a:solidFill>
              <a:prstDash val="solid"/>
            </a:ln>
          </c:spPr>
          <c:marker>
            <c:symbol val="none"/>
          </c:marker>
          <c:xVal>
            <c:numLit>
              <c:formatCode>General</c:formatCode>
              <c:ptCount val="2"/>
              <c:pt idx="0">
                <c:v>-3</c:v>
              </c:pt>
              <c:pt idx="1">
                <c:v>-3.2888751544738284</c:v>
              </c:pt>
            </c:numLit>
          </c:xVal>
          <c:yVal>
            <c:numLit>
              <c:formatCode>General</c:formatCode>
              <c:ptCount val="2"/>
              <c:pt idx="0">
                <c:v>0</c:v>
              </c:pt>
              <c:pt idx="1">
                <c:v>2.9479448711774302E-3</c:v>
              </c:pt>
            </c:numLit>
          </c:yVal>
          <c:smooth val="0"/>
          <c:extLst>
            <c:ext xmlns:c16="http://schemas.microsoft.com/office/drawing/2014/chart" uri="{C3380CC4-5D6E-409C-BE32-E72D297353CC}">
              <c16:uniqueId val="{0000000C-A7ED-49B8-9C70-AD70AAC1C9F8}"/>
            </c:ext>
          </c:extLst>
        </c:ser>
        <c:ser>
          <c:idx val="9"/>
          <c:order val="9"/>
          <c:tx>
            <c:v>t=-2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c:v>
              </c:pt>
              <c:pt idx="1">
                <c:v>-2.3083517242375033</c:v>
              </c:pt>
            </c:numLit>
          </c:xVal>
          <c:yVal>
            <c:numLit>
              <c:formatCode>General</c:formatCode>
              <c:ptCount val="2"/>
              <c:pt idx="0">
                <c:v>0</c:v>
              </c:pt>
              <c:pt idx="1">
                <c:v>3.2072149977556701E-3</c:v>
              </c:pt>
            </c:numLit>
          </c:yVal>
          <c:smooth val="0"/>
          <c:extLst>
            <c:ext xmlns:c16="http://schemas.microsoft.com/office/drawing/2014/chart" uri="{C3380CC4-5D6E-409C-BE32-E72D297353CC}">
              <c16:uniqueId val="{0000000E-A7ED-49B8-9C70-AD70AAC1C9F8}"/>
            </c:ext>
          </c:extLst>
        </c:ser>
        <c:ser>
          <c:idx val="10"/>
          <c:order val="10"/>
          <c:tx>
            <c:v>t=-1</c:v>
          </c:tx>
          <c:spPr>
            <a:ln w="3175">
              <a:solidFill>
                <a:srgbClr val="3366FF"/>
              </a:solidFill>
              <a:prstDash val="solid"/>
            </a:ln>
          </c:spPr>
          <c:marker>
            <c:symbol val="none"/>
          </c:marker>
          <c:xVal>
            <c:numLit>
              <c:formatCode>General</c:formatCode>
              <c:ptCount val="2"/>
              <c:pt idx="0">
                <c:v>-1</c:v>
              </c:pt>
              <c:pt idx="1">
                <c:v>-1.3288259391909205</c:v>
              </c:pt>
            </c:numLit>
          </c:xVal>
          <c:yVal>
            <c:numLit>
              <c:formatCode>General</c:formatCode>
              <c:ptCount val="2"/>
              <c:pt idx="0">
                <c:v>0</c:v>
              </c:pt>
              <c:pt idx="1">
                <c:v>3.4872327095305301E-3</c:v>
              </c:pt>
            </c:numLit>
          </c:yVal>
          <c:smooth val="0"/>
          <c:extLst>
            <c:ext xmlns:c16="http://schemas.microsoft.com/office/drawing/2014/chart" uri="{C3380CC4-5D6E-409C-BE32-E72D297353CC}">
              <c16:uniqueId val="{0000000F-A7ED-49B8-9C70-AD70AAC1C9F8}"/>
            </c:ext>
          </c:extLst>
        </c:ser>
        <c:ser>
          <c:idx val="11"/>
          <c:order val="11"/>
          <c:tx>
            <c:v>t=0</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0-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c:v>
              </c:pt>
              <c:pt idx="1">
                <c:v>-0.35032151737137107</c:v>
              </c:pt>
            </c:numLit>
          </c:xVal>
          <c:yVal>
            <c:numLit>
              <c:formatCode>General</c:formatCode>
              <c:ptCount val="2"/>
              <c:pt idx="0">
                <c:v>0</c:v>
              </c:pt>
              <c:pt idx="1">
                <c:v>3.7894994244688099E-3</c:v>
              </c:pt>
            </c:numLit>
          </c:yVal>
          <c:smooth val="0"/>
          <c:extLst>
            <c:ext xmlns:c16="http://schemas.microsoft.com/office/drawing/2014/chart" uri="{C3380CC4-5D6E-409C-BE32-E72D297353CC}">
              <c16:uniqueId val="{00000011-A7ED-49B8-9C70-AD70AAC1C9F8}"/>
            </c:ext>
          </c:extLst>
        </c:ser>
        <c:ser>
          <c:idx val="12"/>
          <c:order val="12"/>
          <c:tx>
            <c:v>t=1</c:v>
          </c:tx>
          <c:spPr>
            <a:ln w="3175">
              <a:solidFill>
                <a:srgbClr val="3366FF"/>
              </a:solidFill>
              <a:prstDash val="solid"/>
            </a:ln>
          </c:spPr>
          <c:marker>
            <c:symbol val="none"/>
          </c:marker>
          <c:xVal>
            <c:numLit>
              <c:formatCode>General</c:formatCode>
              <c:ptCount val="2"/>
              <c:pt idx="0">
                <c:v>1</c:v>
              </c:pt>
              <c:pt idx="1">
                <c:v>0.63072878902048046</c:v>
              </c:pt>
            </c:numLit>
          </c:xVal>
          <c:yVal>
            <c:numLit>
              <c:formatCode>General</c:formatCode>
              <c:ptCount val="2"/>
              <c:pt idx="0">
                <c:v>0</c:v>
              </c:pt>
              <c:pt idx="1">
                <c:v>4.0760021751744197E-3</c:v>
              </c:pt>
            </c:numLit>
          </c:yVal>
          <c:smooth val="0"/>
          <c:extLst>
            <c:ext xmlns:c16="http://schemas.microsoft.com/office/drawing/2014/chart" uri="{C3380CC4-5D6E-409C-BE32-E72D297353CC}">
              <c16:uniqueId val="{00000012-A7ED-49B8-9C70-AD70AAC1C9F8}"/>
            </c:ext>
          </c:extLst>
        </c:ser>
        <c:ser>
          <c:idx val="13"/>
          <c:order val="13"/>
          <c:tx>
            <c:v>t=2</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c:v>
              </c:pt>
              <c:pt idx="1">
                <c:v>1.6111719572746133</c:v>
              </c:pt>
            </c:numLit>
          </c:xVal>
          <c:yVal>
            <c:numLit>
              <c:formatCode>General</c:formatCode>
              <c:ptCount val="2"/>
              <c:pt idx="0">
                <c:v>0</c:v>
              </c:pt>
              <c:pt idx="1">
                <c:v>4.3812837251538898E-3</c:v>
              </c:pt>
            </c:numLit>
          </c:yVal>
          <c:smooth val="0"/>
          <c:extLst>
            <c:ext xmlns:c16="http://schemas.microsoft.com/office/drawing/2014/chart" uri="{C3380CC4-5D6E-409C-BE32-E72D297353CC}">
              <c16:uniqueId val="{00000014-A7ED-49B8-9C70-AD70AAC1C9F8}"/>
            </c:ext>
          </c:extLst>
        </c:ser>
        <c:ser>
          <c:idx val="14"/>
          <c:order val="14"/>
          <c:tx>
            <c:v>t=3</c:v>
          </c:tx>
          <c:spPr>
            <a:ln w="3175">
              <a:solidFill>
                <a:srgbClr val="3366FF"/>
              </a:solidFill>
              <a:prstDash val="solid"/>
            </a:ln>
          </c:spPr>
          <c:marker>
            <c:symbol val="none"/>
          </c:marker>
          <c:xVal>
            <c:numLit>
              <c:formatCode>General</c:formatCode>
              <c:ptCount val="2"/>
              <c:pt idx="0">
                <c:v>3</c:v>
              </c:pt>
              <c:pt idx="1">
                <c:v>2.5909827527240186</c:v>
              </c:pt>
            </c:numLit>
          </c:xVal>
          <c:yVal>
            <c:numLit>
              <c:formatCode>General</c:formatCode>
              <c:ptCount val="2"/>
              <c:pt idx="0">
                <c:v>0</c:v>
              </c:pt>
              <c:pt idx="1">
                <c:v>4.7068331132422503E-3</c:v>
              </c:pt>
            </c:numLit>
          </c:yVal>
          <c:smooth val="0"/>
          <c:extLst>
            <c:ext xmlns:c16="http://schemas.microsoft.com/office/drawing/2014/chart" uri="{C3380CC4-5D6E-409C-BE32-E72D297353CC}">
              <c16:uniqueId val="{00000015-A7ED-49B8-9C70-AD70AAC1C9F8}"/>
            </c:ext>
          </c:extLst>
        </c:ser>
        <c:ser>
          <c:idx val="15"/>
          <c:order val="15"/>
          <c:tx>
            <c:v>t=4</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6-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c:v>
              </c:pt>
              <c:pt idx="1">
                <c:v>3.5701735744985212</c:v>
              </c:pt>
            </c:numLit>
          </c:xVal>
          <c:yVal>
            <c:numLit>
              <c:formatCode>General</c:formatCode>
              <c:ptCount val="2"/>
              <c:pt idx="0">
                <c:v>0</c:v>
              </c:pt>
              <c:pt idx="1">
                <c:v>5.0538263680982602E-3</c:v>
              </c:pt>
            </c:numLit>
          </c:yVal>
          <c:smooth val="0"/>
          <c:extLst>
            <c:ext xmlns:c16="http://schemas.microsoft.com/office/drawing/2014/chart" uri="{C3380CC4-5D6E-409C-BE32-E72D297353CC}">
              <c16:uniqueId val="{00000017-A7ED-49B8-9C70-AD70AAC1C9F8}"/>
            </c:ext>
          </c:extLst>
        </c:ser>
        <c:ser>
          <c:idx val="16"/>
          <c:order val="16"/>
          <c:tx>
            <c:v>t=5</c:v>
          </c:tx>
          <c:spPr>
            <a:ln w="3175">
              <a:solidFill>
                <a:srgbClr val="3366FF"/>
              </a:solidFill>
              <a:prstDash val="solid"/>
            </a:ln>
          </c:spPr>
          <c:marker>
            <c:symbol val="none"/>
          </c:marker>
          <c:xVal>
            <c:numLit>
              <c:formatCode>General</c:formatCode>
              <c:ptCount val="2"/>
              <c:pt idx="0">
                <c:v>5</c:v>
              </c:pt>
              <c:pt idx="1">
                <c:v>4.5487605635344499</c:v>
              </c:pt>
            </c:numLit>
          </c:xVal>
          <c:yVal>
            <c:numLit>
              <c:formatCode>General</c:formatCode>
              <c:ptCount val="2"/>
              <c:pt idx="0">
                <c:v>0</c:v>
              </c:pt>
              <c:pt idx="1">
                <c:v>5.4234990810554801E-3</c:v>
              </c:pt>
            </c:numLit>
          </c:yVal>
          <c:smooth val="0"/>
          <c:extLst>
            <c:ext xmlns:c16="http://schemas.microsoft.com/office/drawing/2014/chart" uri="{C3380CC4-5D6E-409C-BE32-E72D297353CC}">
              <c16:uniqueId val="{00000018-A7ED-49B8-9C70-AD70AAC1C9F8}"/>
            </c:ext>
          </c:extLst>
        </c:ser>
        <c:ser>
          <c:idx val="17"/>
          <c:order val="17"/>
          <c:tx>
            <c:v>t=6</c:v>
          </c:tx>
          <c:spPr>
            <a:ln w="3175">
              <a:solidFill>
                <a:srgbClr val="3366FF"/>
              </a:solidFill>
              <a:prstDash val="solid"/>
            </a:ln>
          </c:spPr>
          <c:marker>
            <c:symbol val="none"/>
          </c:marker>
          <c:dLbls>
            <c:dLbl>
              <c:idx val="0"/>
              <c:layout>
                <c:manualLayout>
                  <c:x val="-1.2586805555555587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9-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c:v>
              </c:pt>
              <c:pt idx="1">
                <c:v>5.5267544089063207</c:v>
              </c:pt>
            </c:numLit>
          </c:xVal>
          <c:yVal>
            <c:numLit>
              <c:formatCode>General</c:formatCode>
              <c:ptCount val="2"/>
              <c:pt idx="0">
                <c:v>0</c:v>
              </c:pt>
              <c:pt idx="1">
                <c:v>5.8172661857312001E-3</c:v>
              </c:pt>
            </c:numLit>
          </c:yVal>
          <c:smooth val="0"/>
          <c:extLst>
            <c:ext xmlns:c16="http://schemas.microsoft.com/office/drawing/2014/chart" uri="{C3380CC4-5D6E-409C-BE32-E72D297353CC}">
              <c16:uniqueId val="{0000001A-A7ED-49B8-9C70-AD70AAC1C9F8}"/>
            </c:ext>
          </c:extLst>
        </c:ser>
        <c:ser>
          <c:idx val="18"/>
          <c:order val="18"/>
          <c:tx>
            <c:v>t=7</c:v>
          </c:tx>
          <c:spPr>
            <a:ln w="3175">
              <a:solidFill>
                <a:srgbClr val="3366FF"/>
              </a:solidFill>
              <a:prstDash val="solid"/>
            </a:ln>
          </c:spPr>
          <c:marker>
            <c:symbol val="none"/>
          </c:marker>
          <c:xVal>
            <c:numLit>
              <c:formatCode>General</c:formatCode>
              <c:ptCount val="2"/>
              <c:pt idx="0">
                <c:v>7</c:v>
              </c:pt>
              <c:pt idx="1">
                <c:v>6.5041883174927406</c:v>
              </c:pt>
            </c:numLit>
          </c:xVal>
          <c:yVal>
            <c:numLit>
              <c:formatCode>General</c:formatCode>
              <c:ptCount val="2"/>
              <c:pt idx="0">
                <c:v>0</c:v>
              </c:pt>
              <c:pt idx="1">
                <c:v>6.2363910052801001E-3</c:v>
              </c:pt>
            </c:numLit>
          </c:yVal>
          <c:smooth val="0"/>
          <c:extLst>
            <c:ext xmlns:c16="http://schemas.microsoft.com/office/drawing/2014/chart" uri="{C3380CC4-5D6E-409C-BE32-E72D297353CC}">
              <c16:uniqueId val="{0000001B-A7ED-49B8-9C70-AD70AAC1C9F8}"/>
            </c:ext>
          </c:extLst>
        </c:ser>
        <c:ser>
          <c:idx val="19"/>
          <c:order val="19"/>
          <c:tx>
            <c:v>t=8</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C-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c:v>
              </c:pt>
              <c:pt idx="1">
                <c:v>7.481091633037142</c:v>
              </c:pt>
            </c:numLit>
          </c:xVal>
          <c:yVal>
            <c:numLit>
              <c:formatCode>General</c:formatCode>
              <c:ptCount val="2"/>
              <c:pt idx="0">
                <c:v>0</c:v>
              </c:pt>
              <c:pt idx="1">
                <c:v>6.68230692735069E-3</c:v>
              </c:pt>
            </c:numLit>
          </c:yVal>
          <c:smooth val="0"/>
          <c:extLst>
            <c:ext xmlns:c16="http://schemas.microsoft.com/office/drawing/2014/chart" uri="{C3380CC4-5D6E-409C-BE32-E72D297353CC}">
              <c16:uniqueId val="{0000001D-A7ED-49B8-9C70-AD70AAC1C9F8}"/>
            </c:ext>
          </c:extLst>
        </c:ser>
        <c:ser>
          <c:idx val="20"/>
          <c:order val="20"/>
          <c:tx>
            <c:v>t=9</c:v>
          </c:tx>
          <c:spPr>
            <a:ln w="3175">
              <a:solidFill>
                <a:srgbClr val="3366FF"/>
              </a:solidFill>
              <a:prstDash val="solid"/>
            </a:ln>
          </c:spPr>
          <c:marker>
            <c:symbol val="none"/>
          </c:marker>
          <c:xVal>
            <c:numLit>
              <c:formatCode>General</c:formatCode>
              <c:ptCount val="2"/>
              <c:pt idx="0">
                <c:v>9</c:v>
              </c:pt>
              <c:pt idx="1">
                <c:v>8.4574988517709855</c:v>
              </c:pt>
            </c:numLit>
          </c:xVal>
          <c:yVal>
            <c:numLit>
              <c:formatCode>General</c:formatCode>
              <c:ptCount val="2"/>
              <c:pt idx="0">
                <c:v>0</c:v>
              </c:pt>
              <c:pt idx="1">
                <c:v>7.1565192121477803E-3</c:v>
              </c:pt>
            </c:numLit>
          </c:yVal>
          <c:smooth val="0"/>
          <c:extLst>
            <c:ext xmlns:c16="http://schemas.microsoft.com/office/drawing/2014/chart" uri="{C3380CC4-5D6E-409C-BE32-E72D297353CC}">
              <c16:uniqueId val="{0000001E-A7ED-49B8-9C70-AD70AAC1C9F8}"/>
            </c:ext>
          </c:extLst>
        </c:ser>
        <c:ser>
          <c:idx val="21"/>
          <c:order val="21"/>
          <c:tx>
            <c:v>t=10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F-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c:v>
              </c:pt>
              <c:pt idx="1">
                <c:v>9.4334500278774112</c:v>
              </c:pt>
            </c:numLit>
          </c:xVal>
          <c:yVal>
            <c:numLit>
              <c:formatCode>General</c:formatCode>
              <c:ptCount val="2"/>
              <c:pt idx="0">
                <c:v>0</c:v>
              </c:pt>
              <c:pt idx="1">
                <c:v>7.6606084940231802E-3</c:v>
              </c:pt>
            </c:numLit>
          </c:yVal>
          <c:smooth val="0"/>
          <c:extLst>
            <c:ext xmlns:c16="http://schemas.microsoft.com/office/drawing/2014/chart" uri="{C3380CC4-5D6E-409C-BE32-E72D297353CC}">
              <c16:uniqueId val="{00000020-A7ED-49B8-9C70-AD70AAC1C9F8}"/>
            </c:ext>
          </c:extLst>
        </c:ser>
        <c:ser>
          <c:idx val="22"/>
          <c:order val="22"/>
          <c:tx>
            <c:v>t=11</c:v>
          </c:tx>
          <c:spPr>
            <a:ln w="3175">
              <a:solidFill>
                <a:srgbClr val="3366FF"/>
              </a:solidFill>
              <a:prstDash val="solid"/>
            </a:ln>
          </c:spPr>
          <c:marker>
            <c:symbol val="none"/>
          </c:marker>
          <c:xVal>
            <c:numLit>
              <c:formatCode>General</c:formatCode>
              <c:ptCount val="2"/>
              <c:pt idx="0">
                <c:v>11</c:v>
              </c:pt>
              <c:pt idx="1">
                <c:v>10.408979273270996</c:v>
              </c:pt>
            </c:numLit>
          </c:xVal>
          <c:yVal>
            <c:numLit>
              <c:formatCode>General</c:formatCode>
              <c:ptCount val="2"/>
              <c:pt idx="0">
                <c:v>0</c:v>
              </c:pt>
              <c:pt idx="1">
                <c:v>8.1963999323046207E-3</c:v>
              </c:pt>
            </c:numLit>
          </c:yVal>
          <c:smooth val="0"/>
          <c:extLst>
            <c:ext xmlns:c16="http://schemas.microsoft.com/office/drawing/2014/chart" uri="{C3380CC4-5D6E-409C-BE32-E72D297353CC}">
              <c16:uniqueId val="{00000021-A7ED-49B8-9C70-AD70AAC1C9F8}"/>
            </c:ext>
          </c:extLst>
        </c:ser>
        <c:ser>
          <c:idx val="23"/>
          <c:order val="23"/>
          <c:tx>
            <c:v>t=12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2-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c:v>
              </c:pt>
              <c:pt idx="1">
                <c:v>11.384149975978485</c:v>
              </c:pt>
            </c:numLit>
          </c:xVal>
          <c:yVal>
            <c:numLit>
              <c:formatCode>General</c:formatCode>
              <c:ptCount val="2"/>
              <c:pt idx="0">
                <c:v>0</c:v>
              </c:pt>
              <c:pt idx="1">
                <c:v>8.7654941166616408E-3</c:v>
              </c:pt>
            </c:numLit>
          </c:yVal>
          <c:smooth val="0"/>
          <c:extLst>
            <c:ext xmlns:c16="http://schemas.microsoft.com/office/drawing/2014/chart" uri="{C3380CC4-5D6E-409C-BE32-E72D297353CC}">
              <c16:uniqueId val="{00000023-A7ED-49B8-9C70-AD70AAC1C9F8}"/>
            </c:ext>
          </c:extLst>
        </c:ser>
        <c:ser>
          <c:idx val="24"/>
          <c:order val="24"/>
          <c:tx>
            <c:v>t=13</c:v>
          </c:tx>
          <c:spPr>
            <a:ln w="3175">
              <a:solidFill>
                <a:srgbClr val="3366FF"/>
              </a:solidFill>
              <a:prstDash val="solid"/>
            </a:ln>
          </c:spPr>
          <c:marker>
            <c:symbol val="none"/>
          </c:marker>
          <c:xVal>
            <c:numLit>
              <c:formatCode>General</c:formatCode>
              <c:ptCount val="2"/>
              <c:pt idx="0">
                <c:v>13</c:v>
              </c:pt>
              <c:pt idx="1">
                <c:v>12.359021518730225</c:v>
              </c:pt>
            </c:numLit>
          </c:xVal>
          <c:yVal>
            <c:numLit>
              <c:formatCode>General</c:formatCode>
              <c:ptCount val="2"/>
              <c:pt idx="0">
                <c:v>0</c:v>
              </c:pt>
              <c:pt idx="1">
                <c:v>9.3697232222812107E-3</c:v>
              </c:pt>
            </c:numLit>
          </c:yVal>
          <c:smooth val="0"/>
          <c:extLst>
            <c:ext xmlns:c16="http://schemas.microsoft.com/office/drawing/2014/chart" uri="{C3380CC4-5D6E-409C-BE32-E72D297353CC}">
              <c16:uniqueId val="{00000024-A7ED-49B8-9C70-AD70AAC1C9F8}"/>
            </c:ext>
          </c:extLst>
        </c:ser>
        <c:ser>
          <c:idx val="25"/>
          <c:order val="25"/>
          <c:tx>
            <c:v>t=14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5-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c:v>
              </c:pt>
              <c:pt idx="1">
                <c:v>13.333660721764184</c:v>
              </c:pt>
            </c:numLit>
          </c:xVal>
          <c:yVal>
            <c:numLit>
              <c:formatCode>General</c:formatCode>
              <c:ptCount val="2"/>
              <c:pt idx="0">
                <c:v>0</c:v>
              </c:pt>
              <c:pt idx="1">
                <c:v>1.00110112590387E-2</c:v>
              </c:pt>
            </c:numLit>
          </c:yVal>
          <c:smooth val="0"/>
          <c:extLst>
            <c:ext xmlns:c16="http://schemas.microsoft.com/office/drawing/2014/chart" uri="{C3380CC4-5D6E-409C-BE32-E72D297353CC}">
              <c16:uniqueId val="{00000026-A7ED-49B8-9C70-AD70AAC1C9F8}"/>
            </c:ext>
          </c:extLst>
        </c:ser>
        <c:ser>
          <c:idx val="26"/>
          <c:order val="26"/>
          <c:tx>
            <c:v>t=15</c:v>
          </c:tx>
          <c:spPr>
            <a:ln w="3175">
              <a:solidFill>
                <a:srgbClr val="3366FF"/>
              </a:solidFill>
              <a:prstDash val="solid"/>
            </a:ln>
          </c:spPr>
          <c:marker>
            <c:symbol val="none"/>
          </c:marker>
          <c:xVal>
            <c:numLit>
              <c:formatCode>General</c:formatCode>
              <c:ptCount val="2"/>
              <c:pt idx="0">
                <c:v>15</c:v>
              </c:pt>
              <c:pt idx="1">
                <c:v>14.308142384050464</c:v>
              </c:pt>
            </c:numLit>
          </c:xVal>
          <c:yVal>
            <c:numLit>
              <c:formatCode>General</c:formatCode>
              <c:ptCount val="2"/>
              <c:pt idx="0">
                <c:v>0</c:v>
              </c:pt>
              <c:pt idx="1">
                <c:v>1.06913788271157E-2</c:v>
              </c:pt>
            </c:numLit>
          </c:yVal>
          <c:smooth val="0"/>
          <c:extLst>
            <c:ext xmlns:c16="http://schemas.microsoft.com/office/drawing/2014/chart" uri="{C3380CC4-5D6E-409C-BE32-E72D297353CC}">
              <c16:uniqueId val="{00000027-A7ED-49B8-9C70-AD70AAC1C9F8}"/>
            </c:ext>
          </c:extLst>
        </c:ser>
        <c:ser>
          <c:idx val="27"/>
          <c:order val="27"/>
          <c:tx>
            <c:v>t=16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8-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c:v>
              </c:pt>
              <c:pt idx="1">
                <c:v>15.282549857324684</c:v>
              </c:pt>
            </c:numLit>
          </c:xVal>
          <c:yVal>
            <c:numLit>
              <c:formatCode>General</c:formatCode>
              <c:ptCount val="2"/>
              <c:pt idx="0">
                <c:v>0</c:v>
              </c:pt>
              <c:pt idx="1">
                <c:v>1.14129481899331E-2</c:v>
              </c:pt>
            </c:numLit>
          </c:yVal>
          <c:smooth val="0"/>
          <c:extLst>
            <c:ext xmlns:c16="http://schemas.microsoft.com/office/drawing/2014/chart" uri="{C3380CC4-5D6E-409C-BE32-E72D297353CC}">
              <c16:uniqueId val="{00000029-A7ED-49B8-9C70-AD70AAC1C9F8}"/>
            </c:ext>
          </c:extLst>
        </c:ser>
        <c:ser>
          <c:idx val="28"/>
          <c:order val="28"/>
          <c:tx>
            <c:v>t=17</c:v>
          </c:tx>
          <c:spPr>
            <a:ln w="3175">
              <a:solidFill>
                <a:srgbClr val="3366FF"/>
              </a:solidFill>
              <a:prstDash val="solid"/>
            </a:ln>
          </c:spPr>
          <c:marker>
            <c:symbol val="none"/>
          </c:marker>
          <c:xVal>
            <c:numLit>
              <c:formatCode>General</c:formatCode>
              <c:ptCount val="2"/>
              <c:pt idx="0">
                <c:v>17</c:v>
              </c:pt>
              <c:pt idx="1">
                <c:v>16.256975655314989</c:v>
              </c:pt>
            </c:numLit>
          </c:xVal>
          <c:yVal>
            <c:numLit>
              <c:formatCode>General</c:formatCode>
              <c:ptCount val="2"/>
              <c:pt idx="0">
                <c:v>0</c:v>
              </c:pt>
              <c:pt idx="1">
                <c:v>1.2177948692621701E-2</c:v>
              </c:pt>
            </c:numLit>
          </c:yVal>
          <c:smooth val="0"/>
          <c:extLst>
            <c:ext xmlns:c16="http://schemas.microsoft.com/office/drawing/2014/chart" uri="{C3380CC4-5D6E-409C-BE32-E72D297353CC}">
              <c16:uniqueId val="{0000002A-A7ED-49B8-9C70-AD70AAC1C9F8}"/>
            </c:ext>
          </c:extLst>
        </c:ser>
        <c:ser>
          <c:idx val="29"/>
          <c:order val="29"/>
          <c:tx>
            <c:v>t=18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B-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c:v>
              </c:pt>
              <c:pt idx="1">
                <c:v>17.231522100796575</c:v>
              </c:pt>
            </c:numLit>
          </c:xVal>
          <c:yVal>
            <c:numLit>
              <c:formatCode>General</c:formatCode>
              <c:ptCount val="2"/>
              <c:pt idx="0">
                <c:v>0</c:v>
              </c:pt>
              <c:pt idx="1">
                <c:v>1.29887225571009E-2</c:v>
              </c:pt>
            </c:numLit>
          </c:yVal>
          <c:smooth val="0"/>
          <c:extLst>
            <c:ext xmlns:c16="http://schemas.microsoft.com/office/drawing/2014/chart" uri="{C3380CC4-5D6E-409C-BE32-E72D297353CC}">
              <c16:uniqueId val="{0000002C-A7ED-49B8-9C70-AD70AAC1C9F8}"/>
            </c:ext>
          </c:extLst>
        </c:ser>
        <c:ser>
          <c:idx val="30"/>
          <c:order val="30"/>
          <c:tx>
            <c:v>t=19</c:v>
          </c:tx>
          <c:spPr>
            <a:ln w="3175">
              <a:solidFill>
                <a:srgbClr val="3366FF"/>
              </a:solidFill>
              <a:prstDash val="solid"/>
            </a:ln>
          </c:spPr>
          <c:marker>
            <c:symbol val="none"/>
          </c:marker>
          <c:xVal>
            <c:numLit>
              <c:formatCode>General</c:formatCode>
              <c:ptCount val="2"/>
              <c:pt idx="0">
                <c:v>19</c:v>
              </c:pt>
              <c:pt idx="1">
                <c:v>18.206302013385109</c:v>
              </c:pt>
            </c:numLit>
          </c:xVal>
          <c:yVal>
            <c:numLit>
              <c:formatCode>General</c:formatCode>
              <c:ptCount val="2"/>
              <c:pt idx="0">
                <c:v>0</c:v>
              </c:pt>
              <c:pt idx="1">
                <c:v>1.38477310880087E-2</c:v>
              </c:pt>
            </c:numLit>
          </c:yVal>
          <c:smooth val="0"/>
          <c:extLst>
            <c:ext xmlns:c16="http://schemas.microsoft.com/office/drawing/2014/chart" uri="{C3380CC4-5D6E-409C-BE32-E72D297353CC}">
              <c16:uniqueId val="{0000002D-A7ED-49B8-9C70-AD70AAC1C9F8}"/>
            </c:ext>
          </c:extLst>
        </c:ser>
        <c:ser>
          <c:idx val="31"/>
          <c:order val="31"/>
          <c:tx>
            <c:v>t=20</c:v>
          </c:tx>
          <c:spPr>
            <a:ln w="3175">
              <a:solidFill>
                <a:srgbClr val="3366FF"/>
              </a:solidFill>
              <a:prstDash val="solid"/>
            </a:ln>
          </c:spPr>
          <c:marker>
            <c:symbol val="none"/>
          </c:marker>
          <c:dLbls>
            <c:dLbl>
              <c:idx val="0"/>
              <c:layout>
                <c:manualLayout>
                  <c:x val="-1.5625000000000062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E-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c:v>
              </c:pt>
              <c:pt idx="1">
                <c:v>19.181439441292415</c:v>
              </c:pt>
            </c:numLit>
          </c:xVal>
          <c:yVal>
            <c:numLit>
              <c:formatCode>General</c:formatCode>
              <c:ptCount val="2"/>
              <c:pt idx="0">
                <c:v>0</c:v>
              </c:pt>
              <c:pt idx="1">
                <c:v>1.4757561327237099E-2</c:v>
              </c:pt>
            </c:numLit>
          </c:yVal>
          <c:smooth val="0"/>
          <c:extLst>
            <c:ext xmlns:c16="http://schemas.microsoft.com/office/drawing/2014/chart" uri="{C3380CC4-5D6E-409C-BE32-E72D297353CC}">
              <c16:uniqueId val="{0000002F-A7ED-49B8-9C70-AD70AAC1C9F8}"/>
            </c:ext>
          </c:extLst>
        </c:ser>
        <c:ser>
          <c:idx val="32"/>
          <c:order val="32"/>
          <c:tx>
            <c:v>t=21</c:v>
          </c:tx>
          <c:spPr>
            <a:ln w="3175">
              <a:solidFill>
                <a:srgbClr val="3366FF"/>
              </a:solidFill>
              <a:prstDash val="solid"/>
            </a:ln>
          </c:spPr>
          <c:marker>
            <c:symbol val="none"/>
          </c:marker>
          <c:xVal>
            <c:numLit>
              <c:formatCode>General</c:formatCode>
              <c:ptCount val="2"/>
              <c:pt idx="0">
                <c:v>21</c:v>
              </c:pt>
              <c:pt idx="1">
                <c:v>20.157070440615996</c:v>
              </c:pt>
            </c:numLit>
          </c:xVal>
          <c:yVal>
            <c:numLit>
              <c:formatCode>General</c:formatCode>
              <c:ptCount val="2"/>
              <c:pt idx="0">
                <c:v>0</c:v>
              </c:pt>
              <c:pt idx="1">
                <c:v>1.5720933198744999E-2</c:v>
              </c:pt>
            </c:numLit>
          </c:yVal>
          <c:smooth val="0"/>
          <c:extLst>
            <c:ext xmlns:c16="http://schemas.microsoft.com/office/drawing/2014/chart" uri="{C3380CC4-5D6E-409C-BE32-E72D297353CC}">
              <c16:uniqueId val="{00000030-A7ED-49B8-9C70-AD70AAC1C9F8}"/>
            </c:ext>
          </c:extLst>
        </c:ser>
        <c:ser>
          <c:idx val="33"/>
          <c:order val="33"/>
          <c:tx>
            <c:v>t=22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1-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22</c:v>
              </c:pt>
              <c:pt idx="1">
                <c:v>21.133343906124988</c:v>
              </c:pt>
            </c:numLit>
          </c:xVal>
          <c:yVal>
            <c:numLit>
              <c:formatCode>General</c:formatCode>
              <c:ptCount val="2"/>
              <c:pt idx="0">
                <c:v>0</c:v>
              </c:pt>
              <c:pt idx="1">
                <c:v>1.6740707189674801E-2</c:v>
              </c:pt>
            </c:numLit>
          </c:yVal>
          <c:smooth val="0"/>
          <c:extLst>
            <c:ext xmlns:c16="http://schemas.microsoft.com/office/drawing/2014/chart" uri="{C3380CC4-5D6E-409C-BE32-E72D297353CC}">
              <c16:uniqueId val="{00000032-A7ED-49B8-9C70-AD70AAC1C9F8}"/>
            </c:ext>
          </c:extLst>
        </c:ser>
        <c:ser>
          <c:idx val="34"/>
          <c:order val="34"/>
          <c:tx>
            <c:v>t=23</c:v>
          </c:tx>
          <c:spPr>
            <a:ln w="3175">
              <a:solidFill>
                <a:srgbClr val="3366FF"/>
              </a:solidFill>
              <a:prstDash val="solid"/>
            </a:ln>
          </c:spPr>
          <c:marker>
            <c:symbol val="none"/>
          </c:marker>
          <c:xVal>
            <c:numLit>
              <c:formatCode>General</c:formatCode>
              <c:ptCount val="2"/>
              <c:pt idx="0">
                <c:v>23</c:v>
              </c:pt>
              <c:pt idx="1">
                <c:v>22.110422457943038</c:v>
              </c:pt>
            </c:numLit>
          </c:xVal>
          <c:yVal>
            <c:numLit>
              <c:formatCode>General</c:formatCode>
              <c:ptCount val="2"/>
              <c:pt idx="0">
                <c:v>0</c:v>
              </c:pt>
              <c:pt idx="1">
                <c:v>1.7819892618663902E-2</c:v>
              </c:pt>
            </c:numLit>
          </c:yVal>
          <c:smooth val="0"/>
          <c:extLst>
            <c:ext xmlns:c16="http://schemas.microsoft.com/office/drawing/2014/chart" uri="{C3380CC4-5D6E-409C-BE32-E72D297353CC}">
              <c16:uniqueId val="{00000033-A7ED-49B8-9C70-AD70AAC1C9F8}"/>
            </c:ext>
          </c:extLst>
        </c:ser>
        <c:ser>
          <c:idx val="35"/>
          <c:order val="35"/>
          <c:tx>
            <c:v>t=24</c:v>
          </c:tx>
          <c:spPr>
            <a:ln w="3175">
              <a:solidFill>
                <a:srgbClr val="3366FF"/>
              </a:solidFill>
              <a:prstDash val="solid"/>
            </a:ln>
          </c:spPr>
          <c:marker>
            <c:symbol val="none"/>
          </c:marker>
          <c:dLbls>
            <c:dLbl>
              <c:idx val="0"/>
              <c:layout>
                <c:manualLayout>
                  <c:x val="-1.5625000000000062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4-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c:v>
              </c:pt>
              <c:pt idx="1">
                <c:v>23.088483389020521</c:v>
              </c:pt>
            </c:numLit>
          </c:xVal>
          <c:yVal>
            <c:numLit>
              <c:formatCode>General</c:formatCode>
              <c:ptCount val="2"/>
              <c:pt idx="0">
                <c:v>0</c:v>
              </c:pt>
              <c:pt idx="1">
                <c:v>1.8961656547670701E-2</c:v>
              </c:pt>
            </c:numLit>
          </c:yVal>
          <c:smooth val="0"/>
          <c:extLst>
            <c:ext xmlns:c16="http://schemas.microsoft.com/office/drawing/2014/chart" uri="{C3380CC4-5D6E-409C-BE32-E72D297353CC}">
              <c16:uniqueId val="{00000035-A7ED-49B8-9C70-AD70AAC1C9F8}"/>
            </c:ext>
          </c:extLst>
        </c:ser>
        <c:ser>
          <c:idx val="36"/>
          <c:order val="36"/>
          <c:tx>
            <c:v>t=25</c:v>
          </c:tx>
          <c:spPr>
            <a:ln w="3175">
              <a:solidFill>
                <a:srgbClr val="3366FF"/>
              </a:solidFill>
              <a:prstDash val="solid"/>
            </a:ln>
          </c:spPr>
          <c:marker>
            <c:symbol val="none"/>
          </c:marker>
          <c:xVal>
            <c:numLit>
              <c:formatCode>General</c:formatCode>
              <c:ptCount val="2"/>
              <c:pt idx="0">
                <c:v>25</c:v>
              </c:pt>
              <c:pt idx="1">
                <c:v>24.067719678840422</c:v>
              </c:pt>
            </c:numLit>
          </c:xVal>
          <c:yVal>
            <c:numLit>
              <c:formatCode>General</c:formatCode>
              <c:ptCount val="2"/>
              <c:pt idx="0">
                <c:v>0</c:v>
              </c:pt>
              <c:pt idx="1">
                <c:v>2.0169333399710401E-2</c:v>
              </c:pt>
            </c:numLit>
          </c:yVal>
          <c:smooth val="0"/>
          <c:extLst>
            <c:ext xmlns:c16="http://schemas.microsoft.com/office/drawing/2014/chart" uri="{C3380CC4-5D6E-409C-BE32-E72D297353CC}">
              <c16:uniqueId val="{00000036-A7ED-49B8-9C70-AD70AAC1C9F8}"/>
            </c:ext>
          </c:extLst>
        </c:ser>
        <c:ser>
          <c:idx val="37"/>
          <c:order val="37"/>
          <c:tx>
            <c:v>t=26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7-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c:v>
              </c:pt>
              <c:pt idx="1">
                <c:v>25.048321472690549</c:v>
              </c:pt>
            </c:numLit>
          </c:xVal>
          <c:yVal>
            <c:numLit>
              <c:formatCode>General</c:formatCode>
              <c:ptCount val="2"/>
              <c:pt idx="0">
                <c:v>0</c:v>
              </c:pt>
              <c:pt idx="1">
                <c:v>2.14468772059432E-2</c:v>
              </c:pt>
            </c:numLit>
          </c:yVal>
          <c:smooth val="0"/>
          <c:extLst>
            <c:ext xmlns:c16="http://schemas.microsoft.com/office/drawing/2014/chart" uri="{C3380CC4-5D6E-409C-BE32-E72D297353CC}">
              <c16:uniqueId val="{00000038-A7ED-49B8-9C70-AD70AAC1C9F8}"/>
            </c:ext>
          </c:extLst>
        </c:ser>
        <c:ser>
          <c:idx val="38"/>
          <c:order val="38"/>
          <c:tx>
            <c:v>t=27</c:v>
          </c:tx>
          <c:spPr>
            <a:ln w="3175">
              <a:solidFill>
                <a:srgbClr val="3366FF"/>
              </a:solidFill>
              <a:prstDash val="solid"/>
            </a:ln>
          </c:spPr>
          <c:marker>
            <c:symbol val="none"/>
          </c:marker>
          <c:xVal>
            <c:numLit>
              <c:formatCode>General</c:formatCode>
              <c:ptCount val="2"/>
              <c:pt idx="0">
                <c:v>27</c:v>
              </c:pt>
              <c:pt idx="1">
                <c:v>26.030535251824297</c:v>
              </c:pt>
            </c:numLit>
          </c:xVal>
          <c:yVal>
            <c:numLit>
              <c:formatCode>General</c:formatCode>
              <c:ptCount val="2"/>
              <c:pt idx="0">
                <c:v>0</c:v>
              </c:pt>
              <c:pt idx="1">
                <c:v>2.2797604877624101E-2</c:v>
              </c:pt>
            </c:numLit>
          </c:yVal>
          <c:smooth val="0"/>
          <c:extLst>
            <c:ext xmlns:c16="http://schemas.microsoft.com/office/drawing/2014/chart" uri="{C3380CC4-5D6E-409C-BE32-E72D297353CC}">
              <c16:uniqueId val="{00000039-A7ED-49B8-9C70-AD70AAC1C9F8}"/>
            </c:ext>
          </c:extLst>
        </c:ser>
        <c:ser>
          <c:idx val="39"/>
          <c:order val="39"/>
          <c:tx>
            <c:v>t=28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A-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c:v>
              </c:pt>
              <c:pt idx="1">
                <c:v>27.014607998719534</c:v>
              </c:pt>
            </c:numLit>
          </c:xVal>
          <c:yVal>
            <c:numLit>
              <c:formatCode>General</c:formatCode>
              <c:ptCount val="2"/>
              <c:pt idx="0">
                <c:v>0</c:v>
              </c:pt>
              <c:pt idx="1">
                <c:v>2.42254240784005E-2</c:v>
              </c:pt>
            </c:numLit>
          </c:yVal>
          <c:smooth val="0"/>
          <c:extLst>
            <c:ext xmlns:c16="http://schemas.microsoft.com/office/drawing/2014/chart" uri="{C3380CC4-5D6E-409C-BE32-E72D297353CC}">
              <c16:uniqueId val="{0000003B-A7ED-49B8-9C70-AD70AAC1C9F8}"/>
            </c:ext>
          </c:extLst>
        </c:ser>
        <c:ser>
          <c:idx val="40"/>
          <c:order val="40"/>
          <c:tx>
            <c:v>t=29</c:v>
          </c:tx>
          <c:spPr>
            <a:ln w="3175">
              <a:solidFill>
                <a:srgbClr val="3366FF"/>
              </a:solidFill>
              <a:prstDash val="solid"/>
            </a:ln>
          </c:spPr>
          <c:marker>
            <c:symbol val="none"/>
          </c:marker>
          <c:xVal>
            <c:numLit>
              <c:formatCode>General</c:formatCode>
              <c:ptCount val="2"/>
              <c:pt idx="0">
                <c:v>29</c:v>
              </c:pt>
              <c:pt idx="1">
                <c:v>28.000807254075738</c:v>
              </c:pt>
            </c:numLit>
          </c:xVal>
          <c:yVal>
            <c:numLit>
              <c:formatCode>General</c:formatCode>
              <c:ptCount val="2"/>
              <c:pt idx="0">
                <c:v>0</c:v>
              </c:pt>
              <c:pt idx="1">
                <c:v>2.5734457306702801E-2</c:v>
              </c:pt>
            </c:numLit>
          </c:yVal>
          <c:smooth val="0"/>
          <c:extLst>
            <c:ext xmlns:c16="http://schemas.microsoft.com/office/drawing/2014/chart" uri="{C3380CC4-5D6E-409C-BE32-E72D297353CC}">
              <c16:uniqueId val="{0000003C-A7ED-49B8-9C70-AD70AAC1C9F8}"/>
            </c:ext>
          </c:extLst>
        </c:ser>
        <c:ser>
          <c:idx val="41"/>
          <c:order val="41"/>
          <c:tx>
            <c:v>t=30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D-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c:v>
              </c:pt>
              <c:pt idx="1">
                <c:v>28.989422570672435</c:v>
              </c:pt>
            </c:numLit>
          </c:xVal>
          <c:yVal>
            <c:numLit>
              <c:formatCode>General</c:formatCode>
              <c:ptCount val="2"/>
              <c:pt idx="0">
                <c:v>0</c:v>
              </c:pt>
              <c:pt idx="1">
                <c:v>2.73290562877294E-2</c:v>
              </c:pt>
            </c:numLit>
          </c:yVal>
          <c:smooth val="0"/>
          <c:extLst>
            <c:ext xmlns:c16="http://schemas.microsoft.com/office/drawing/2014/chart" uri="{C3380CC4-5D6E-409C-BE32-E72D297353CC}">
              <c16:uniqueId val="{0000003E-A7ED-49B8-9C70-AD70AAC1C9F8}"/>
            </c:ext>
          </c:extLst>
        </c:ser>
        <c:ser>
          <c:idx val="42"/>
          <c:order val="42"/>
          <c:tx>
            <c:v>t=31</c:v>
          </c:tx>
          <c:spPr>
            <a:ln w="3175">
              <a:solidFill>
                <a:srgbClr val="3366FF"/>
              </a:solidFill>
              <a:prstDash val="solid"/>
            </a:ln>
          </c:spPr>
          <c:marker>
            <c:symbol val="none"/>
          </c:marker>
          <c:xVal>
            <c:numLit>
              <c:formatCode>General</c:formatCode>
              <c:ptCount val="2"/>
              <c:pt idx="0">
                <c:v>31</c:v>
              </c:pt>
              <c:pt idx="1">
                <c:v>29.98076708258969</c:v>
              </c:pt>
            </c:numLit>
          </c:xVal>
          <c:yVal>
            <c:numLit>
              <c:formatCode>General</c:formatCode>
              <c:ptCount val="2"/>
              <c:pt idx="0">
                <c:v>0</c:v>
              </c:pt>
              <c:pt idx="1">
                <c:v>2.9013817626337601E-2</c:v>
              </c:pt>
            </c:numLit>
          </c:yVal>
          <c:smooth val="0"/>
          <c:extLst>
            <c:ext xmlns:c16="http://schemas.microsoft.com/office/drawing/2014/chart" uri="{C3380CC4-5D6E-409C-BE32-E72D297353CC}">
              <c16:uniqueId val="{0000003F-A7ED-49B8-9C70-AD70AAC1C9F8}"/>
            </c:ext>
          </c:extLst>
        </c:ser>
        <c:ser>
          <c:idx val="43"/>
          <c:order val="43"/>
          <c:tx>
            <c:v>t=32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0-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c:v>
              </c:pt>
              <c:pt idx="1">
                <c:v>30.975179201690683</c:v>
              </c:pt>
            </c:numLit>
          </c:xVal>
          <c:yVal>
            <c:numLit>
              <c:formatCode>General</c:formatCode>
              <c:ptCount val="2"/>
              <c:pt idx="0">
                <c:v>0</c:v>
              </c:pt>
              <c:pt idx="1">
                <c:v>3.0793599853619201E-2</c:v>
              </c:pt>
            </c:numLit>
          </c:yVal>
          <c:smooth val="0"/>
          <c:extLst>
            <c:ext xmlns:c16="http://schemas.microsoft.com/office/drawing/2014/chart" uri="{C3380CC4-5D6E-409C-BE32-E72D297353CC}">
              <c16:uniqueId val="{00000041-A7ED-49B8-9C70-AD70AAC1C9F8}"/>
            </c:ext>
          </c:extLst>
        </c:ser>
        <c:ser>
          <c:idx val="44"/>
          <c:order val="44"/>
          <c:tx>
            <c:v>t=33</c:v>
          </c:tx>
          <c:spPr>
            <a:ln w="3175">
              <a:solidFill>
                <a:srgbClr val="3366FF"/>
              </a:solidFill>
              <a:prstDash val="solid"/>
            </a:ln>
          </c:spPr>
          <c:marker>
            <c:symbol val="none"/>
          </c:marker>
          <c:xVal>
            <c:numLit>
              <c:formatCode>General</c:formatCode>
              <c:ptCount val="2"/>
              <c:pt idx="0">
                <c:v>33</c:v>
              </c:pt>
              <c:pt idx="1">
                <c:v>31.973024454731338</c:v>
              </c:pt>
            </c:numLit>
          </c:xVal>
          <c:yVal>
            <c:numLit>
              <c:formatCode>General</c:formatCode>
              <c:ptCount val="2"/>
              <c:pt idx="0">
                <c:v>0</c:v>
              </c:pt>
              <c:pt idx="1">
                <c:v>3.2673542015821698E-2</c:v>
              </c:pt>
            </c:numLit>
          </c:yVal>
          <c:smooth val="0"/>
          <c:extLst>
            <c:ext xmlns:c16="http://schemas.microsoft.com/office/drawing/2014/chart" uri="{C3380CC4-5D6E-409C-BE32-E72D297353CC}">
              <c16:uniqueId val="{00000042-A7ED-49B8-9C70-AD70AAC1C9F8}"/>
            </c:ext>
          </c:extLst>
        </c:ser>
        <c:ser>
          <c:idx val="45"/>
          <c:order val="45"/>
          <c:tx>
            <c:v>t=34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3-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34</c:v>
              </c:pt>
              <c:pt idx="1">
                <c:v>32.994194831013921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4-A7ED-49B8-9C70-AD70AAC1C9F8}"/>
            </c:ext>
          </c:extLst>
        </c:ser>
        <c:ser>
          <c:idx val="46"/>
          <c:order val="46"/>
          <c:tx>
            <c:v>t=35</c:v>
          </c:tx>
          <c:spPr>
            <a:ln w="3175">
              <a:solidFill>
                <a:srgbClr val="3366FF"/>
              </a:solidFill>
              <a:prstDash val="solid"/>
            </a:ln>
          </c:spPr>
          <c:marker>
            <c:symbol val="none"/>
          </c:marker>
          <c:xVal>
            <c:numLit>
              <c:formatCode>General</c:formatCode>
              <c:ptCount val="2"/>
              <c:pt idx="0">
                <c:v>35</c:v>
              </c:pt>
              <c:pt idx="1">
                <c:v>34.05705765407555</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5-A7ED-49B8-9C70-AD70AAC1C9F8}"/>
            </c:ext>
          </c:extLst>
        </c:ser>
        <c:ser>
          <c:idx val="47"/>
          <c:order val="47"/>
          <c:tx>
            <c:v>t=36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6-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36</c:v>
              </c:pt>
              <c:pt idx="1">
                <c:v>35.119920477137178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7-A7ED-49B8-9C70-AD70AAC1C9F8}"/>
            </c:ext>
          </c:extLst>
        </c:ser>
        <c:ser>
          <c:idx val="48"/>
          <c:order val="48"/>
          <c:tx>
            <c:v>t=37</c:v>
          </c:tx>
          <c:spPr>
            <a:ln w="3175">
              <a:solidFill>
                <a:srgbClr val="3366FF"/>
              </a:solidFill>
              <a:prstDash val="solid"/>
            </a:ln>
          </c:spPr>
          <c:marker>
            <c:symbol val="none"/>
          </c:marker>
          <c:xVal>
            <c:numLit>
              <c:formatCode>General</c:formatCode>
              <c:ptCount val="2"/>
              <c:pt idx="0">
                <c:v>37</c:v>
              </c:pt>
              <c:pt idx="1">
                <c:v>36.182783300198807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8-A7ED-49B8-9C70-AD70AAC1C9F8}"/>
            </c:ext>
          </c:extLst>
        </c:ser>
        <c:ser>
          <c:idx val="49"/>
          <c:order val="49"/>
          <c:tx>
            <c:v>t=38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9-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38</c:v>
              </c:pt>
              <c:pt idx="1">
                <c:v>37.245646123260443</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A-A7ED-49B8-9C70-AD70AAC1C9F8}"/>
            </c:ext>
          </c:extLst>
        </c:ser>
        <c:ser>
          <c:idx val="50"/>
          <c:order val="50"/>
          <c:tx>
            <c:v>t=39</c:v>
          </c:tx>
          <c:spPr>
            <a:ln w="3175">
              <a:solidFill>
                <a:srgbClr val="3366FF"/>
              </a:solidFill>
              <a:prstDash val="solid"/>
            </a:ln>
          </c:spPr>
          <c:marker>
            <c:symbol val="none"/>
          </c:marker>
          <c:xVal>
            <c:numLit>
              <c:formatCode>General</c:formatCode>
              <c:ptCount val="2"/>
              <c:pt idx="0">
                <c:v>39</c:v>
              </c:pt>
              <c:pt idx="1">
                <c:v>38.308508946322071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B-A7ED-49B8-9C70-AD70AAC1C9F8}"/>
            </c:ext>
          </c:extLst>
        </c:ser>
        <c:ser>
          <c:idx val="51"/>
          <c:order val="51"/>
          <c:tx>
            <c:v>t=40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C-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40</c:v>
              </c:pt>
              <c:pt idx="1">
                <c:v>39.3713717693837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D-A7ED-49B8-9C70-AD70AAC1C9F8}"/>
            </c:ext>
          </c:extLst>
        </c:ser>
        <c:ser>
          <c:idx val="52"/>
          <c:order val="52"/>
          <c:tx>
            <c:v>t=41</c:v>
          </c:tx>
          <c:spPr>
            <a:ln w="3175">
              <a:solidFill>
                <a:srgbClr val="3366FF"/>
              </a:solidFill>
              <a:prstDash val="solid"/>
            </a:ln>
          </c:spPr>
          <c:marker>
            <c:symbol val="none"/>
          </c:marker>
          <c:xVal>
            <c:numLit>
              <c:formatCode>General</c:formatCode>
              <c:ptCount val="2"/>
              <c:pt idx="0">
                <c:v>41</c:v>
              </c:pt>
              <c:pt idx="1">
                <c:v>40.434234592445328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E-A7ED-49B8-9C70-AD70AAC1C9F8}"/>
            </c:ext>
          </c:extLst>
        </c:ser>
        <c:ser>
          <c:idx val="53"/>
          <c:order val="53"/>
          <c:tx>
            <c:v>t=42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F-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42</c:v>
              </c:pt>
              <c:pt idx="1">
                <c:v>41.497097415506957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0-A7ED-49B8-9C70-AD70AAC1C9F8}"/>
            </c:ext>
          </c:extLst>
        </c:ser>
        <c:ser>
          <c:idx val="54"/>
          <c:order val="54"/>
          <c:tx>
            <c:v>t=43</c:v>
          </c:tx>
          <c:spPr>
            <a:ln w="3175">
              <a:solidFill>
                <a:srgbClr val="3366FF"/>
              </a:solidFill>
              <a:prstDash val="solid"/>
            </a:ln>
          </c:spPr>
          <c:marker>
            <c:symbol val="none"/>
          </c:marker>
          <c:xVal>
            <c:numLit>
              <c:formatCode>General</c:formatCode>
              <c:ptCount val="2"/>
              <c:pt idx="0">
                <c:v>43</c:v>
              </c:pt>
              <c:pt idx="1">
                <c:v>42.559960238568586</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1-A7ED-49B8-9C70-AD70AAC1C9F8}"/>
            </c:ext>
          </c:extLst>
        </c:ser>
        <c:ser>
          <c:idx val="55"/>
          <c:order val="55"/>
          <c:tx>
            <c:v>t=44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2-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44</c:v>
              </c:pt>
              <c:pt idx="1">
                <c:v>43.622823061630221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3-A7ED-49B8-9C70-AD70AAC1C9F8}"/>
            </c:ext>
          </c:extLst>
        </c:ser>
        <c:ser>
          <c:idx val="56"/>
          <c:order val="56"/>
          <c:tx>
            <c:v>t=45</c:v>
          </c:tx>
          <c:spPr>
            <a:ln w="3175">
              <a:solidFill>
                <a:srgbClr val="3366FF"/>
              </a:solidFill>
              <a:prstDash val="solid"/>
            </a:ln>
          </c:spPr>
          <c:marker>
            <c:symbol val="none"/>
          </c:marker>
          <c:xVal>
            <c:numLit>
              <c:formatCode>General</c:formatCode>
              <c:ptCount val="2"/>
              <c:pt idx="0">
                <c:v>45</c:v>
              </c:pt>
              <c:pt idx="1">
                <c:v>44.68568588469185</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4-A7ED-49B8-9C70-AD70AAC1C9F8}"/>
            </c:ext>
          </c:extLst>
        </c:ser>
        <c:ser>
          <c:idx val="57"/>
          <c:order val="57"/>
          <c:tx>
            <c:v>t=46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5-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46</c:v>
              </c:pt>
              <c:pt idx="1">
                <c:v>45.748548707753478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6-A7ED-49B8-9C70-AD70AAC1C9F8}"/>
            </c:ext>
          </c:extLst>
        </c:ser>
        <c:ser>
          <c:idx val="58"/>
          <c:order val="58"/>
          <c:tx>
            <c:v>t=47</c:v>
          </c:tx>
          <c:spPr>
            <a:ln w="3175">
              <a:solidFill>
                <a:srgbClr val="3366FF"/>
              </a:solidFill>
              <a:prstDash val="solid"/>
            </a:ln>
          </c:spPr>
          <c:marker>
            <c:symbol val="none"/>
          </c:marker>
          <c:xVal>
            <c:numLit>
              <c:formatCode>General</c:formatCode>
              <c:ptCount val="2"/>
              <c:pt idx="0">
                <c:v>47</c:v>
              </c:pt>
              <c:pt idx="1">
                <c:v>46.811411530815114</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7-A7ED-49B8-9C70-AD70AAC1C9F8}"/>
            </c:ext>
          </c:extLst>
        </c:ser>
        <c:ser>
          <c:idx val="59"/>
          <c:order val="59"/>
          <c:tx>
            <c:v>t=48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8-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48</c:v>
              </c:pt>
              <c:pt idx="1">
                <c:v>47.874274353876743</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9-A7ED-49B8-9C70-AD70AAC1C9F8}"/>
            </c:ext>
          </c:extLst>
        </c:ser>
        <c:ser>
          <c:idx val="60"/>
          <c:order val="60"/>
          <c:tx>
            <c:v>t=49</c:v>
          </c:tx>
          <c:spPr>
            <a:ln w="3175">
              <a:solidFill>
                <a:srgbClr val="3366FF"/>
              </a:solidFill>
              <a:prstDash val="solid"/>
            </a:ln>
          </c:spPr>
          <c:marker>
            <c:symbol val="none"/>
          </c:marker>
          <c:xVal>
            <c:numLit>
              <c:formatCode>General</c:formatCode>
              <c:ptCount val="2"/>
              <c:pt idx="0">
                <c:v>49</c:v>
              </c:pt>
              <c:pt idx="1">
                <c:v>48.937137176938371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A-A7ED-49B8-9C70-AD70AAC1C9F8}"/>
            </c:ext>
          </c:extLst>
        </c:ser>
        <c:ser>
          <c:idx val="61"/>
          <c:order val="61"/>
          <c:tx>
            <c:v>t=50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50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B-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50</c:v>
              </c:pt>
              <c:pt idx="1">
                <c:v>50.000000000000007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C-A7ED-49B8-9C70-AD70AAC1C9F8}"/>
            </c:ext>
          </c:extLst>
        </c:ser>
        <c:ser>
          <c:idx val="62"/>
          <c:order val="62"/>
          <c:tx>
            <c:v/>
          </c:tx>
          <c:spPr>
            <a:ln w="3175">
              <a:solidFill>
                <a:srgbClr val="000000"/>
              </a:solidFill>
              <a:prstDash val="solid"/>
            </a:ln>
          </c:spPr>
          <c:marker>
            <c:symbol val="none"/>
          </c:marker>
          <c:xVal>
            <c:numLit>
              <c:formatCode>General</c:formatCode>
              <c:ptCount val="2"/>
              <c:pt idx="0">
                <c:v>-10.178000000000001</c:v>
              </c:pt>
              <c:pt idx="1">
                <c:v>-10.178000000000001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D-A7ED-49B8-9C70-AD70AAC1C9F8}"/>
            </c:ext>
          </c:extLst>
        </c:ser>
        <c:ser>
          <c:idx val="63"/>
          <c:order val="63"/>
          <c:tx>
            <c:v/>
          </c:tx>
          <c:spPr>
            <a:ln w="3175">
              <a:solidFill>
                <a:srgbClr val="000000"/>
              </a:solidFill>
              <a:prstDash val="solid"/>
            </a:ln>
          </c:spPr>
          <c:marker>
            <c:symbol val="none"/>
          </c:marker>
          <c:xVal>
            <c:numLit>
              <c:formatCode>General</c:formatCode>
              <c:ptCount val="2"/>
              <c:pt idx="0">
                <c:v>50.8</c:v>
              </c:pt>
              <c:pt idx="1">
                <c:v>50.8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E-A7ED-49B8-9C70-AD70AAC1C9F8}"/>
            </c:ext>
          </c:extLst>
        </c:ser>
        <c:ser>
          <c:idx val="64"/>
          <c:order val="64"/>
          <c:tx>
            <c:v>乾球温度座標軸ラベル</c:v>
          </c:tx>
          <c:spPr>
            <a:ln w="3175">
              <a:solidFill>
                <a:srgbClr val="000000"/>
              </a:solidFill>
              <a:prstDash val="solid"/>
            </a:ln>
          </c:spPr>
          <c:marker>
            <c:symbol val="none"/>
          </c:marker>
          <c:dLbls>
            <c:dLbl>
              <c:idx val="0"/>
              <c:layout>
                <c:manualLayout>
                  <c:x val="-5.8711040026246782E-2"/>
                  <c:y val="2.6068376068376069E-2"/>
                </c:manualLayout>
              </c:layout>
              <c:tx>
                <c:rich>
                  <a:bodyPr rot="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乾球温度 </a:t>
                    </a:r>
                    <a:r>
                      <a:rPr lang="en-US"/>
                      <a:t>t[℃]</a:t>
                    </a:r>
                  </a:p>
                </c:rich>
              </c:tx>
              <c:spPr>
                <a:solidFill>
                  <a:srgbClr val="FFFFFF"/>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F-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22</c:v>
              </c:pt>
            </c:numLit>
          </c:xVal>
          <c:yVal>
            <c:numLit>
              <c:formatCode>General</c:formatCode>
              <c:ptCount val="1"/>
              <c:pt idx="0">
                <c:v>-3.3333333333333332E-4</c:v>
              </c:pt>
            </c:numLit>
          </c:yVal>
          <c:smooth val="0"/>
          <c:extLst>
            <c:ext xmlns:c16="http://schemas.microsoft.com/office/drawing/2014/chart" uri="{C3380CC4-5D6E-409C-BE32-E72D297353CC}">
              <c16:uniqueId val="{00000060-A7ED-49B8-9C70-AD70AAC1C9F8}"/>
            </c:ext>
          </c:extLst>
        </c:ser>
        <c:ser>
          <c:idx val="65"/>
          <c:order val="65"/>
          <c:tx>
            <c:v>v=0.74</c:v>
          </c:tx>
          <c:spPr>
            <a:ln w="3175">
              <a:solidFill>
                <a:srgbClr val="008000"/>
              </a:solidFill>
              <a:prstDash val="sysDash"/>
            </a:ln>
          </c:spPr>
          <c:marker>
            <c:symbol val="none"/>
          </c:marker>
          <c:dLbls>
            <c:dLbl>
              <c:idx val="0"/>
              <c:layout>
                <c:manualLayout>
                  <c:x val="5.208333333333333E-3"/>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1-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-10.87888259336189</c:v>
              </c:pt>
              <c:pt idx="1">
                <c:v>-12.628490335598311</c:v>
              </c:pt>
            </c:numLit>
          </c:xVal>
          <c:yVal>
            <c:numLit>
              <c:formatCode>General</c:formatCode>
              <c:ptCount val="2"/>
              <c:pt idx="0">
                <c:v>-2E-3</c:v>
              </c:pt>
              <c:pt idx="1">
                <c:v>1.2854115692238809E-3</c:v>
              </c:pt>
            </c:numLit>
          </c:yVal>
          <c:smooth val="0"/>
          <c:extLst>
            <c:ext xmlns:c16="http://schemas.microsoft.com/office/drawing/2014/chart" uri="{C3380CC4-5D6E-409C-BE32-E72D297353CC}">
              <c16:uniqueId val="{00000062-A7ED-49B8-9C70-AD70AAC1C9F8}"/>
            </c:ext>
          </c:extLst>
        </c:ser>
        <c:ser>
          <c:idx val="66"/>
          <c:order val="66"/>
          <c:tx>
            <c:v>v=0.75</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0.75</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3-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-7.3456505041290487</c:v>
              </c:pt>
              <c:pt idx="1">
                <c:v>-9.3394034382111641</c:v>
              </c:pt>
            </c:numLit>
          </c:xVal>
          <c:yVal>
            <c:numLit>
              <c:formatCode>General</c:formatCode>
              <c:ptCount val="2"/>
              <c:pt idx="0">
                <c:v>-2E-3</c:v>
              </c:pt>
              <c:pt idx="1">
                <c:v>1.731881391763524E-3</c:v>
              </c:pt>
            </c:numLit>
          </c:yVal>
          <c:smooth val="0"/>
          <c:extLst>
            <c:ext xmlns:c16="http://schemas.microsoft.com/office/drawing/2014/chart" uri="{C3380CC4-5D6E-409C-BE32-E72D297353CC}">
              <c16:uniqueId val="{00000064-A7ED-49B8-9C70-AD70AAC1C9F8}"/>
            </c:ext>
          </c:extLst>
        </c:ser>
        <c:ser>
          <c:idx val="67"/>
          <c:order val="67"/>
          <c:tx>
            <c:v>v=0.76</c:v>
          </c:tx>
          <c:spPr>
            <a:ln w="3175">
              <a:solidFill>
                <a:srgbClr val="008000"/>
              </a:solidFill>
              <a:prstDash val="sysDash"/>
            </a:ln>
          </c:spPr>
          <c:marker>
            <c:symbol val="none"/>
          </c:marker>
          <c:dLbls>
            <c:dLbl>
              <c:idx val="0"/>
              <c:layout>
                <c:manualLayout>
                  <c:x val="-2.0516595581802289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5-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-3.8136879415229381</c:v>
              </c:pt>
              <c:pt idx="1">
                <c:v>-6.11811823965781</c:v>
              </c:pt>
            </c:numLit>
          </c:xVal>
          <c:yVal>
            <c:numLit>
              <c:formatCode>General</c:formatCode>
              <c:ptCount val="2"/>
              <c:pt idx="0">
                <c:v>-2E-3</c:v>
              </c:pt>
              <c:pt idx="1">
                <c:v>2.3047366197127134E-3</c:v>
              </c:pt>
            </c:numLit>
          </c:yVal>
          <c:smooth val="0"/>
          <c:extLst>
            <c:ext xmlns:c16="http://schemas.microsoft.com/office/drawing/2014/chart" uri="{C3380CC4-5D6E-409C-BE32-E72D297353CC}">
              <c16:uniqueId val="{00000066-A7ED-49B8-9C70-AD70AAC1C9F8}"/>
            </c:ext>
          </c:extLst>
        </c:ser>
        <c:ser>
          <c:idx val="68"/>
          <c:order val="68"/>
          <c:tx>
            <c:v>v=0.77</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0.77</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7-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-0.29183335256660781</c:v>
              </c:pt>
              <c:pt idx="1">
                <c:v>-2.9651936709573241</c:v>
              </c:pt>
            </c:numLit>
          </c:xVal>
          <c:yVal>
            <c:numLit>
              <c:formatCode>General</c:formatCode>
              <c:ptCount val="2"/>
              <c:pt idx="0">
                <c:v>-2E-3</c:v>
              </c:pt>
              <c:pt idx="1">
                <c:v>3.0312988865860667E-3</c:v>
              </c:pt>
            </c:numLit>
          </c:yVal>
          <c:smooth val="0"/>
          <c:extLst>
            <c:ext xmlns:c16="http://schemas.microsoft.com/office/drawing/2014/chart" uri="{C3380CC4-5D6E-409C-BE32-E72D297353CC}">
              <c16:uniqueId val="{00000068-A7ED-49B8-9C70-AD70AAC1C9F8}"/>
            </c:ext>
          </c:extLst>
        </c:ser>
        <c:ser>
          <c:idx val="69"/>
          <c:order val="69"/>
          <c:tx>
            <c:v>v=0.78</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9-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3.2338045395703254</c:v>
              </c:pt>
              <c:pt idx="1">
                <c:v>0.10102325173063519</c:v>
              </c:pt>
            </c:numLit>
          </c:xVal>
          <c:yVal>
            <c:numLit>
              <c:formatCode>General</c:formatCode>
              <c:ptCount val="2"/>
              <c:pt idx="0">
                <c:v>-2E-3</c:v>
              </c:pt>
              <c:pt idx="1">
                <c:v>3.9191812932634108E-3</c:v>
              </c:pt>
            </c:numLit>
          </c:yVal>
          <c:smooth val="0"/>
          <c:extLst>
            <c:ext xmlns:c16="http://schemas.microsoft.com/office/drawing/2014/chart" uri="{C3380CC4-5D6E-409C-BE32-E72D297353CC}">
              <c16:uniqueId val="{0000006A-A7ED-49B8-9C70-AD70AAC1C9F8}"/>
            </c:ext>
          </c:extLst>
        </c:ser>
        <c:ser>
          <c:idx val="70"/>
          <c:order val="70"/>
          <c:tx>
            <c:v>v=0.79</c:v>
          </c:tx>
          <c:spPr>
            <a:ln w="3175">
              <a:solidFill>
                <a:srgbClr val="008000"/>
              </a:solidFill>
              <a:prstDash val="sysDash"/>
            </a:ln>
          </c:spPr>
          <c:marker>
            <c:symbol val="none"/>
          </c:marker>
          <c:dLbls>
            <c:dLbl>
              <c:idx val="0"/>
              <c:layout>
                <c:manualLayout>
                  <c:x val="-2.0516595581802244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0.79</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B-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6.7669107615188357</c:v>
              </c:pt>
              <c:pt idx="1">
                <c:v>3.1100301717749042</c:v>
              </c:pt>
            </c:numLit>
          </c:xVal>
          <c:yVal>
            <c:numLit>
              <c:formatCode>General</c:formatCode>
              <c:ptCount val="2"/>
              <c:pt idx="0">
                <c:v>-2E-3</c:v>
              </c:pt>
              <c:pt idx="1">
                <c:v>4.8879916421329331E-3</c:v>
              </c:pt>
            </c:numLit>
          </c:yVal>
          <c:smooth val="0"/>
          <c:extLst>
            <c:ext xmlns:c16="http://schemas.microsoft.com/office/drawing/2014/chart" uri="{C3380CC4-5D6E-409C-BE32-E72D297353CC}">
              <c16:uniqueId val="{0000006C-A7ED-49B8-9C70-AD70AAC1C9F8}"/>
            </c:ext>
          </c:extLst>
        </c:ser>
        <c:ser>
          <c:idx val="71"/>
          <c:order val="71"/>
          <c:tx>
            <c:v>v=0.80</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D-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10.291888512116756</c:v>
              </c:pt>
              <c:pt idx="1">
                <c:v>6.0448623724096775</c:v>
              </c:pt>
            </c:numLit>
          </c:xVal>
          <c:yVal>
            <c:numLit>
              <c:formatCode>General</c:formatCode>
              <c:ptCount val="2"/>
              <c:pt idx="0">
                <c:v>-2E-3</c:v>
              </c:pt>
              <c:pt idx="1">
                <c:v>6.0361546259299547E-3</c:v>
              </c:pt>
            </c:numLit>
          </c:yVal>
          <c:smooth val="0"/>
          <c:extLst>
            <c:ext xmlns:c16="http://schemas.microsoft.com/office/drawing/2014/chart" uri="{C3380CC4-5D6E-409C-BE32-E72D297353CC}">
              <c16:uniqueId val="{0000006E-A7ED-49B8-9C70-AD70AAC1C9F8}"/>
            </c:ext>
          </c:extLst>
        </c:ser>
        <c:ser>
          <c:idx val="72"/>
          <c:order val="72"/>
          <c:tx>
            <c:v>v=0.81</c:v>
          </c:tx>
          <c:spPr>
            <a:ln w="3175">
              <a:solidFill>
                <a:srgbClr val="008000"/>
              </a:solidFill>
              <a:prstDash val="sysDash"/>
            </a:ln>
          </c:spPr>
          <c:marker>
            <c:symbol val="none"/>
          </c:marker>
          <c:dLbls>
            <c:dLbl>
              <c:idx val="0"/>
              <c:layout>
                <c:manualLayout>
                  <c:x val="-2.0516595581802338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0.81</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F-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13.823112940844542</c:v>
              </c:pt>
              <c:pt idx="1">
                <c:v>8.867451378580812</c:v>
              </c:pt>
            </c:numLit>
          </c:xVal>
          <c:yVal>
            <c:numLit>
              <c:formatCode>General</c:formatCode>
              <c:ptCount val="2"/>
              <c:pt idx="0">
                <c:v>-2E-3</c:v>
              </c:pt>
              <c:pt idx="1">
                <c:v>7.3645038493948276E-3</c:v>
              </c:pt>
            </c:numLit>
          </c:yVal>
          <c:smooth val="0"/>
          <c:extLst>
            <c:ext xmlns:c16="http://schemas.microsoft.com/office/drawing/2014/chart" uri="{C3380CC4-5D6E-409C-BE32-E72D297353CC}">
              <c16:uniqueId val="{00000070-A7ED-49B8-9C70-AD70AAC1C9F8}"/>
            </c:ext>
          </c:extLst>
        </c:ser>
        <c:ser>
          <c:idx val="73"/>
          <c:order val="73"/>
          <c:tx>
            <c:v>v=0.82</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1-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17.353238150097972</c:v>
              </c:pt>
              <c:pt idx="1">
                <c:v>11.588895694540497</c:v>
              </c:pt>
            </c:numLit>
          </c:xVal>
          <c:yVal>
            <c:numLit>
              <c:formatCode>General</c:formatCode>
              <c:ptCount val="2"/>
              <c:pt idx="0">
                <c:v>-2E-3</c:v>
              </c:pt>
              <c:pt idx="1">
                <c:v>8.8894048219540917E-3</c:v>
              </c:pt>
            </c:numLit>
          </c:yVal>
          <c:smooth val="0"/>
          <c:extLst>
            <c:ext xmlns:c16="http://schemas.microsoft.com/office/drawing/2014/chart" uri="{C3380CC4-5D6E-409C-BE32-E72D297353CC}">
              <c16:uniqueId val="{00000072-A7ED-49B8-9C70-AD70AAC1C9F8}"/>
            </c:ext>
          </c:extLst>
        </c:ser>
        <c:ser>
          <c:idx val="74"/>
          <c:order val="74"/>
          <c:tx>
            <c:v>v=0.83</c:v>
          </c:tx>
          <c:spPr>
            <a:ln w="3175">
              <a:solidFill>
                <a:srgbClr val="008000"/>
              </a:solidFill>
              <a:prstDash val="sysDash"/>
            </a:ln>
          </c:spPr>
          <c:marker>
            <c:symbol val="none"/>
          </c:marker>
          <c:dLbls>
            <c:dLbl>
              <c:idx val="0"/>
              <c:layout>
                <c:manualLayout>
                  <c:x val="-2.0516595581802338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0.83</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3-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20.881374633710006</c:v>
              </c:pt>
              <c:pt idx="1">
                <c:v>14.210699001374479</c:v>
              </c:pt>
            </c:numLit>
          </c:xVal>
          <c:yVal>
            <c:numLit>
              <c:formatCode>General</c:formatCode>
              <c:ptCount val="2"/>
              <c:pt idx="0">
                <c:v>-2E-3</c:v>
              </c:pt>
              <c:pt idx="1">
                <c:v>1.0621523827731447E-2</c:v>
              </c:pt>
            </c:numLit>
          </c:yVal>
          <c:smooth val="0"/>
          <c:extLst>
            <c:ext xmlns:c16="http://schemas.microsoft.com/office/drawing/2014/chart" uri="{C3380CC4-5D6E-409C-BE32-E72D297353CC}">
              <c16:uniqueId val="{00000074-A7ED-49B8-9C70-AD70AAC1C9F8}"/>
            </c:ext>
          </c:extLst>
        </c:ser>
        <c:ser>
          <c:idx val="75"/>
          <c:order val="75"/>
          <c:tx>
            <c:v>v=0.84</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5-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24.407457429719113</c:v>
              </c:pt>
              <c:pt idx="1">
                <c:v>16.734481591505482</c:v>
              </c:pt>
            </c:numLit>
          </c:xVal>
          <c:yVal>
            <c:numLit>
              <c:formatCode>General</c:formatCode>
              <c:ptCount val="2"/>
              <c:pt idx="0">
                <c:v>-2E-3</c:v>
              </c:pt>
              <c:pt idx="1">
                <c:v>1.2569358624897643E-2</c:v>
              </c:pt>
            </c:numLit>
          </c:yVal>
          <c:smooth val="0"/>
          <c:extLst>
            <c:ext xmlns:c16="http://schemas.microsoft.com/office/drawing/2014/chart" uri="{C3380CC4-5D6E-409C-BE32-E72D297353CC}">
              <c16:uniqueId val="{00000076-A7ED-49B8-9C70-AD70AAC1C9F8}"/>
            </c:ext>
          </c:extLst>
        </c:ser>
        <c:ser>
          <c:idx val="76"/>
          <c:order val="76"/>
          <c:tx>
            <c:v>v=0.85</c:v>
          </c:tx>
          <c:spPr>
            <a:ln w="3175">
              <a:solidFill>
                <a:srgbClr val="008000"/>
              </a:solidFill>
              <a:prstDash val="sysDash"/>
            </a:ln>
          </c:spPr>
          <c:marker>
            <c:symbol val="none"/>
          </c:marker>
          <c:dLbls>
            <c:dLbl>
              <c:idx val="0"/>
              <c:layout>
                <c:manualLayout>
                  <c:x val="-2.0516595581802403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0.85</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7-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27.937787614952313</c:v>
              </c:pt>
              <c:pt idx="1">
                <c:v>19.132672029144601</c:v>
              </c:pt>
            </c:numLit>
          </c:xVal>
          <c:yVal>
            <c:numLit>
              <c:formatCode>General</c:formatCode>
              <c:ptCount val="2"/>
              <c:pt idx="0">
                <c:v>-2E-3</c:v>
              </c:pt>
              <c:pt idx="1">
                <c:v>1.4710821367264768E-2</c:v>
              </c:pt>
            </c:numLit>
          </c:yVal>
          <c:smooth val="0"/>
          <c:extLst>
            <c:ext xmlns:c16="http://schemas.microsoft.com/office/drawing/2014/chart" uri="{C3380CC4-5D6E-409C-BE32-E72D297353CC}">
              <c16:uniqueId val="{00000078-A7ED-49B8-9C70-AD70AAC1C9F8}"/>
            </c:ext>
          </c:extLst>
        </c:ser>
        <c:ser>
          <c:idx val="77"/>
          <c:order val="77"/>
          <c:tx>
            <c:v>v=0.86</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9-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31.46571454621801</c:v>
              </c:pt>
              <c:pt idx="1">
                <c:v>21.436144171835288</c:v>
              </c:pt>
            </c:numLit>
          </c:xVal>
          <c:yVal>
            <c:numLit>
              <c:formatCode>General</c:formatCode>
              <c:ptCount val="2"/>
              <c:pt idx="0">
                <c:v>-2E-3</c:v>
              </c:pt>
              <c:pt idx="1">
                <c:v>1.7068755909972859E-2</c:v>
              </c:pt>
            </c:numLit>
          </c:yVal>
          <c:smooth val="0"/>
          <c:extLst>
            <c:ext xmlns:c16="http://schemas.microsoft.com/office/drawing/2014/chart" uri="{C3380CC4-5D6E-409C-BE32-E72D297353CC}">
              <c16:uniqueId val="{0000007A-A7ED-49B8-9C70-AD70AAC1C9F8}"/>
            </c:ext>
          </c:extLst>
        </c:ser>
        <c:ser>
          <c:idx val="78"/>
          <c:order val="78"/>
          <c:tx>
            <c:v>v=0.87</c:v>
          </c:tx>
          <c:spPr>
            <a:ln w="3175">
              <a:solidFill>
                <a:srgbClr val="008000"/>
              </a:solidFill>
              <a:prstDash val="sysDash"/>
            </a:ln>
          </c:spPr>
          <c:marker>
            <c:symbol val="none"/>
          </c:marker>
          <c:dLbls>
            <c:dLbl>
              <c:idx val="0"/>
              <c:layout>
                <c:manualLayout>
                  <c:x val="-2.0516595581802403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0.87</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B-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34.99537194946226</c:v>
              </c:pt>
              <c:pt idx="1">
                <c:v>23.626904888872556</c:v>
              </c:pt>
            </c:numLit>
          </c:xVal>
          <c:yVal>
            <c:numLit>
              <c:formatCode>General</c:formatCode>
              <c:ptCount val="2"/>
              <c:pt idx="0">
                <c:v>-2E-3</c:v>
              </c:pt>
              <c:pt idx="1">
                <c:v>1.9617501780725587E-2</c:v>
              </c:pt>
            </c:numLit>
          </c:yVal>
          <c:smooth val="0"/>
          <c:extLst>
            <c:ext xmlns:c16="http://schemas.microsoft.com/office/drawing/2014/chart" uri="{C3380CC4-5D6E-409C-BE32-E72D297353CC}">
              <c16:uniqueId val="{0000007C-A7ED-49B8-9C70-AD70AAC1C9F8}"/>
            </c:ext>
          </c:extLst>
        </c:ser>
        <c:ser>
          <c:idx val="79"/>
          <c:order val="79"/>
          <c:tx>
            <c:v>v=0.88</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D-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38.523655082964233</c:v>
              </c:pt>
              <c:pt idx="1">
                <c:v>25.725862091077921</c:v>
              </c:pt>
            </c:numLit>
          </c:xVal>
          <c:yVal>
            <c:numLit>
              <c:formatCode>General</c:formatCode>
              <c:ptCount val="2"/>
              <c:pt idx="0">
                <c:v>-2E-3</c:v>
              </c:pt>
              <c:pt idx="1">
                <c:v>2.237082096787146E-2</c:v>
              </c:pt>
            </c:numLit>
          </c:yVal>
          <c:smooth val="0"/>
          <c:extLst>
            <c:ext xmlns:c16="http://schemas.microsoft.com/office/drawing/2014/chart" uri="{C3380CC4-5D6E-409C-BE32-E72D297353CC}">
              <c16:uniqueId val="{0000007E-A7ED-49B8-9C70-AD70AAC1C9F8}"/>
            </c:ext>
          </c:extLst>
        </c:ser>
        <c:ser>
          <c:idx val="80"/>
          <c:order val="80"/>
          <c:tx>
            <c:v>v=0.89</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0.89</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F-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42.052771246885719</c:v>
              </c:pt>
              <c:pt idx="1">
                <c:v>27.72444079909096</c:v>
              </c:pt>
            </c:numLit>
          </c:xVal>
          <c:yVal>
            <c:numLit>
              <c:formatCode>General</c:formatCode>
              <c:ptCount val="2"/>
              <c:pt idx="0">
                <c:v>-2E-3</c:v>
              </c:pt>
              <c:pt idx="1">
                <c:v>2.5303494525489405E-2</c:v>
              </c:pt>
            </c:numLit>
          </c:yVal>
          <c:smooth val="0"/>
          <c:extLst>
            <c:ext xmlns:c16="http://schemas.microsoft.com/office/drawing/2014/chart" uri="{C3380CC4-5D6E-409C-BE32-E72D297353CC}">
              <c16:uniqueId val="{00000080-A7ED-49B8-9C70-AD70AAC1C9F8}"/>
            </c:ext>
          </c:extLst>
        </c:ser>
        <c:ser>
          <c:idx val="81"/>
          <c:order val="81"/>
          <c:tx>
            <c:v>v=0.90</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0.90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1-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45.581784881241198</c:v>
              </c:pt>
              <c:pt idx="1">
                <c:v>29.633465439205001</c:v>
              </c:pt>
            </c:numLit>
          </c:xVal>
          <c:yVal>
            <c:numLit>
              <c:formatCode>General</c:formatCode>
              <c:ptCount val="2"/>
              <c:pt idx="0">
                <c:v>-2E-3</c:v>
              </c:pt>
              <c:pt idx="1">
                <c:v>2.8413596959233227E-2</c:v>
              </c:pt>
            </c:numLit>
          </c:yVal>
          <c:smooth val="0"/>
          <c:extLst>
            <c:ext xmlns:c16="http://schemas.microsoft.com/office/drawing/2014/chart" uri="{C3380CC4-5D6E-409C-BE32-E72D297353CC}">
              <c16:uniqueId val="{00000082-A7ED-49B8-9C70-AD70AAC1C9F8}"/>
            </c:ext>
          </c:extLst>
        </c:ser>
        <c:ser>
          <c:idx val="82"/>
          <c:order val="82"/>
          <c:tx>
            <c:v>比容積座標軸ラベル</c:v>
          </c:tx>
          <c:spPr>
            <a:ln w="3175">
              <a:solidFill>
                <a:srgbClr val="000000"/>
              </a:solidFill>
              <a:prstDash val="solid"/>
            </a:ln>
          </c:spPr>
          <c:marker>
            <c:symbol val="none"/>
          </c:marker>
          <c:dLbls>
            <c:dLbl>
              <c:idx val="0"/>
              <c:layout>
                <c:manualLayout>
                  <c:x val="-6.1712325021872266E-2"/>
                  <c:y val="-1.5669334656024605E-16"/>
                </c:manualLayout>
              </c:layout>
              <c:tx>
                <c:rich>
                  <a:bodyPr rot="414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比容積 </a:t>
                    </a:r>
                    <a:r>
                      <a:rPr lang="en-US"/>
                      <a:t>v [㎥/kg(DA)]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3-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42.563511521595515</c:v>
              </c:pt>
            </c:numLit>
          </c:xVal>
          <c:yVal>
            <c:numLit>
              <c:formatCode>General</c:formatCode>
              <c:ptCount val="1"/>
              <c:pt idx="0">
                <c:v>3.7777777777777779E-3</c:v>
              </c:pt>
            </c:numLit>
          </c:yVal>
          <c:smooth val="0"/>
          <c:extLst>
            <c:ext xmlns:c16="http://schemas.microsoft.com/office/drawing/2014/chart" uri="{C3380CC4-5D6E-409C-BE32-E72D297353CC}">
              <c16:uniqueId val="{00000084-A7ED-49B8-9C70-AD70AAC1C9F8}"/>
            </c:ext>
          </c:extLst>
        </c:ser>
        <c:ser>
          <c:idx val="83"/>
          <c:order val="83"/>
          <c:tx>
            <c:v>v=0.91</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0.91</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5-A7ED-49B8-9C70-AD70AAC1C9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49.110035958996015</c:v>
              </c:pt>
              <c:pt idx="1">
                <c:v>31.463670621458721</c:v>
              </c:pt>
            </c:numLit>
          </c:xVal>
          <c:yVal>
            <c:numLit>
              <c:formatCode>General</c:formatCode>
              <c:ptCount val="2"/>
              <c:pt idx="0">
                <c:v>-2E-3</c:v>
              </c:pt>
              <c:pt idx="1">
                <c:v>3.1701926236084019E-2</c:v>
              </c:pt>
            </c:numLit>
          </c:yVal>
          <c:smooth val="0"/>
          <c:extLst>
            <c:ext xmlns:c16="http://schemas.microsoft.com/office/drawing/2014/chart" uri="{C3380CC4-5D6E-409C-BE32-E72D297353CC}">
              <c16:uniqueId val="{00000086-A7ED-49B8-9C70-AD70AAC1C9F8}"/>
            </c:ext>
          </c:extLst>
        </c:ser>
        <c:ser>
          <c:idx val="84"/>
          <c:order val="84"/>
          <c:tx>
            <c:v>v=0.92</c:v>
          </c:tx>
          <c:spPr>
            <a:ln w="3175">
              <a:solidFill>
                <a:srgbClr val="008000"/>
              </a:solidFill>
              <a:prstDash val="sysDash"/>
            </a:ln>
          </c:spPr>
          <c:marker>
            <c:symbol val="none"/>
          </c:marker>
          <c:xVal>
            <c:numLit>
              <c:formatCode>General</c:formatCode>
              <c:ptCount val="2"/>
              <c:pt idx="0">
                <c:v>50.000000000000007</c:v>
              </c:pt>
              <c:pt idx="1">
                <c:v>33.205667827698051</c:v>
              </c:pt>
            </c:numLit>
          </c:xVal>
          <c:yVal>
            <c:numLit>
              <c:formatCode>General</c:formatCode>
              <c:ptCount val="2"/>
              <c:pt idx="0">
                <c:v>3.0653695250419488E-3</c:v>
              </c:pt>
              <c:pt idx="1">
                <c:v>3.5131294800109104E-2</c:v>
              </c:pt>
            </c:numLit>
          </c:yVal>
          <c:smooth val="0"/>
          <c:extLst>
            <c:ext xmlns:c16="http://schemas.microsoft.com/office/drawing/2014/chart" uri="{C3380CC4-5D6E-409C-BE32-E72D297353CC}">
              <c16:uniqueId val="{00000087-A7ED-49B8-9C70-AD70AAC1C9F8}"/>
            </c:ext>
          </c:extLst>
        </c:ser>
        <c:ser>
          <c:idx val="85"/>
          <c:order val="85"/>
          <c:tx>
            <c:v>v=0.93</c:v>
          </c:tx>
          <c:spPr>
            <a:ln w="3175">
              <a:solidFill>
                <a:srgbClr val="008000"/>
              </a:solidFill>
              <a:prstDash val="sysDash"/>
            </a:ln>
          </c:spPr>
          <c:marker>
            <c:symbol val="none"/>
          </c:marker>
          <c:xVal>
            <c:numLit>
              <c:formatCode>General</c:formatCode>
              <c:ptCount val="2"/>
              <c:pt idx="0">
                <c:v>50</c:v>
              </c:pt>
              <c:pt idx="1">
                <c:v>34.87984801720949</c:v>
              </c:pt>
            </c:numLit>
          </c:xVal>
          <c:yVal>
            <c:numLit>
              <c:formatCode>General</c:formatCode>
              <c:ptCount val="2"/>
              <c:pt idx="0">
                <c:v>9.8592094813579195E-3</c:v>
              </c:pt>
              <c:pt idx="1">
                <c:v>3.8720837608012822E-2</c:v>
              </c:pt>
            </c:numLit>
          </c:yVal>
          <c:smooth val="0"/>
          <c:extLst>
            <c:ext xmlns:c16="http://schemas.microsoft.com/office/drawing/2014/chart" uri="{C3380CC4-5D6E-409C-BE32-E72D297353CC}">
              <c16:uniqueId val="{00000088-A7ED-49B8-9C70-AD70AAC1C9F8}"/>
            </c:ext>
          </c:extLst>
        </c:ser>
        <c:ser>
          <c:idx val="86"/>
          <c:order val="86"/>
          <c:tx>
            <c:v>v=0.94</c:v>
          </c:tx>
          <c:spPr>
            <a:ln w="3175">
              <a:solidFill>
                <a:srgbClr val="008000"/>
              </a:solidFill>
              <a:prstDash val="sysDash"/>
            </a:ln>
          </c:spPr>
          <c:marker>
            <c:symbol val="none"/>
          </c:marker>
          <c:xVal>
            <c:numLit>
              <c:formatCode>General</c:formatCode>
              <c:ptCount val="2"/>
              <c:pt idx="0">
                <c:v>50</c:v>
              </c:pt>
              <c:pt idx="1">
                <c:v>36.476298305332442</c:v>
              </c:pt>
            </c:numLit>
          </c:xVal>
          <c:yVal>
            <c:numLit>
              <c:formatCode>General</c:formatCode>
              <c:ptCount val="2"/>
              <c:pt idx="0">
                <c:v>1.6653049437673817E-2</c:v>
              </c:pt>
              <c:pt idx="1">
                <c:v>4.24278397230183E-2</c:v>
              </c:pt>
            </c:numLit>
          </c:yVal>
          <c:smooth val="0"/>
          <c:extLst>
            <c:ext xmlns:c16="http://schemas.microsoft.com/office/drawing/2014/chart" uri="{C3380CC4-5D6E-409C-BE32-E72D297353CC}">
              <c16:uniqueId val="{00000089-A7ED-49B8-9C70-AD70AAC1C9F8}"/>
            </c:ext>
          </c:extLst>
        </c:ser>
        <c:ser>
          <c:idx val="87"/>
          <c:order val="87"/>
          <c:tx>
            <c:v>v=0.95</c:v>
          </c:tx>
          <c:spPr>
            <a:ln w="3175">
              <a:solidFill>
                <a:srgbClr val="008000"/>
              </a:solidFill>
              <a:prstDash val="sysDash"/>
            </a:ln>
          </c:spPr>
          <c:marker>
            <c:symbol val="none"/>
          </c:marker>
          <c:xVal>
            <c:numLit>
              <c:formatCode>General</c:formatCode>
              <c:ptCount val="2"/>
              <c:pt idx="0">
                <c:v>50</c:v>
              </c:pt>
              <c:pt idx="1">
                <c:v>38.015373057675212</c:v>
              </c:pt>
            </c:numLit>
          </c:xVal>
          <c:yVal>
            <c:numLit>
              <c:formatCode>General</c:formatCode>
              <c:ptCount val="2"/>
              <c:pt idx="0">
                <c:v>2.3446889393989787E-2</c:v>
              </c:pt>
              <c:pt idx="1">
                <c:v>4.6278182171319286E-2</c:v>
              </c:pt>
            </c:numLit>
          </c:yVal>
          <c:smooth val="0"/>
          <c:extLst>
            <c:ext xmlns:c16="http://schemas.microsoft.com/office/drawing/2014/chart" uri="{C3380CC4-5D6E-409C-BE32-E72D297353CC}">
              <c16:uniqueId val="{0000008A-A7ED-49B8-9C70-AD70AAC1C9F8}"/>
            </c:ext>
          </c:extLst>
        </c:ser>
        <c:ser>
          <c:idx val="88"/>
          <c:order val="88"/>
          <c:tx>
            <c:v>v=0.96</c:v>
          </c:tx>
          <c:spPr>
            <a:ln w="3175">
              <a:solidFill>
                <a:srgbClr val="008000"/>
              </a:solidFill>
              <a:prstDash val="sysDash"/>
            </a:ln>
          </c:spPr>
          <c:marker>
            <c:symbol val="none"/>
          </c:marker>
          <c:xVal>
            <c:numLit>
              <c:formatCode>General</c:formatCode>
              <c:ptCount val="2"/>
              <c:pt idx="0">
                <c:v>50.000000000000007</c:v>
              </c:pt>
              <c:pt idx="1">
                <c:v>39.486674453084802</c:v>
              </c:pt>
            </c:numLit>
          </c:xVal>
          <c:yVal>
            <c:numLit>
              <c:formatCode>General</c:formatCode>
              <c:ptCount val="2"/>
              <c:pt idx="0">
                <c:v>3.0240729350305761E-2</c:v>
              </c:pt>
              <c:pt idx="1">
                <c:v>5.022497374403067E-2</c:v>
              </c:pt>
            </c:numLit>
          </c:yVal>
          <c:smooth val="0"/>
          <c:extLst>
            <c:ext xmlns:c16="http://schemas.microsoft.com/office/drawing/2014/chart" uri="{C3380CC4-5D6E-409C-BE32-E72D297353CC}">
              <c16:uniqueId val="{0000008B-A7ED-49B8-9C70-AD70AAC1C9F8}"/>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002F-4B6C-A9BE-12EE715FF7C1}"/>
            </c:ext>
          </c:extLst>
        </c:ser>
        <c:ser>
          <c:idx val="1"/>
          <c:order val="1"/>
          <c:tx>
            <c:v>冷房SHF参照ライン</c:v>
          </c:tx>
          <c:spPr>
            <a:ln w="3175">
              <a:solidFill>
                <a:srgbClr val="008000"/>
              </a:solidFill>
              <a:prstDash val="solid"/>
            </a:ln>
          </c:spPr>
          <c:marker>
            <c:symbol val="none"/>
          </c:marker>
          <c:dPt>
            <c:idx val="0"/>
            <c:marker/>
            <c:bubble3D val="0"/>
            <c:spPr>
              <a:ln w="3175">
                <a:solidFill>
                  <a:srgbClr val="008000"/>
                </a:solidFill>
                <a:prstDash val="solid"/>
              </a:ln>
              <a:effectLst/>
            </c:spPr>
            <c:extLst>
              <c:ext xmlns:c16="http://schemas.microsoft.com/office/drawing/2014/chart" uri="{C3380CC4-5D6E-409C-BE32-E72D297353CC}">
                <c16:uniqueId val="{00000002-002F-4B6C-A9BE-12EE715FF7C1}"/>
              </c:ext>
            </c:extLst>
          </c:dPt>
          <c:dPt>
            <c:idx val="1"/>
            <c:marker>
              <c:symbol val="circle"/>
              <c:size val="3"/>
              <c:spPr>
                <a:solidFill>
                  <a:srgbClr val="000000"/>
                </a:solidFill>
                <a:ln>
                  <a:solidFill>
                    <a:srgbClr val="000000"/>
                  </a:solidFill>
                  <a:prstDash val="solid"/>
                </a:ln>
              </c:spPr>
            </c:marker>
            <c:bubble3D val="0"/>
            <c:spPr>
              <a:ln w="3175">
                <a:solidFill>
                  <a:srgbClr val="008000"/>
                </a:solidFill>
                <a:prstDash val="solid"/>
              </a:ln>
              <a:effectLst/>
            </c:spPr>
            <c:extLst>
              <c:ext xmlns:c16="http://schemas.microsoft.com/office/drawing/2014/chart" uri="{C3380CC4-5D6E-409C-BE32-E72D297353CC}">
                <c16:uniqueId val="{00000003-002F-4B6C-A9BE-12EE715FF7C1}"/>
              </c:ext>
            </c:extLst>
          </c:dPt>
          <c:dLbls>
            <c:dLbl>
              <c:idx val="1"/>
              <c:layout>
                <c:manualLayout>
                  <c:x val="3.4722222222222224E-2"/>
                  <c:y val="5.7692307692307696E-2"/>
                </c:manualLayout>
              </c:layout>
              <c:tx>
                <c:rich>
                  <a:bodyPr wrap="square" lIns="38100" tIns="19050" rIns="38100" bIns="19050" anchor="ctr">
                    <a:spAutoFit/>
                  </a:bodyPr>
                  <a:lstStyle/>
                  <a:p>
                    <a:pPr algn="ctr">
                      <a:defRPr altLang="en-US" sz="700" b="0" i="0" u="none" strike="noStrike" baseline="0">
                        <a:latin typeface="ＭＳ Ｐゴシック"/>
                        <a:ea typeface="ＭＳ Ｐゴシック"/>
                        <a:cs typeface="ＭＳ Ｐゴシック"/>
                      </a:defRPr>
                    </a:pPr>
                    <a:r>
                      <a:rPr lang="ja-JP"/>
                      <a:t>冷房時 </a:t>
                    </a:r>
                    <a:r>
                      <a:rPr lang="en-US"/>
                      <a:t>SHF=0.93 [-]</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2F-4B6C-A9BE-12EE715FF7C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7.5219999999999994</c:v>
              </c:pt>
              <c:pt idx="1">
                <c:v>-3.7487123104404572</c:v>
              </c:pt>
            </c:numLit>
          </c:xVal>
          <c:yVal>
            <c:numLit>
              <c:formatCode>General</c:formatCode>
              <c:ptCount val="2"/>
              <c:pt idx="0">
                <c:v>2.0930000000000001E-2</c:v>
              </c:pt>
              <c:pt idx="1">
                <c:v>2.0591501081074687E-2</c:v>
              </c:pt>
            </c:numLit>
          </c:yVal>
          <c:smooth val="0"/>
          <c:extLst>
            <c:ext xmlns:c16="http://schemas.microsoft.com/office/drawing/2014/chart" uri="{C3380CC4-5D6E-409C-BE32-E72D297353CC}">
              <c16:uniqueId val="{00000001-002F-4B6C-A9BE-12EE715FF7C1}"/>
            </c:ext>
          </c:extLst>
        </c:ser>
        <c:ser>
          <c:idx val="2"/>
          <c:order val="2"/>
          <c:tx>
            <c:v>暖房SHF参照ライン</c:v>
          </c:tx>
          <c:spPr>
            <a:ln w="3175">
              <a:solidFill>
                <a:srgbClr val="FF0000"/>
              </a:solidFill>
              <a:prstDash val="solid"/>
            </a:ln>
          </c:spPr>
          <c:marker>
            <c:symbol val="none"/>
          </c:marker>
          <c:dPt>
            <c:idx val="0"/>
            <c:marker/>
            <c:bubble3D val="0"/>
            <c:spPr>
              <a:ln w="3175">
                <a:solidFill>
                  <a:srgbClr val="FF0000"/>
                </a:solidFill>
                <a:prstDash val="solid"/>
              </a:ln>
              <a:effectLst/>
            </c:spPr>
            <c:extLst>
              <c:ext xmlns:c16="http://schemas.microsoft.com/office/drawing/2014/chart" uri="{C3380CC4-5D6E-409C-BE32-E72D297353CC}">
                <c16:uniqueId val="{00000005-002F-4B6C-A9BE-12EE715FF7C1}"/>
              </c:ext>
            </c:extLst>
          </c:dPt>
          <c:dPt>
            <c:idx val="1"/>
            <c:marker>
              <c:symbol val="circle"/>
              <c:size val="3"/>
              <c:spPr>
                <a:solidFill>
                  <a:srgbClr val="000000"/>
                </a:solidFill>
                <a:ln>
                  <a:solidFill>
                    <a:srgbClr val="000000"/>
                  </a:solidFill>
                  <a:prstDash val="solid"/>
                </a:ln>
              </c:spPr>
            </c:marker>
            <c:bubble3D val="0"/>
            <c:spPr>
              <a:ln w="3175">
                <a:solidFill>
                  <a:srgbClr val="FF0000"/>
                </a:solidFill>
                <a:prstDash val="solid"/>
              </a:ln>
              <a:effectLst/>
            </c:spPr>
            <c:extLst>
              <c:ext xmlns:c16="http://schemas.microsoft.com/office/drawing/2014/chart" uri="{C3380CC4-5D6E-409C-BE32-E72D297353CC}">
                <c16:uniqueId val="{00000006-002F-4B6C-A9BE-12EE715FF7C1}"/>
              </c:ext>
            </c:extLst>
          </c:dPt>
          <c:dLbls>
            <c:dLbl>
              <c:idx val="1"/>
              <c:layout>
                <c:manualLayout>
                  <c:x val="3.4722222222222224E-2"/>
                  <c:y val="4.273504273504266E-2"/>
                </c:manualLayout>
              </c:layout>
              <c:tx>
                <c:rich>
                  <a:bodyPr wrap="square" lIns="38100" tIns="19050" rIns="38100" bIns="19050" anchor="ctr">
                    <a:spAutoFit/>
                  </a:bodyPr>
                  <a:lstStyle/>
                  <a:p>
                    <a:pPr algn="ctr">
                      <a:defRPr altLang="en-US" sz="700" b="0" i="0" u="none" strike="noStrike" baseline="0">
                        <a:latin typeface="ＭＳ Ｐゴシック"/>
                        <a:ea typeface="ＭＳ Ｐゴシック"/>
                        <a:cs typeface="ＭＳ Ｐゴシック"/>
                      </a:defRPr>
                    </a:pPr>
                    <a:r>
                      <a:rPr lang="ja-JP"/>
                      <a:t>暖房時 </a:t>
                    </a:r>
                    <a:r>
                      <a:rPr lang="en-US"/>
                      <a:t>SHF=1.00 [-]</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02F-4B6C-A9BE-12EE715FF7C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7.5219999999999994</c:v>
              </c:pt>
              <c:pt idx="1">
                <c:v>-3.758</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04-002F-4B6C-A9BE-12EE715FF7C1}"/>
            </c:ext>
          </c:extLst>
        </c:ser>
        <c:ser>
          <c:idx val="3"/>
          <c:order val="3"/>
          <c:tx>
            <c:v>熱水分比参照ライン</c:v>
          </c:tx>
          <c:spPr>
            <a:ln w="3175">
              <a:solidFill>
                <a:srgbClr val="FF6600"/>
              </a:solidFill>
              <a:prstDash val="solid"/>
            </a:ln>
          </c:spPr>
          <c:marker>
            <c:symbol val="none"/>
          </c:marker>
          <c:dPt>
            <c:idx val="0"/>
            <c:marker/>
            <c:bubble3D val="0"/>
            <c:spPr>
              <a:ln w="3175">
                <a:solidFill>
                  <a:srgbClr val="FF6600"/>
                </a:solidFill>
                <a:prstDash val="solid"/>
              </a:ln>
              <a:effectLst/>
            </c:spPr>
            <c:extLst>
              <c:ext xmlns:c16="http://schemas.microsoft.com/office/drawing/2014/chart" uri="{C3380CC4-5D6E-409C-BE32-E72D297353CC}">
                <c16:uniqueId val="{00000008-002F-4B6C-A9BE-12EE715FF7C1}"/>
              </c:ext>
            </c:extLst>
          </c:dPt>
          <c:dPt>
            <c:idx val="1"/>
            <c:marker>
              <c:symbol val="circle"/>
              <c:size val="3"/>
              <c:spPr>
                <a:solidFill>
                  <a:srgbClr val="000000"/>
                </a:solidFill>
                <a:ln>
                  <a:solidFill>
                    <a:srgbClr val="000000"/>
                  </a:solidFill>
                  <a:prstDash val="solid"/>
                </a:ln>
              </c:spPr>
            </c:marker>
            <c:bubble3D val="0"/>
            <c:spPr>
              <a:ln w="3175">
                <a:solidFill>
                  <a:srgbClr val="FF6600"/>
                </a:solidFill>
                <a:prstDash val="solid"/>
              </a:ln>
              <a:effectLst/>
            </c:spPr>
            <c:extLst>
              <c:ext xmlns:c16="http://schemas.microsoft.com/office/drawing/2014/chart" uri="{C3380CC4-5D6E-409C-BE32-E72D297353CC}">
                <c16:uniqueId val="{00000009-002F-4B6C-A9BE-12EE715FF7C1}"/>
              </c:ext>
            </c:extLst>
          </c:dPt>
          <c:dLbls>
            <c:dLbl>
              <c:idx val="1"/>
              <c:layout>
                <c:manualLayout>
                  <c:x val="3.4722222222222224E-2"/>
                  <c:y val="7.4786324786324784E-2"/>
                </c:manualLayout>
              </c:layout>
              <c:tx>
                <c:rich>
                  <a:bodyPr wrap="square" lIns="38100" tIns="19050" rIns="38100" bIns="19050" anchor="ctr">
                    <a:spAutoFit/>
                  </a:bodyPr>
                  <a:lstStyle/>
                  <a:p>
                    <a:pPr algn="ctr">
                      <a:defRPr altLang="en-US" sz="700" b="0" i="0" u="none" strike="noStrike" baseline="0">
                        <a:latin typeface="ＭＳ Ｐゴシック"/>
                        <a:ea typeface="ＭＳ Ｐゴシック"/>
                        <a:cs typeface="ＭＳ Ｐゴシック"/>
                      </a:defRPr>
                    </a:pPr>
                    <a:r>
                      <a:rPr lang="ja-JP"/>
                      <a:t>加湿用水熱水分比</a:t>
                    </a:r>
                    <a:r>
                      <a:rPr lang="en-US"/>
                      <a:t>=74 [kJ/kg]</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02F-4B6C-A9BE-12EE715FF7C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7.5219999999999994</c:v>
              </c:pt>
              <c:pt idx="1">
                <c:v>-4.79797126291556</c:v>
              </c:pt>
            </c:numLit>
          </c:xVal>
          <c:yVal>
            <c:numLit>
              <c:formatCode>General</c:formatCode>
              <c:ptCount val="2"/>
              <c:pt idx="0">
                <c:v>2.0930000000000001E-2</c:v>
              </c:pt>
              <c:pt idx="1">
                <c:v>2.584840592503395E-2</c:v>
              </c:pt>
            </c:numLit>
          </c:yVal>
          <c:smooth val="0"/>
          <c:extLst>
            <c:ext xmlns:c16="http://schemas.microsoft.com/office/drawing/2014/chart" uri="{C3380CC4-5D6E-409C-BE32-E72D297353CC}">
              <c16:uniqueId val="{00000007-002F-4B6C-A9BE-12EE715FF7C1}"/>
            </c:ext>
          </c:extLst>
        </c:ser>
        <c:ser>
          <c:idx val="4"/>
          <c:order val="4"/>
          <c:tx>
            <c:v>外気-冷却コイル入口</c:v>
          </c:tx>
          <c:spPr>
            <a:ln w="12700">
              <a:solidFill>
                <a:srgbClr val="000000"/>
              </a:solidFill>
              <a:prstDash val="solid"/>
            </a:ln>
          </c:spPr>
          <c:marker>
            <c:symbol val="circle"/>
            <c:size val="6"/>
            <c:spPr>
              <a:solidFill>
                <a:srgbClr val="FFFFFF"/>
              </a:solidFill>
              <a:ln>
                <a:solidFill>
                  <a:srgbClr val="000000"/>
                </a:solidFill>
                <a:prstDash val="solid"/>
              </a:ln>
            </c:spPr>
          </c:marker>
          <c:dLbls>
            <c:dLbl>
              <c:idx val="1"/>
              <c:layout>
                <c:manualLayout>
                  <c:x val="-2.2569444444444444E-2"/>
                  <c:y val="-1.645299145299153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①</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02F-4B6C-A9BE-12EE715FF7C1}"/>
                </c:ext>
              </c:extLst>
            </c:dLbl>
            <c:dLbl>
              <c:idx val="2"/>
              <c:layout>
                <c:manualLayout>
                  <c:x val="-8.6805555555556184E-3"/>
                  <c:y val="-7.8346673280123027E-17"/>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②</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02F-4B6C-A9BE-12EE715FF7C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3"/>
              <c:pt idx="0">
                <c:v>33.13944850894633</c:v>
              </c:pt>
              <c:pt idx="1">
                <c:v>33.13944850894633</c:v>
              </c:pt>
              <c:pt idx="2">
                <c:v>26.377202449304175</c:v>
              </c:pt>
            </c:numLit>
          </c:xVal>
          <c:yVal>
            <c:numLit>
              <c:formatCode>General</c:formatCode>
              <c:ptCount val="3"/>
              <c:pt idx="0">
                <c:v>1.8600000000000002E-2</c:v>
              </c:pt>
              <c:pt idx="1">
                <c:v>1.8600000000000002E-2</c:v>
              </c:pt>
              <c:pt idx="2">
                <c:v>1.272E-2</c:v>
              </c:pt>
            </c:numLit>
          </c:yVal>
          <c:smooth val="0"/>
          <c:extLst>
            <c:ext xmlns:c16="http://schemas.microsoft.com/office/drawing/2014/chart" uri="{C3380CC4-5D6E-409C-BE32-E72D297353CC}">
              <c16:uniqueId val="{0000000A-002F-4B6C-A9BE-12EE715FF7C1}"/>
            </c:ext>
          </c:extLst>
        </c:ser>
        <c:ser>
          <c:idx val="5"/>
          <c:order val="5"/>
          <c:tx>
            <c:v>冷却プロセス</c:v>
          </c:tx>
          <c:spPr>
            <a:ln w="25400">
              <a:solidFill>
                <a:srgbClr val="008000"/>
              </a:solidFill>
              <a:prstDash val="solid"/>
            </a:ln>
          </c:spPr>
          <c:marker>
            <c:symbol val="circle"/>
            <c:size val="6"/>
            <c:spPr>
              <a:solidFill>
                <a:srgbClr val="FFFFFF"/>
              </a:solidFill>
              <a:ln>
                <a:solidFill>
                  <a:srgbClr val="000000"/>
                </a:solidFill>
                <a:prstDash val="solid"/>
              </a:ln>
            </c:spPr>
          </c:marker>
          <c:dLbls>
            <c:dLbl>
              <c:idx val="1"/>
              <c:layout>
                <c:manualLayout>
                  <c:x val="-3.6458333333333336E-2"/>
                  <c:y val="-7.8346673280123027E-17"/>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③</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02F-4B6C-A9BE-12EE715FF7C1}"/>
                </c:ext>
              </c:extLst>
            </c:dLbl>
            <c:dLbl>
              <c:idx val="2"/>
              <c:layout>
                <c:manualLayout>
                  <c:x val="-2.2569444444444507E-2"/>
                  <c:y val="-1.645299145299153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④</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02F-4B6C-A9BE-12EE715FF7C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3"/>
              <c:pt idx="0">
                <c:v>26.377202449304175</c:v>
              </c:pt>
              <c:pt idx="1">
                <c:v>16.519294924453277</c:v>
              </c:pt>
              <c:pt idx="2">
                <c:v>17.224259419483101</c:v>
              </c:pt>
            </c:numLit>
          </c:xVal>
          <c:yVal>
            <c:numLit>
              <c:formatCode>General</c:formatCode>
              <c:ptCount val="3"/>
              <c:pt idx="0">
                <c:v>1.272E-2</c:v>
              </c:pt>
              <c:pt idx="1">
                <c:v>1.1730000000000001E-2</c:v>
              </c:pt>
              <c:pt idx="2">
                <c:v>1.1730000000000001E-2</c:v>
              </c:pt>
            </c:numLit>
          </c:yVal>
          <c:smooth val="0"/>
          <c:extLst>
            <c:ext xmlns:c16="http://schemas.microsoft.com/office/drawing/2014/chart" uri="{C3380CC4-5D6E-409C-BE32-E72D297353CC}">
              <c16:uniqueId val="{0000000D-002F-4B6C-A9BE-12EE715FF7C1}"/>
            </c:ext>
          </c:extLst>
        </c:ser>
        <c:ser>
          <c:idx val="6"/>
          <c:order val="6"/>
          <c:tx>
            <c:v>冷房時室内変化プロセス</c:v>
          </c:tx>
          <c:spPr>
            <a:ln w="12700">
              <a:solidFill>
                <a:srgbClr val="000000"/>
              </a:solidFill>
              <a:prstDash val="sysDash"/>
            </a:ln>
          </c:spPr>
          <c:marker>
            <c:symbol val="circle"/>
            <c:size val="6"/>
            <c:spPr>
              <a:solidFill>
                <a:srgbClr val="FFFFFF"/>
              </a:solidFill>
              <a:ln>
                <a:solidFill>
                  <a:srgbClr val="000000"/>
                </a:solidFill>
                <a:prstDash val="solid"/>
              </a:ln>
            </c:spPr>
          </c:marker>
          <c:dLbls>
            <c:dLbl>
              <c:idx val="1"/>
              <c:layout>
                <c:manualLayout>
                  <c:x val="-8.6805555555554918E-3"/>
                  <c:y val="0"/>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⑤</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02F-4B6C-A9BE-12EE715FF7C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17.224259419483101</c:v>
              </c:pt>
              <c:pt idx="1">
                <c:v>25.4710648111332</c:v>
              </c:pt>
            </c:numLit>
          </c:xVal>
          <c:yVal>
            <c:numLit>
              <c:formatCode>General</c:formatCode>
              <c:ptCount val="2"/>
              <c:pt idx="0">
                <c:v>1.1730000000000001E-2</c:v>
              </c:pt>
              <c:pt idx="1">
                <c:v>1.192E-2</c:v>
              </c:pt>
            </c:numLit>
          </c:yVal>
          <c:smooth val="0"/>
          <c:extLst>
            <c:ext xmlns:c16="http://schemas.microsoft.com/office/drawing/2014/chart" uri="{C3380CC4-5D6E-409C-BE32-E72D297353CC}">
              <c16:uniqueId val="{00000010-002F-4B6C-A9BE-12EE715FF7C1}"/>
            </c:ext>
          </c:extLst>
        </c:ser>
        <c:ser>
          <c:idx val="7"/>
          <c:order val="7"/>
          <c:tx>
            <c:v>室内-ミキシングポイント</c:v>
          </c:tx>
          <c:spPr>
            <a:ln w="12700">
              <a:solidFill>
                <a:srgbClr val="000000"/>
              </a:solidFill>
              <a:prstDash val="solid"/>
            </a:ln>
          </c:spPr>
          <c:marker>
            <c:symbol val="circle"/>
            <c:size val="6"/>
            <c:spPr>
              <a:solidFill>
                <a:srgbClr val="FFFFFF"/>
              </a:solidFill>
              <a:ln>
                <a:solidFill>
                  <a:srgbClr val="000000"/>
                </a:solidFill>
                <a:prstDash val="solid"/>
              </a:ln>
            </c:spPr>
          </c:marker>
          <c:xVal>
            <c:numLit>
              <c:formatCode>General</c:formatCode>
              <c:ptCount val="2"/>
              <c:pt idx="0">
                <c:v>25.4710648111332</c:v>
              </c:pt>
              <c:pt idx="1">
                <c:v>26.377202449304175</c:v>
              </c:pt>
            </c:numLit>
          </c:xVal>
          <c:yVal>
            <c:numLit>
              <c:formatCode>General</c:formatCode>
              <c:ptCount val="2"/>
              <c:pt idx="0">
                <c:v>1.192E-2</c:v>
              </c:pt>
              <c:pt idx="1">
                <c:v>1.272E-2</c:v>
              </c:pt>
            </c:numLit>
          </c:yVal>
          <c:smooth val="0"/>
          <c:extLst>
            <c:ext xmlns:c16="http://schemas.microsoft.com/office/drawing/2014/chart" uri="{C3380CC4-5D6E-409C-BE32-E72D297353CC}">
              <c16:uniqueId val="{00000012-002F-4B6C-A9BE-12EE715FF7C1}"/>
            </c:ext>
          </c:extLst>
        </c:ser>
        <c:ser>
          <c:idx val="8"/>
          <c:order val="8"/>
          <c:tx>
            <c:v>暖房時外気ポイント-ミキシングポイントプロセス</c:v>
          </c:tx>
          <c:spPr>
            <a:ln w="12700">
              <a:solidFill>
                <a:srgbClr val="000000"/>
              </a:solidFill>
              <a:prstDash val="solid"/>
            </a:ln>
          </c:spPr>
          <c:marker>
            <c:symbol val="circle"/>
            <c:size val="6"/>
            <c:spPr>
              <a:solidFill>
                <a:srgbClr val="FFFFFF"/>
              </a:solidFill>
              <a:ln>
                <a:solidFill>
                  <a:srgbClr val="000000"/>
                </a:solidFill>
                <a:prstDash val="solid"/>
              </a:ln>
            </c:spPr>
          </c:marker>
          <c:dLbls>
            <c:dLbl>
              <c:idx val="1"/>
              <c:layout>
                <c:manualLayout>
                  <c:x val="-2.2569444444444444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⑥</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02F-4B6C-A9BE-12EE715FF7C1}"/>
                </c:ext>
              </c:extLst>
            </c:dLbl>
            <c:dLbl>
              <c:idx val="2"/>
              <c:layout>
                <c:manualLayout>
                  <c:x val="-2.2569444444444507E-2"/>
                  <c:y val="1.6452991452991297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⑦</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02F-4B6C-A9BE-12EE715FF7C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3"/>
              <c:pt idx="0">
                <c:v>1.8757534791252486</c:v>
              </c:pt>
              <c:pt idx="1">
                <c:v>1.8757534791252486</c:v>
              </c:pt>
              <c:pt idx="2">
                <c:v>19.264445646123264</c:v>
              </c:pt>
            </c:numLit>
          </c:xVal>
          <c:yVal>
            <c:numLit>
              <c:formatCode>General</c:formatCode>
              <c:ptCount val="3"/>
              <c:pt idx="0">
                <c:v>1.4E-3</c:v>
              </c:pt>
              <c:pt idx="1">
                <c:v>1.4E-3</c:v>
              </c:pt>
              <c:pt idx="2">
                <c:v>5.9699999999999996E-3</c:v>
              </c:pt>
            </c:numLit>
          </c:yVal>
          <c:smooth val="0"/>
          <c:extLst>
            <c:ext xmlns:c16="http://schemas.microsoft.com/office/drawing/2014/chart" uri="{C3380CC4-5D6E-409C-BE32-E72D297353CC}">
              <c16:uniqueId val="{00000013-002F-4B6C-A9BE-12EE715FF7C1}"/>
            </c:ext>
          </c:extLst>
        </c:ser>
        <c:ser>
          <c:idx val="9"/>
          <c:order val="9"/>
          <c:tx>
            <c:v>暖房加熱プロセス</c:v>
          </c:tx>
          <c:spPr>
            <a:ln w="25400">
              <a:solidFill>
                <a:srgbClr val="FF0000"/>
              </a:solidFill>
              <a:prstDash val="solid"/>
            </a:ln>
          </c:spPr>
          <c:marker>
            <c:symbol val="circle"/>
            <c:size val="6"/>
            <c:spPr>
              <a:solidFill>
                <a:srgbClr val="FFFFFF"/>
              </a:solidFill>
              <a:ln>
                <a:solidFill>
                  <a:srgbClr val="000000"/>
                </a:solidFill>
                <a:prstDash val="solid"/>
              </a:ln>
            </c:spPr>
          </c:marker>
          <c:dLbls>
            <c:dLbl>
              <c:idx val="1"/>
              <c:layout>
                <c:manualLayout>
                  <c:x val="-2.2569444444444444E-2"/>
                  <c:y val="1.6452991452991297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⑧</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02F-4B6C-A9BE-12EE715FF7C1}"/>
                </c:ext>
              </c:extLst>
            </c:dLbl>
            <c:dLbl>
              <c:idx val="2"/>
              <c:layout>
                <c:manualLayout>
                  <c:x val="-2.2569444444444444E-2"/>
                  <c:y val="1.6452991452991297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⑨</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02F-4B6C-A9BE-12EE715FF7C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3"/>
              <c:pt idx="0">
                <c:v>19.264445646123264</c:v>
              </c:pt>
              <c:pt idx="1">
                <c:v>33.985158520874741</c:v>
              </c:pt>
              <c:pt idx="2">
                <c:v>32.428480652087472</c:v>
              </c:pt>
            </c:numLit>
          </c:xVal>
          <c:yVal>
            <c:numLit>
              <c:formatCode>General</c:formatCode>
              <c:ptCount val="3"/>
              <c:pt idx="0">
                <c:v>5.9699999999999996E-3</c:v>
              </c:pt>
              <c:pt idx="1">
                <c:v>5.9699999999999996E-3</c:v>
              </c:pt>
              <c:pt idx="2">
                <c:v>6.5900000000000004E-3</c:v>
              </c:pt>
            </c:numLit>
          </c:yVal>
          <c:smooth val="0"/>
          <c:extLst>
            <c:ext xmlns:c16="http://schemas.microsoft.com/office/drawing/2014/chart" uri="{C3380CC4-5D6E-409C-BE32-E72D297353CC}">
              <c16:uniqueId val="{00000016-002F-4B6C-A9BE-12EE715FF7C1}"/>
            </c:ext>
          </c:extLst>
        </c:ser>
        <c:ser>
          <c:idx val="10"/>
          <c:order val="10"/>
          <c:tx>
            <c:v>暖房時室内変化プロセス</c:v>
          </c:tx>
          <c:spPr>
            <a:ln w="12700">
              <a:solidFill>
                <a:srgbClr val="000000"/>
              </a:solidFill>
              <a:prstDash val="sysDash"/>
            </a:ln>
          </c:spPr>
          <c:marker>
            <c:symbol val="circle"/>
            <c:size val="6"/>
            <c:spPr>
              <a:solidFill>
                <a:srgbClr val="FFFFFF"/>
              </a:solidFill>
              <a:ln>
                <a:solidFill>
                  <a:srgbClr val="000000"/>
                </a:solidFill>
                <a:prstDash val="solid"/>
              </a:ln>
            </c:spPr>
          </c:marker>
          <c:dLbls>
            <c:dLbl>
              <c:idx val="1"/>
              <c:layout>
                <c:manualLayout>
                  <c:x val="-2.2569444444444507E-2"/>
                  <c:y val="1.6452991452991297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⑩</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02F-4B6C-A9BE-12EE715FF7C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32.428480652087472</c:v>
              </c:pt>
              <c:pt idx="1">
                <c:v>21.658839761431413</c:v>
              </c:pt>
            </c:numLit>
          </c:xVal>
          <c:yVal>
            <c:numLit>
              <c:formatCode>General</c:formatCode>
              <c:ptCount val="2"/>
              <c:pt idx="0">
                <c:v>6.5900000000000004E-3</c:v>
              </c:pt>
              <c:pt idx="1">
                <c:v>6.5900000000000004E-3</c:v>
              </c:pt>
            </c:numLit>
          </c:yVal>
          <c:smooth val="0"/>
          <c:extLst>
            <c:ext xmlns:c16="http://schemas.microsoft.com/office/drawing/2014/chart" uri="{C3380CC4-5D6E-409C-BE32-E72D297353CC}">
              <c16:uniqueId val="{00000019-002F-4B6C-A9BE-12EE715FF7C1}"/>
            </c:ext>
          </c:extLst>
        </c:ser>
        <c:ser>
          <c:idx val="11"/>
          <c:order val="11"/>
          <c:tx>
            <c:v>暖房時室内ポイント-ミキシングポイントプロセス</c:v>
          </c:tx>
          <c:spPr>
            <a:ln w="12700">
              <a:solidFill>
                <a:srgbClr val="000000"/>
              </a:solidFill>
              <a:prstDash val="solid"/>
            </a:ln>
          </c:spPr>
          <c:marker>
            <c:symbol val="circle"/>
            <c:size val="6"/>
            <c:spPr>
              <a:solidFill>
                <a:srgbClr val="FFFFFF"/>
              </a:solidFill>
              <a:ln>
                <a:solidFill>
                  <a:srgbClr val="000000"/>
                </a:solidFill>
                <a:prstDash val="solid"/>
              </a:ln>
            </c:spPr>
          </c:marker>
          <c:xVal>
            <c:numLit>
              <c:formatCode>General</c:formatCode>
              <c:ptCount val="2"/>
              <c:pt idx="0">
                <c:v>21.658839761431413</c:v>
              </c:pt>
              <c:pt idx="1">
                <c:v>19.264445646123264</c:v>
              </c:pt>
            </c:numLit>
          </c:xVal>
          <c:yVal>
            <c:numLit>
              <c:formatCode>General</c:formatCode>
              <c:ptCount val="2"/>
              <c:pt idx="0">
                <c:v>6.5900000000000004E-3</c:v>
              </c:pt>
              <c:pt idx="1">
                <c:v>5.9699999999999996E-3</c:v>
              </c:pt>
            </c:numLit>
          </c:yVal>
          <c:smooth val="0"/>
          <c:extLst>
            <c:ext xmlns:c16="http://schemas.microsoft.com/office/drawing/2014/chart" uri="{C3380CC4-5D6E-409C-BE32-E72D297353CC}">
              <c16:uniqueId val="{0000001B-002F-4B6C-A9BE-12EE715FF7C1}"/>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drawings/_rels/drawing10.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1314450</xdr:colOff>
      <xdr:row>4</xdr:row>
      <xdr:rowOff>228600</xdr:rowOff>
    </xdr:from>
    <xdr:ext cx="4090626" cy="868956"/>
    <xdr:sp macro="" textlink="">
      <xdr:nvSpPr>
        <xdr:cNvPr id="2"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533400" y="857250"/>
          <a:ext cx="4090626" cy="868956"/>
        </a:xfrm>
        <a:prstGeom prst="rect">
          <a:avLst/>
        </a:prstGeom>
        <a:pattFill prst="ltHorz">
          <a:fgClr>
            <a:srgbClr val="DDDDDD"/>
          </a:fgClr>
          <a:bgClr>
            <a:schemeClr val="bg1"/>
          </a:bgClr>
        </a:patt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wrap="none" lIns="180000" tIns="18288" rIns="180000" bIns="0" anchor="ctr" anchorCtr="0" upright="1">
          <a:spAutoFit/>
        </a:bodyPr>
        <a:lstStyle/>
        <a:p>
          <a:pPr algn="l" rtl="0">
            <a:lnSpc>
              <a:spcPts val="1500"/>
            </a:lnSpc>
            <a:defRPr sz="1000"/>
          </a:pPr>
          <a:r>
            <a:rPr lang="ja-JP" altLang="en-US" sz="1100" b="0" i="0" u="none" strike="noStrike" baseline="0">
              <a:solidFill>
                <a:srgbClr val="1C1C1C"/>
              </a:solidFill>
              <a:latin typeface="Meiryo UI" panose="020B0604030504040204" pitchFamily="50" charset="-128"/>
              <a:ea typeface="Meiryo UI" panose="020B0604030504040204" pitchFamily="50" charset="-128"/>
            </a:rPr>
            <a:t>印刷するときはまず最初に表紙だけを選択して印刷し、</a:t>
          </a:r>
        </a:p>
        <a:p>
          <a:pPr algn="l" rtl="0">
            <a:lnSpc>
              <a:spcPts val="1500"/>
            </a:lnSpc>
            <a:defRPr sz="1000"/>
          </a:pPr>
          <a:r>
            <a:rPr lang="ja-JP" altLang="en-US" sz="1100" b="0" i="0" u="none" strike="noStrike" baseline="0">
              <a:solidFill>
                <a:srgbClr val="1C1C1C"/>
              </a:solidFill>
              <a:latin typeface="Meiryo UI" panose="020B0604030504040204" pitchFamily="50" charset="-128"/>
              <a:ea typeface="Meiryo UI" panose="020B0604030504040204" pitchFamily="50" charset="-128"/>
            </a:rPr>
            <a:t>次に表紙以外のすべてのシートをまとめて選択して印刷してください。</a:t>
          </a:r>
        </a:p>
        <a:p>
          <a:pPr algn="l" rtl="0">
            <a:defRPr sz="1000"/>
          </a:pPr>
          <a:r>
            <a:rPr lang="ja-JP" altLang="en-US" sz="1100" b="0" i="0" u="none" strike="noStrike" baseline="0">
              <a:solidFill>
                <a:srgbClr val="1C1C1C"/>
              </a:solidFill>
              <a:latin typeface="Meiryo UI" panose="020B0604030504040204" pitchFamily="50" charset="-128"/>
              <a:ea typeface="Meiryo UI" panose="020B0604030504040204" pitchFamily="50" charset="-128"/>
            </a:rPr>
            <a:t>この様にすると、表紙はﾍﾟｰｼﾞ数から除外できます。</a:t>
          </a:r>
        </a:p>
        <a:p>
          <a:pPr algn="l" rtl="0">
            <a:defRPr sz="1000"/>
          </a:pPr>
          <a:r>
            <a:rPr lang="ja-JP" altLang="en-US" sz="1100" b="0" i="0" u="none" strike="noStrike" baseline="0">
              <a:solidFill>
                <a:srgbClr val="1C1C1C"/>
              </a:solidFill>
              <a:latin typeface="Meiryo UI" panose="020B0604030504040204" pitchFamily="50" charset="-128"/>
              <a:ea typeface="Meiryo UI" panose="020B0604030504040204" pitchFamily="50" charset="-128"/>
            </a:rPr>
            <a:t>また、この注釈は印刷されません。</a:t>
          </a:r>
        </a:p>
      </xdr:txBody>
    </xdr:sp>
    <xdr:clientData fPrintsWithSheet="0"/>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0</xdr:rowOff>
    </xdr:from>
    <xdr:to>
      <xdr:col>12</xdr:col>
      <xdr:colOff>0</xdr:colOff>
      <xdr:row>28</xdr:row>
      <xdr:rowOff>0</xdr:rowOff>
    </xdr:to>
    <xdr:grpSp>
      <xdr:nvGrpSpPr>
        <xdr:cNvPr id="2" name="グループ化 1">
          <a:extLst>
            <a:ext uri="{FF2B5EF4-FFF2-40B4-BE49-F238E27FC236}">
              <a16:creationId xmlns:a16="http://schemas.microsoft.com/office/drawing/2014/main" id="{D3E16ABD-DBC1-4597-984C-D4A3822D51C6}"/>
            </a:ext>
          </a:extLst>
        </xdr:cNvPr>
        <xdr:cNvGrpSpPr/>
      </xdr:nvGrpSpPr>
      <xdr:grpSpPr>
        <a:xfrm>
          <a:off x="0" y="352425"/>
          <a:ext cx="7315200" cy="5943600"/>
          <a:chOff x="0" y="352425"/>
          <a:chExt cx="7315200" cy="5943600"/>
        </a:xfrm>
      </xdr:grpSpPr>
      <xdr:graphicFrame macro="">
        <xdr:nvGraphicFramePr>
          <xdr:cNvPr id="3" name="HXC_V1_LA7">
            <a:extLst>
              <a:ext uri="{FF2B5EF4-FFF2-40B4-BE49-F238E27FC236}">
                <a16:creationId xmlns:a16="http://schemas.microsoft.com/office/drawing/2014/main" id="{8E7D8CF5-82A7-4420-BD17-45FEB06F694C}"/>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HXC_V1_LA6">
            <a:extLst>
              <a:ext uri="{FF2B5EF4-FFF2-40B4-BE49-F238E27FC236}">
                <a16:creationId xmlns:a16="http://schemas.microsoft.com/office/drawing/2014/main" id="{AAD5D004-48C2-4228-9889-A871A1F03B0E}"/>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HXC_V1_LA5">
            <a:extLst>
              <a:ext uri="{FF2B5EF4-FFF2-40B4-BE49-F238E27FC236}">
                <a16:creationId xmlns:a16="http://schemas.microsoft.com/office/drawing/2014/main" id="{8067D40F-294B-4450-8208-9290B52BE039}"/>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HXC_V1_LA4">
            <a:extLst>
              <a:ext uri="{FF2B5EF4-FFF2-40B4-BE49-F238E27FC236}">
                <a16:creationId xmlns:a16="http://schemas.microsoft.com/office/drawing/2014/main" id="{575D4852-B421-4B7D-A2B0-0C1B3D8DC794}"/>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7" name="HXC_V1_LA3">
            <a:extLst>
              <a:ext uri="{FF2B5EF4-FFF2-40B4-BE49-F238E27FC236}">
                <a16:creationId xmlns:a16="http://schemas.microsoft.com/office/drawing/2014/main" id="{4F47240D-49C5-4FCB-BE8E-BC0FEC0EC652}"/>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8" name="HXC_V1_LA2">
            <a:extLst>
              <a:ext uri="{FF2B5EF4-FFF2-40B4-BE49-F238E27FC236}">
                <a16:creationId xmlns:a16="http://schemas.microsoft.com/office/drawing/2014/main" id="{8B48083F-4DB1-49AB-B37B-8F0AD29341C1}"/>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9" name="HXC_V1_LA1">
            <a:extLst>
              <a:ext uri="{FF2B5EF4-FFF2-40B4-BE49-F238E27FC236}">
                <a16:creationId xmlns:a16="http://schemas.microsoft.com/office/drawing/2014/main" id="{7BC16593-7D95-4810-B144-BCA532210647}"/>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 name="HXC_V1_LA0">
            <a:extLst>
              <a:ext uri="{FF2B5EF4-FFF2-40B4-BE49-F238E27FC236}">
                <a16:creationId xmlns:a16="http://schemas.microsoft.com/office/drawing/2014/main" id="{36C22329-B67B-4A60-930E-89CE5E8A199A}"/>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0</xdr:colOff>
      <xdr:row>9</xdr:row>
      <xdr:rowOff>0</xdr:rowOff>
    </xdr:from>
    <xdr:ext cx="4433455" cy="3013364"/>
    <xdr:sp macro="" textlink="">
      <xdr:nvSpPr>
        <xdr:cNvPr id="2" name="建屋1">
          <a:extLst>
            <a:ext uri="{FF2B5EF4-FFF2-40B4-BE49-F238E27FC236}">
              <a16:creationId xmlns:a16="http://schemas.microsoft.com/office/drawing/2014/main" id="{6682D8E2-6D03-4911-AF26-3CBADE55BB73}"/>
            </a:ext>
          </a:extLst>
        </xdr:cNvPr>
        <xdr:cNvSpPr>
          <a:spLocks noChangeArrowheads="1"/>
        </xdr:cNvSpPr>
      </xdr:nvSpPr>
      <xdr:spPr bwMode="auto">
        <a:xfrm rot="1200000">
          <a:off x="1714500" y="2381250"/>
          <a:ext cx="4433455" cy="3013364"/>
        </a:xfrm>
        <a:prstGeom prst="rect">
          <a:avLst/>
        </a:prstGeom>
        <a:gradFill flip="none" rotWithShape="1">
          <a:gsLst>
            <a:gs pos="91500">
              <a:srgbClr val="EAEAEA"/>
            </a:gs>
            <a:gs pos="68000">
              <a:srgbClr val="DDDDDD"/>
            </a:gs>
            <a:gs pos="99000">
              <a:srgbClr val="F8F8F8"/>
            </a:gs>
          </a:gsLst>
          <a:path path="circle">
            <a:fillToRect r="100000" b="100000"/>
          </a:path>
          <a:tileRect l="-100000" t="-100000"/>
        </a:gradFill>
        <a:ln w="19050">
          <a:solidFill>
            <a:srgbClr val="5F5F5F"/>
          </a:solidFill>
          <a:miter lim="800000"/>
          <a:headEnd/>
          <a:tailEnd/>
        </a:ln>
        <a:effectLst>
          <a:outerShdw blurRad="50800" dist="38100" algn="l" rotWithShape="0">
            <a:prstClr val="black">
              <a:alpha val="0"/>
            </a:prstClr>
          </a:outerShdw>
        </a:effectLst>
        <a:scene3d>
          <a:camera prst="orthographicFront"/>
          <a:lightRig rig="threePt" dir="t"/>
        </a:scene3d>
        <a:sp3d>
          <a:bevelT prst="slope"/>
        </a:sp3d>
        <a:extLst/>
      </xdr:spPr>
    </xdr:sp>
    <xdr:clientData/>
  </xdr:oneCellAnchor>
  <xdr:oneCellAnchor>
    <xdr:from>
      <xdr:col>6</xdr:col>
      <xdr:colOff>545911</xdr:colOff>
      <xdr:row>7</xdr:row>
      <xdr:rowOff>160714</xdr:rowOff>
    </xdr:from>
    <xdr:ext cx="401782" cy="171450"/>
    <xdr:sp macro="" textlink="">
      <xdr:nvSpPr>
        <xdr:cNvPr id="3" name="北面1">
          <a:extLst>
            <a:ext uri="{FF2B5EF4-FFF2-40B4-BE49-F238E27FC236}">
              <a16:creationId xmlns:a16="http://schemas.microsoft.com/office/drawing/2014/main" id="{356DAD18-2F2A-497A-B2B1-E0B251C76262}"/>
            </a:ext>
          </a:extLst>
        </xdr:cNvPr>
        <xdr:cNvSpPr txBox="1">
          <a:spLocks noChangeArrowheads="1"/>
        </xdr:cNvSpPr>
      </xdr:nvSpPr>
      <xdr:spPr bwMode="auto">
        <a:xfrm>
          <a:off x="3917761" y="2046664"/>
          <a:ext cx="401782"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N</a:t>
          </a:r>
          <a:endParaRPr lang="ja-JP" altLang="en-US" sz="1200" b="1"/>
        </a:p>
      </xdr:txBody>
    </xdr:sp>
    <xdr:clientData/>
  </xdr:oneCellAnchor>
  <xdr:oneCellAnchor>
    <xdr:from>
      <xdr:col>11</xdr:col>
      <xdr:colOff>134170</xdr:colOff>
      <xdr:row>16</xdr:row>
      <xdr:rowOff>229383</xdr:rowOff>
    </xdr:from>
    <xdr:ext cx="400050" cy="174914"/>
    <xdr:sp macro="" textlink="">
      <xdr:nvSpPr>
        <xdr:cNvPr id="4" name="東面1">
          <a:extLst>
            <a:ext uri="{FF2B5EF4-FFF2-40B4-BE49-F238E27FC236}">
              <a16:creationId xmlns:a16="http://schemas.microsoft.com/office/drawing/2014/main" id="{4B649877-6E57-4791-808F-CEF0BF6F0FCA}"/>
            </a:ext>
          </a:extLst>
        </xdr:cNvPr>
        <xdr:cNvSpPr txBox="1">
          <a:spLocks noChangeArrowheads="1"/>
        </xdr:cNvSpPr>
      </xdr:nvSpPr>
      <xdr:spPr bwMode="auto">
        <a:xfrm>
          <a:off x="6268270" y="4344183"/>
          <a:ext cx="400050" cy="17491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E</a:t>
          </a:r>
          <a:endParaRPr lang="ja-JP" altLang="en-US" sz="1200" b="1"/>
        </a:p>
      </xdr:txBody>
    </xdr:sp>
    <xdr:clientData/>
  </xdr:oneCellAnchor>
  <xdr:oneCellAnchor>
    <xdr:from>
      <xdr:col>6</xdr:col>
      <xdr:colOff>171062</xdr:colOff>
      <xdr:row>21</xdr:row>
      <xdr:rowOff>204700</xdr:rowOff>
    </xdr:from>
    <xdr:ext cx="400050" cy="174913"/>
    <xdr:sp macro="" textlink="">
      <xdr:nvSpPr>
        <xdr:cNvPr id="5" name="南面1">
          <a:extLst>
            <a:ext uri="{FF2B5EF4-FFF2-40B4-BE49-F238E27FC236}">
              <a16:creationId xmlns:a16="http://schemas.microsoft.com/office/drawing/2014/main" id="{29105212-6476-4E01-8887-1F380404EA06}"/>
            </a:ext>
          </a:extLst>
        </xdr:cNvPr>
        <xdr:cNvSpPr txBox="1">
          <a:spLocks noChangeArrowheads="1"/>
        </xdr:cNvSpPr>
      </xdr:nvSpPr>
      <xdr:spPr bwMode="auto">
        <a:xfrm>
          <a:off x="3542912" y="5557750"/>
          <a:ext cx="400050" cy="17491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S</a:t>
          </a:r>
          <a:endParaRPr lang="ja-JP" altLang="en-US" sz="1200" b="1"/>
        </a:p>
      </xdr:txBody>
    </xdr:sp>
    <xdr:clientData/>
  </xdr:oneCellAnchor>
  <xdr:oneCellAnchor>
    <xdr:from>
      <xdr:col>2</xdr:col>
      <xdr:colOff>30353</xdr:colOff>
      <xdr:row>12</xdr:row>
      <xdr:rowOff>132566</xdr:rowOff>
    </xdr:from>
    <xdr:ext cx="401782" cy="171450"/>
    <xdr:sp macro="" textlink="">
      <xdr:nvSpPr>
        <xdr:cNvPr id="6" name="西面1">
          <a:extLst>
            <a:ext uri="{FF2B5EF4-FFF2-40B4-BE49-F238E27FC236}">
              <a16:creationId xmlns:a16="http://schemas.microsoft.com/office/drawing/2014/main" id="{BEEA3CB2-BE17-46D7-B6B9-964B2137F709}"/>
            </a:ext>
          </a:extLst>
        </xdr:cNvPr>
        <xdr:cNvSpPr txBox="1">
          <a:spLocks noChangeArrowheads="1"/>
        </xdr:cNvSpPr>
      </xdr:nvSpPr>
      <xdr:spPr bwMode="auto">
        <a:xfrm>
          <a:off x="1192403" y="3256766"/>
          <a:ext cx="401782"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W</a:t>
          </a:r>
        </a:p>
      </xdr:txBody>
    </xdr:sp>
    <xdr:clientData/>
  </xdr:oneCellAnchor>
  <xdr:oneCellAnchor>
    <xdr:from>
      <xdr:col>7</xdr:col>
      <xdr:colOff>0</xdr:colOff>
      <xdr:row>8</xdr:row>
      <xdr:rowOff>0</xdr:rowOff>
    </xdr:from>
    <xdr:ext cx="0" cy="3515591"/>
    <xdr:sp macro="" textlink="">
      <xdr:nvSpPr>
        <xdr:cNvPr id="7" name="垂直線21">
          <a:extLst>
            <a:ext uri="{FF2B5EF4-FFF2-40B4-BE49-F238E27FC236}">
              <a16:creationId xmlns:a16="http://schemas.microsoft.com/office/drawing/2014/main" id="{887FDE3B-0903-478B-92A2-35AF130A63C0}"/>
            </a:ext>
          </a:extLst>
        </xdr:cNvPr>
        <xdr:cNvSpPr>
          <a:spLocks noChangeShapeType="1"/>
        </xdr:cNvSpPr>
      </xdr:nvSpPr>
      <xdr:spPr bwMode="auto">
        <a:xfrm rot="1200000" flipV="1">
          <a:off x="3924300" y="2133600"/>
          <a:ext cx="0" cy="3515591"/>
        </a:xfrm>
        <a:prstGeom prst="line">
          <a:avLst/>
        </a:prstGeom>
        <a:noFill/>
        <a:ln w="952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xdr:col>
      <xdr:colOff>0</xdr:colOff>
      <xdr:row>15</xdr:row>
      <xdr:rowOff>0</xdr:rowOff>
    </xdr:from>
    <xdr:ext cx="5541818" cy="0"/>
    <xdr:sp macro="" textlink="">
      <xdr:nvSpPr>
        <xdr:cNvPr id="8" name="水平線21">
          <a:extLst>
            <a:ext uri="{FF2B5EF4-FFF2-40B4-BE49-F238E27FC236}">
              <a16:creationId xmlns:a16="http://schemas.microsoft.com/office/drawing/2014/main" id="{53B9BA7C-EDD0-49AD-9FE7-DC95CE7A1A37}"/>
            </a:ext>
          </a:extLst>
        </xdr:cNvPr>
        <xdr:cNvSpPr>
          <a:spLocks noChangeShapeType="1"/>
        </xdr:cNvSpPr>
      </xdr:nvSpPr>
      <xdr:spPr bwMode="auto">
        <a:xfrm rot="1200000">
          <a:off x="1162050" y="3867150"/>
          <a:ext cx="5541818" cy="0"/>
        </a:xfrm>
        <a:prstGeom prst="line">
          <a:avLst/>
        </a:prstGeom>
        <a:noFill/>
        <a:ln w="952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xdr:col>
      <xdr:colOff>507276</xdr:colOff>
      <xdr:row>9</xdr:row>
      <xdr:rowOff>0</xdr:rowOff>
    </xdr:from>
    <xdr:ext cx="4419600" cy="2971800"/>
    <xdr:sp macro="" textlink="">
      <xdr:nvSpPr>
        <xdr:cNvPr id="9" name="建屋2">
          <a:extLst>
            <a:ext uri="{FF2B5EF4-FFF2-40B4-BE49-F238E27FC236}">
              <a16:creationId xmlns:a16="http://schemas.microsoft.com/office/drawing/2014/main" id="{573F47C1-F7F1-4B75-8DED-9083DE152FBC}"/>
            </a:ext>
          </a:extLst>
        </xdr:cNvPr>
        <xdr:cNvSpPr>
          <a:spLocks noChangeArrowheads="1"/>
        </xdr:cNvSpPr>
      </xdr:nvSpPr>
      <xdr:spPr bwMode="auto">
        <a:xfrm rot="1200000">
          <a:off x="9517926" y="2381250"/>
          <a:ext cx="4419600" cy="2971800"/>
        </a:xfrm>
        <a:prstGeom prst="rect">
          <a:avLst/>
        </a:prstGeom>
        <a:gradFill flip="none" rotWithShape="1">
          <a:gsLst>
            <a:gs pos="91500">
              <a:srgbClr val="EAEAEA"/>
            </a:gs>
            <a:gs pos="68000">
              <a:srgbClr val="DDDDDD"/>
            </a:gs>
            <a:gs pos="99000">
              <a:srgbClr val="F8F8F8"/>
            </a:gs>
          </a:gsLst>
          <a:path path="circle">
            <a:fillToRect r="100000" b="100000"/>
          </a:path>
          <a:tileRect l="-100000" t="-100000"/>
        </a:gradFill>
        <a:ln w="19050">
          <a:solidFill>
            <a:srgbClr val="5F5F5F"/>
          </a:solidFill>
          <a:miter lim="800000"/>
          <a:headEnd/>
          <a:tailEnd/>
        </a:ln>
        <a:effectLst>
          <a:outerShdw blurRad="50800" dist="38100" algn="l" rotWithShape="0">
            <a:prstClr val="black">
              <a:alpha val="0"/>
            </a:prstClr>
          </a:outerShdw>
        </a:effectLst>
        <a:scene3d>
          <a:camera prst="orthographicFront"/>
          <a:lightRig rig="threePt" dir="t"/>
        </a:scene3d>
        <a:sp3d>
          <a:bevelT prst="slope"/>
        </a:sp3d>
        <a:extLst/>
      </xdr:spPr>
    </xdr:sp>
    <xdr:clientData/>
  </xdr:oneCellAnchor>
  <xdr:oneCellAnchor>
    <xdr:from>
      <xdr:col>20</xdr:col>
      <xdr:colOff>488434</xdr:colOff>
      <xdr:row>7</xdr:row>
      <xdr:rowOff>159461</xdr:rowOff>
    </xdr:from>
    <xdr:ext cx="400050" cy="171450"/>
    <xdr:sp macro="" textlink="">
      <xdr:nvSpPr>
        <xdr:cNvPr id="10" name="北面2">
          <a:extLst>
            <a:ext uri="{FF2B5EF4-FFF2-40B4-BE49-F238E27FC236}">
              <a16:creationId xmlns:a16="http://schemas.microsoft.com/office/drawing/2014/main" id="{F6D3D608-6882-4A07-8553-81881728C548}"/>
            </a:ext>
          </a:extLst>
        </xdr:cNvPr>
        <xdr:cNvSpPr txBox="1">
          <a:spLocks noChangeArrowheads="1"/>
        </xdr:cNvSpPr>
      </xdr:nvSpPr>
      <xdr:spPr bwMode="auto">
        <a:xfrm>
          <a:off x="11708884" y="2045411"/>
          <a:ext cx="40005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a:latin typeface="ＭＳ Ｐゴシック" panose="020B0600070205080204" pitchFamily="50" charset="-128"/>
              <a:ea typeface="ＭＳ Ｐゴシック" panose="020B0600070205080204" pitchFamily="50" charset="-128"/>
            </a:rPr>
            <a:t>N</a:t>
          </a:r>
          <a:endParaRPr lang="ja-JP" altLang="en-US" sz="1200" b="1">
            <a:latin typeface="ＭＳ Ｐゴシック" panose="020B0600070205080204" pitchFamily="50" charset="-128"/>
            <a:ea typeface="ＭＳ Ｐゴシック" panose="020B0600070205080204" pitchFamily="50" charset="-128"/>
          </a:endParaRPr>
        </a:p>
      </xdr:txBody>
    </xdr:sp>
    <xdr:clientData/>
  </xdr:oneCellAnchor>
  <xdr:oneCellAnchor>
    <xdr:from>
      <xdr:col>20</xdr:col>
      <xdr:colOff>126068</xdr:colOff>
      <xdr:row>21</xdr:row>
      <xdr:rowOff>164389</xdr:rowOff>
    </xdr:from>
    <xdr:ext cx="400050" cy="171450"/>
    <xdr:sp macro="" textlink="">
      <xdr:nvSpPr>
        <xdr:cNvPr id="11" name="南面2">
          <a:extLst>
            <a:ext uri="{FF2B5EF4-FFF2-40B4-BE49-F238E27FC236}">
              <a16:creationId xmlns:a16="http://schemas.microsoft.com/office/drawing/2014/main" id="{79967F98-8B15-4365-A599-30B44720822B}"/>
            </a:ext>
          </a:extLst>
        </xdr:cNvPr>
        <xdr:cNvSpPr txBox="1">
          <a:spLocks noChangeArrowheads="1"/>
        </xdr:cNvSpPr>
      </xdr:nvSpPr>
      <xdr:spPr bwMode="auto">
        <a:xfrm>
          <a:off x="11346518" y="5517439"/>
          <a:ext cx="40005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S</a:t>
          </a:r>
          <a:endParaRPr lang="ja-JP" altLang="en-US" sz="1200" b="1"/>
        </a:p>
      </xdr:txBody>
    </xdr:sp>
    <xdr:clientData/>
  </xdr:oneCellAnchor>
  <xdr:oneCellAnchor>
    <xdr:from>
      <xdr:col>15</xdr:col>
      <xdr:colOff>538943</xdr:colOff>
      <xdr:row>12</xdr:row>
      <xdr:rowOff>114154</xdr:rowOff>
    </xdr:from>
    <xdr:ext cx="400050" cy="171450"/>
    <xdr:sp macro="" textlink="">
      <xdr:nvSpPr>
        <xdr:cNvPr id="12" name="西面2">
          <a:extLst>
            <a:ext uri="{FF2B5EF4-FFF2-40B4-BE49-F238E27FC236}">
              <a16:creationId xmlns:a16="http://schemas.microsoft.com/office/drawing/2014/main" id="{6BE8E910-3B18-4D8A-BDF3-C32183C178B2}"/>
            </a:ext>
          </a:extLst>
        </xdr:cNvPr>
        <xdr:cNvSpPr txBox="1">
          <a:spLocks noChangeArrowheads="1"/>
        </xdr:cNvSpPr>
      </xdr:nvSpPr>
      <xdr:spPr bwMode="auto">
        <a:xfrm>
          <a:off x="8997143" y="3238354"/>
          <a:ext cx="40005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a:latin typeface="ＭＳ Ｐゴシック" panose="020B0600070205080204" pitchFamily="50" charset="-128"/>
              <a:ea typeface="ＭＳ Ｐゴシック" panose="020B0600070205080204" pitchFamily="50" charset="-128"/>
            </a:rPr>
            <a:t>W</a:t>
          </a:r>
          <a:endParaRPr lang="ja-JP" altLang="en-US" sz="1200" b="1">
            <a:latin typeface="ＭＳ Ｐゴシック" panose="020B0600070205080204" pitchFamily="50" charset="-128"/>
            <a:ea typeface="ＭＳ Ｐゴシック" panose="020B0600070205080204" pitchFamily="50" charset="-128"/>
          </a:endParaRPr>
        </a:p>
      </xdr:txBody>
    </xdr:sp>
    <xdr:clientData/>
  </xdr:oneCellAnchor>
  <xdr:oneCellAnchor>
    <xdr:from>
      <xdr:col>20</xdr:col>
      <xdr:colOff>498472</xdr:colOff>
      <xdr:row>8</xdr:row>
      <xdr:rowOff>0</xdr:rowOff>
    </xdr:from>
    <xdr:ext cx="0" cy="3467100"/>
    <xdr:sp macro="" textlink="">
      <xdr:nvSpPr>
        <xdr:cNvPr id="13" name="垂直線22">
          <a:extLst>
            <a:ext uri="{FF2B5EF4-FFF2-40B4-BE49-F238E27FC236}">
              <a16:creationId xmlns:a16="http://schemas.microsoft.com/office/drawing/2014/main" id="{BC6B2055-E578-4F1C-BA0F-08A92896A0EF}"/>
            </a:ext>
          </a:extLst>
        </xdr:cNvPr>
        <xdr:cNvSpPr>
          <a:spLocks noChangeShapeType="1"/>
        </xdr:cNvSpPr>
      </xdr:nvSpPr>
      <xdr:spPr bwMode="auto">
        <a:xfrm rot="1200000" flipV="1">
          <a:off x="11718922" y="2133600"/>
          <a:ext cx="0" cy="3467100"/>
        </a:xfrm>
        <a:prstGeom prst="line">
          <a:avLst/>
        </a:prstGeom>
        <a:noFill/>
        <a:ln w="952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xdr:col>
      <xdr:colOff>373380</xdr:colOff>
      <xdr:row>27</xdr:row>
      <xdr:rowOff>57150</xdr:rowOff>
    </xdr:from>
    <xdr:ext cx="266700" cy="180975"/>
    <xdr:sp macro="" textlink="">
      <xdr:nvSpPr>
        <xdr:cNvPr id="14" name="Text Box 13">
          <a:extLst>
            <a:ext uri="{FF2B5EF4-FFF2-40B4-BE49-F238E27FC236}">
              <a16:creationId xmlns:a16="http://schemas.microsoft.com/office/drawing/2014/main" id="{1FF84C50-ADCE-4FE5-9830-1082E4504A8A}"/>
            </a:ext>
          </a:extLst>
        </xdr:cNvPr>
        <xdr:cNvSpPr txBox="1">
          <a:spLocks noChangeArrowheads="1"/>
        </xdr:cNvSpPr>
      </xdr:nvSpPr>
      <xdr:spPr bwMode="auto">
        <a:xfrm>
          <a:off x="11593830" y="6896100"/>
          <a:ext cx="2667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endParaRPr lang="ja-JP" altLang="en-US" sz="1200"/>
        </a:p>
      </xdr:txBody>
    </xdr:sp>
    <xdr:clientData/>
  </xdr:oneCellAnchor>
  <xdr:oneCellAnchor>
    <xdr:from>
      <xdr:col>16</xdr:col>
      <xdr:colOff>0</xdr:colOff>
      <xdr:row>14</xdr:row>
      <xdr:rowOff>236220</xdr:rowOff>
    </xdr:from>
    <xdr:ext cx="5524500" cy="0"/>
    <xdr:sp macro="" textlink="">
      <xdr:nvSpPr>
        <xdr:cNvPr id="15" name="水平線22">
          <a:extLst>
            <a:ext uri="{FF2B5EF4-FFF2-40B4-BE49-F238E27FC236}">
              <a16:creationId xmlns:a16="http://schemas.microsoft.com/office/drawing/2014/main" id="{E1B85E0C-167A-4729-9776-5B19057B5967}"/>
            </a:ext>
          </a:extLst>
        </xdr:cNvPr>
        <xdr:cNvSpPr>
          <a:spLocks noChangeShapeType="1"/>
        </xdr:cNvSpPr>
      </xdr:nvSpPr>
      <xdr:spPr bwMode="auto">
        <a:xfrm rot="1200000">
          <a:off x="9010650" y="3855720"/>
          <a:ext cx="5524500" cy="0"/>
        </a:xfrm>
        <a:prstGeom prst="line">
          <a:avLst/>
        </a:prstGeom>
        <a:noFill/>
        <a:ln w="952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6</xdr:col>
      <xdr:colOff>428169</xdr:colOff>
      <xdr:row>27</xdr:row>
      <xdr:rowOff>53541</xdr:rowOff>
    </xdr:from>
    <xdr:to>
      <xdr:col>7</xdr:col>
      <xdr:colOff>143216</xdr:colOff>
      <xdr:row>27</xdr:row>
      <xdr:rowOff>238125</xdr:rowOff>
    </xdr:to>
    <xdr:sp macro="" textlink="">
      <xdr:nvSpPr>
        <xdr:cNvPr id="16" name="Text Box 13">
          <a:extLst>
            <a:ext uri="{FF2B5EF4-FFF2-40B4-BE49-F238E27FC236}">
              <a16:creationId xmlns:a16="http://schemas.microsoft.com/office/drawing/2014/main" id="{B3B58955-D3EF-45B0-8A37-A3378E15D60C}"/>
            </a:ext>
          </a:extLst>
        </xdr:cNvPr>
        <xdr:cNvSpPr txBox="1">
          <a:spLocks noChangeArrowheads="1"/>
        </xdr:cNvSpPr>
      </xdr:nvSpPr>
      <xdr:spPr bwMode="auto">
        <a:xfrm>
          <a:off x="3800019" y="6892491"/>
          <a:ext cx="267497" cy="1845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南</a:t>
          </a:r>
          <a:endParaRPr lang="ja-JP" altLang="en-US" sz="1200"/>
        </a:p>
      </xdr:txBody>
    </xdr:sp>
    <xdr:clientData/>
  </xdr:twoCellAnchor>
  <xdr:twoCellAnchor>
    <xdr:from>
      <xdr:col>12</xdr:col>
      <xdr:colOff>257813</xdr:colOff>
      <xdr:row>14</xdr:row>
      <xdr:rowOff>142852</xdr:rowOff>
    </xdr:from>
    <xdr:to>
      <xdr:col>12</xdr:col>
      <xdr:colOff>523875</xdr:colOff>
      <xdr:row>15</xdr:row>
      <xdr:rowOff>74702</xdr:rowOff>
    </xdr:to>
    <xdr:sp macro="" textlink="">
      <xdr:nvSpPr>
        <xdr:cNvPr id="17" name="Text Box 14">
          <a:extLst>
            <a:ext uri="{FF2B5EF4-FFF2-40B4-BE49-F238E27FC236}">
              <a16:creationId xmlns:a16="http://schemas.microsoft.com/office/drawing/2014/main" id="{820B2791-6F37-4A9F-BE98-9374D304379F}"/>
            </a:ext>
          </a:extLst>
        </xdr:cNvPr>
        <xdr:cNvSpPr txBox="1">
          <a:spLocks noChangeArrowheads="1"/>
        </xdr:cNvSpPr>
      </xdr:nvSpPr>
      <xdr:spPr bwMode="auto">
        <a:xfrm>
          <a:off x="6944363" y="3762352"/>
          <a:ext cx="266062" cy="179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東</a:t>
          </a:r>
          <a:endParaRPr lang="ja-JP" altLang="en-US" sz="1200"/>
        </a:p>
      </xdr:txBody>
    </xdr:sp>
    <xdr:clientData/>
  </xdr:twoCellAnchor>
  <xdr:twoCellAnchor>
    <xdr:from>
      <xdr:col>1</xdr:col>
      <xdr:colOff>0</xdr:colOff>
      <xdr:row>14</xdr:row>
      <xdr:rowOff>162282</xdr:rowOff>
    </xdr:from>
    <xdr:to>
      <xdr:col>1</xdr:col>
      <xdr:colOff>266062</xdr:colOff>
      <xdr:row>15</xdr:row>
      <xdr:rowOff>94132</xdr:rowOff>
    </xdr:to>
    <xdr:sp macro="" textlink="">
      <xdr:nvSpPr>
        <xdr:cNvPr id="18" name="Text Box 15">
          <a:extLst>
            <a:ext uri="{FF2B5EF4-FFF2-40B4-BE49-F238E27FC236}">
              <a16:creationId xmlns:a16="http://schemas.microsoft.com/office/drawing/2014/main" id="{22A70BD4-1544-41CF-9967-7953C48B1752}"/>
            </a:ext>
          </a:extLst>
        </xdr:cNvPr>
        <xdr:cNvSpPr txBox="1">
          <a:spLocks noChangeArrowheads="1"/>
        </xdr:cNvSpPr>
      </xdr:nvSpPr>
      <xdr:spPr bwMode="auto">
        <a:xfrm>
          <a:off x="609600" y="3781782"/>
          <a:ext cx="266062" cy="179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西</a:t>
          </a:r>
          <a:endParaRPr lang="ja-JP" altLang="en-US" sz="1200"/>
        </a:p>
      </xdr:txBody>
    </xdr:sp>
    <xdr:clientData/>
  </xdr:twoCellAnchor>
  <xdr:twoCellAnchor>
    <xdr:from>
      <xdr:col>6</xdr:col>
      <xdr:colOff>407264</xdr:colOff>
      <xdr:row>2</xdr:row>
      <xdr:rowOff>57150</xdr:rowOff>
    </xdr:from>
    <xdr:to>
      <xdr:col>7</xdr:col>
      <xdr:colOff>141316</xdr:colOff>
      <xdr:row>2</xdr:row>
      <xdr:rowOff>241734</xdr:rowOff>
    </xdr:to>
    <xdr:sp macro="" textlink="">
      <xdr:nvSpPr>
        <xdr:cNvPr id="19" name="Text Box 16">
          <a:extLst>
            <a:ext uri="{FF2B5EF4-FFF2-40B4-BE49-F238E27FC236}">
              <a16:creationId xmlns:a16="http://schemas.microsoft.com/office/drawing/2014/main" id="{48B4A1EA-0538-42F6-99E3-8724E7AEB025}"/>
            </a:ext>
          </a:extLst>
        </xdr:cNvPr>
        <xdr:cNvSpPr txBox="1">
          <a:spLocks noChangeArrowheads="1"/>
        </xdr:cNvSpPr>
      </xdr:nvSpPr>
      <xdr:spPr bwMode="auto">
        <a:xfrm>
          <a:off x="3779114" y="704850"/>
          <a:ext cx="286502" cy="1845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北</a:t>
          </a:r>
          <a:endParaRPr lang="ja-JP" altLang="en-US" sz="1200"/>
        </a:p>
      </xdr:txBody>
    </xdr:sp>
    <xdr:clientData/>
  </xdr:twoCellAnchor>
  <xdr:twoCellAnchor>
    <xdr:from>
      <xdr:col>6</xdr:col>
      <xdr:colOff>442423</xdr:colOff>
      <xdr:row>2</xdr:row>
      <xdr:rowOff>241734</xdr:rowOff>
    </xdr:from>
    <xdr:to>
      <xdr:col>7</xdr:col>
      <xdr:colOff>683</xdr:colOff>
      <xdr:row>4</xdr:row>
      <xdr:rowOff>124865</xdr:rowOff>
    </xdr:to>
    <xdr:cxnSp macro="">
      <xdr:nvCxnSpPr>
        <xdr:cNvPr id="20" name="直線コネクタ 19">
          <a:extLst>
            <a:ext uri="{FF2B5EF4-FFF2-40B4-BE49-F238E27FC236}">
              <a16:creationId xmlns:a16="http://schemas.microsoft.com/office/drawing/2014/main" id="{FA16AC7F-57E6-4693-9D36-463539EA1607}"/>
            </a:ext>
          </a:extLst>
        </xdr:cNvPr>
        <xdr:cNvCxnSpPr/>
      </xdr:nvCxnSpPr>
      <xdr:spPr bwMode="auto">
        <a:xfrm flipH="1">
          <a:off x="3814273" y="889434"/>
          <a:ext cx="110710" cy="37843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444798</xdr:colOff>
      <xdr:row>4</xdr:row>
      <xdr:rowOff>120008</xdr:rowOff>
    </xdr:from>
    <xdr:to>
      <xdr:col>7</xdr:col>
      <xdr:colOff>5435</xdr:colOff>
      <xdr:row>4</xdr:row>
      <xdr:rowOff>214728</xdr:rowOff>
    </xdr:to>
    <xdr:cxnSp macro="">
      <xdr:nvCxnSpPr>
        <xdr:cNvPr id="21" name="直線コネクタ 20">
          <a:extLst>
            <a:ext uri="{FF2B5EF4-FFF2-40B4-BE49-F238E27FC236}">
              <a16:creationId xmlns:a16="http://schemas.microsoft.com/office/drawing/2014/main" id="{F074F7A8-35FD-4E11-AE2B-D3E1A3937F30}"/>
            </a:ext>
          </a:extLst>
        </xdr:cNvPr>
        <xdr:cNvCxnSpPr/>
      </xdr:nvCxnSpPr>
      <xdr:spPr bwMode="auto">
        <a:xfrm>
          <a:off x="3816648" y="1263008"/>
          <a:ext cx="113087" cy="947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228053</xdr:colOff>
      <xdr:row>14</xdr:row>
      <xdr:rowOff>248097</xdr:rowOff>
    </xdr:from>
    <xdr:to>
      <xdr:col>12</xdr:col>
      <xdr:colOff>286320</xdr:colOff>
      <xdr:row>14</xdr:row>
      <xdr:rowOff>248097</xdr:rowOff>
    </xdr:to>
    <xdr:sp macro="" textlink="">
      <xdr:nvSpPr>
        <xdr:cNvPr id="22" name="水平線1">
          <a:extLst>
            <a:ext uri="{FF2B5EF4-FFF2-40B4-BE49-F238E27FC236}">
              <a16:creationId xmlns:a16="http://schemas.microsoft.com/office/drawing/2014/main" id="{59EB0B89-3A2D-49F7-9975-CBA3AF8378C4}"/>
            </a:ext>
          </a:extLst>
        </xdr:cNvPr>
        <xdr:cNvSpPr>
          <a:spLocks noChangeShapeType="1"/>
        </xdr:cNvSpPr>
      </xdr:nvSpPr>
      <xdr:spPr bwMode="auto">
        <a:xfrm>
          <a:off x="837653" y="3867597"/>
          <a:ext cx="6135217"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684</xdr:colOff>
      <xdr:row>2</xdr:row>
      <xdr:rowOff>249829</xdr:rowOff>
    </xdr:from>
    <xdr:to>
      <xdr:col>7</xdr:col>
      <xdr:colOff>684</xdr:colOff>
      <xdr:row>26</xdr:row>
      <xdr:rowOff>246364</xdr:rowOff>
    </xdr:to>
    <xdr:sp macro="" textlink="">
      <xdr:nvSpPr>
        <xdr:cNvPr id="23" name="垂直線1">
          <a:extLst>
            <a:ext uri="{FF2B5EF4-FFF2-40B4-BE49-F238E27FC236}">
              <a16:creationId xmlns:a16="http://schemas.microsoft.com/office/drawing/2014/main" id="{3F98CD17-06BD-406F-99C6-32E5AD09F1BD}"/>
            </a:ext>
          </a:extLst>
        </xdr:cNvPr>
        <xdr:cNvSpPr>
          <a:spLocks noChangeShapeType="1"/>
        </xdr:cNvSpPr>
      </xdr:nvSpPr>
      <xdr:spPr bwMode="auto">
        <a:xfrm>
          <a:off x="3924984" y="897529"/>
          <a:ext cx="0" cy="5940135"/>
        </a:xfrm>
        <a:prstGeom prst="line">
          <a:avLst/>
        </a:prstGeom>
        <a:noFill/>
        <a:ln w="19050" cap="rnd">
          <a:solidFill>
            <a:srgbClr xmlns:mc="http://schemas.openxmlformats.org/markup-compatibility/2006" xmlns:a14="http://schemas.microsoft.com/office/drawing/2010/main" val="000000" mc:Ignorable="a14" a14:legacySpreadsheetColorIndex="64"/>
          </a:solidFill>
          <a:miter lim="800000"/>
          <a:headEnd type="none" w="med" len="lg"/>
          <a:tailEnd type="non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373675</xdr:colOff>
      <xdr:row>27</xdr:row>
      <xdr:rowOff>44016</xdr:rowOff>
    </xdr:from>
    <xdr:to>
      <xdr:col>21</xdr:col>
      <xdr:colOff>88581</xdr:colOff>
      <xdr:row>27</xdr:row>
      <xdr:rowOff>228600</xdr:rowOff>
    </xdr:to>
    <xdr:sp macro="" textlink="">
      <xdr:nvSpPr>
        <xdr:cNvPr id="24" name="Text Box 13">
          <a:extLst>
            <a:ext uri="{FF2B5EF4-FFF2-40B4-BE49-F238E27FC236}">
              <a16:creationId xmlns:a16="http://schemas.microsoft.com/office/drawing/2014/main" id="{831E717E-8705-4FFC-8D8C-776E62D38218}"/>
            </a:ext>
          </a:extLst>
        </xdr:cNvPr>
        <xdr:cNvSpPr txBox="1">
          <a:spLocks noChangeArrowheads="1"/>
        </xdr:cNvSpPr>
      </xdr:nvSpPr>
      <xdr:spPr bwMode="auto">
        <a:xfrm>
          <a:off x="11594125" y="6882966"/>
          <a:ext cx="267356" cy="1845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南</a:t>
          </a:r>
          <a:endParaRPr lang="ja-JP" altLang="en-US" sz="1200"/>
        </a:p>
      </xdr:txBody>
    </xdr:sp>
    <xdr:clientData/>
  </xdr:twoCellAnchor>
  <xdr:twoCellAnchor>
    <xdr:from>
      <xdr:col>26</xdr:col>
      <xdr:colOff>201668</xdr:colOff>
      <xdr:row>14</xdr:row>
      <xdr:rowOff>133327</xdr:rowOff>
    </xdr:from>
    <xdr:to>
      <xdr:col>26</xdr:col>
      <xdr:colOff>467591</xdr:colOff>
      <xdr:row>15</xdr:row>
      <xdr:rowOff>65177</xdr:rowOff>
    </xdr:to>
    <xdr:sp macro="" textlink="">
      <xdr:nvSpPr>
        <xdr:cNvPr id="25" name="Text Box 14">
          <a:extLst>
            <a:ext uri="{FF2B5EF4-FFF2-40B4-BE49-F238E27FC236}">
              <a16:creationId xmlns:a16="http://schemas.microsoft.com/office/drawing/2014/main" id="{908D6F42-0F15-4306-9FEB-B609F1FD7416}"/>
            </a:ext>
          </a:extLst>
        </xdr:cNvPr>
        <xdr:cNvSpPr txBox="1">
          <a:spLocks noChangeArrowheads="1"/>
        </xdr:cNvSpPr>
      </xdr:nvSpPr>
      <xdr:spPr bwMode="auto">
        <a:xfrm>
          <a:off x="14736818" y="3752827"/>
          <a:ext cx="265923" cy="179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東</a:t>
          </a:r>
          <a:endParaRPr lang="ja-JP" altLang="en-US" sz="1200"/>
        </a:p>
      </xdr:txBody>
    </xdr:sp>
    <xdr:clientData/>
  </xdr:twoCellAnchor>
  <xdr:twoCellAnchor>
    <xdr:from>
      <xdr:col>14</xdr:col>
      <xdr:colOff>553316</xdr:colOff>
      <xdr:row>14</xdr:row>
      <xdr:rowOff>152757</xdr:rowOff>
    </xdr:from>
    <xdr:to>
      <xdr:col>15</xdr:col>
      <xdr:colOff>213103</xdr:colOff>
      <xdr:row>15</xdr:row>
      <xdr:rowOff>84607</xdr:rowOff>
    </xdr:to>
    <xdr:sp macro="" textlink="">
      <xdr:nvSpPr>
        <xdr:cNvPr id="26" name="Text Box 15">
          <a:extLst>
            <a:ext uri="{FF2B5EF4-FFF2-40B4-BE49-F238E27FC236}">
              <a16:creationId xmlns:a16="http://schemas.microsoft.com/office/drawing/2014/main" id="{867B3B4D-5C10-47A7-A282-D36CF10161DC}"/>
            </a:ext>
          </a:extLst>
        </xdr:cNvPr>
        <xdr:cNvSpPr txBox="1">
          <a:spLocks noChangeArrowheads="1"/>
        </xdr:cNvSpPr>
      </xdr:nvSpPr>
      <xdr:spPr bwMode="auto">
        <a:xfrm>
          <a:off x="8401916" y="3772257"/>
          <a:ext cx="269387" cy="179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西</a:t>
          </a:r>
          <a:endParaRPr lang="ja-JP" altLang="en-US" sz="1200"/>
        </a:p>
      </xdr:txBody>
    </xdr:sp>
    <xdr:clientData/>
  </xdr:twoCellAnchor>
  <xdr:twoCellAnchor>
    <xdr:from>
      <xdr:col>20</xdr:col>
      <xdr:colOff>352781</xdr:colOff>
      <xdr:row>2</xdr:row>
      <xdr:rowOff>47625</xdr:rowOff>
    </xdr:from>
    <xdr:to>
      <xdr:col>21</xdr:col>
      <xdr:colOff>86682</xdr:colOff>
      <xdr:row>2</xdr:row>
      <xdr:rowOff>232209</xdr:rowOff>
    </xdr:to>
    <xdr:sp macro="" textlink="">
      <xdr:nvSpPr>
        <xdr:cNvPr id="27" name="Text Box 16">
          <a:extLst>
            <a:ext uri="{FF2B5EF4-FFF2-40B4-BE49-F238E27FC236}">
              <a16:creationId xmlns:a16="http://schemas.microsoft.com/office/drawing/2014/main" id="{80B39A5C-469A-4370-9AAA-EBC89E763D3F}"/>
            </a:ext>
          </a:extLst>
        </xdr:cNvPr>
        <xdr:cNvSpPr txBox="1">
          <a:spLocks noChangeArrowheads="1"/>
        </xdr:cNvSpPr>
      </xdr:nvSpPr>
      <xdr:spPr bwMode="auto">
        <a:xfrm>
          <a:off x="11573231" y="695325"/>
          <a:ext cx="286351" cy="1845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北</a:t>
          </a:r>
          <a:endParaRPr lang="ja-JP" altLang="en-US" sz="1200"/>
        </a:p>
      </xdr:txBody>
    </xdr:sp>
    <xdr:clientData/>
  </xdr:twoCellAnchor>
  <xdr:twoCellAnchor>
    <xdr:from>
      <xdr:col>20</xdr:col>
      <xdr:colOff>387922</xdr:colOff>
      <xdr:row>2</xdr:row>
      <xdr:rowOff>232209</xdr:rowOff>
    </xdr:from>
    <xdr:to>
      <xdr:col>20</xdr:col>
      <xdr:colOff>500306</xdr:colOff>
      <xdr:row>4</xdr:row>
      <xdr:rowOff>115340</xdr:rowOff>
    </xdr:to>
    <xdr:cxnSp macro="">
      <xdr:nvCxnSpPr>
        <xdr:cNvPr id="28" name="直線コネクタ 27">
          <a:extLst>
            <a:ext uri="{FF2B5EF4-FFF2-40B4-BE49-F238E27FC236}">
              <a16:creationId xmlns:a16="http://schemas.microsoft.com/office/drawing/2014/main" id="{F0376F91-FA4F-4ACD-BC49-A708D30B6DD0}"/>
            </a:ext>
          </a:extLst>
        </xdr:cNvPr>
        <xdr:cNvCxnSpPr/>
      </xdr:nvCxnSpPr>
      <xdr:spPr bwMode="auto">
        <a:xfrm flipH="1">
          <a:off x="11608372" y="879909"/>
          <a:ext cx="112384" cy="37843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20</xdr:col>
      <xdr:colOff>390296</xdr:colOff>
      <xdr:row>4</xdr:row>
      <xdr:rowOff>110483</xdr:rowOff>
    </xdr:from>
    <xdr:to>
      <xdr:col>20</xdr:col>
      <xdr:colOff>505055</xdr:colOff>
      <xdr:row>4</xdr:row>
      <xdr:rowOff>205203</xdr:rowOff>
    </xdr:to>
    <xdr:cxnSp macro="">
      <xdr:nvCxnSpPr>
        <xdr:cNvPr id="29" name="直線コネクタ 28">
          <a:extLst>
            <a:ext uri="{FF2B5EF4-FFF2-40B4-BE49-F238E27FC236}">
              <a16:creationId xmlns:a16="http://schemas.microsoft.com/office/drawing/2014/main" id="{A3506FA5-63C5-4E99-9989-9D78A86EA25D}"/>
            </a:ext>
          </a:extLst>
        </xdr:cNvPr>
        <xdr:cNvCxnSpPr/>
      </xdr:nvCxnSpPr>
      <xdr:spPr bwMode="auto">
        <a:xfrm>
          <a:off x="11610746" y="1253483"/>
          <a:ext cx="114759" cy="947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175114</xdr:colOff>
      <xdr:row>14</xdr:row>
      <xdr:rowOff>238572</xdr:rowOff>
    </xdr:from>
    <xdr:to>
      <xdr:col>26</xdr:col>
      <xdr:colOff>230160</xdr:colOff>
      <xdr:row>14</xdr:row>
      <xdr:rowOff>238572</xdr:rowOff>
    </xdr:to>
    <xdr:sp macro="" textlink="">
      <xdr:nvSpPr>
        <xdr:cNvPr id="30" name="水平線1">
          <a:extLst>
            <a:ext uri="{FF2B5EF4-FFF2-40B4-BE49-F238E27FC236}">
              <a16:creationId xmlns:a16="http://schemas.microsoft.com/office/drawing/2014/main" id="{771EAA98-D60A-48F4-B104-48CD3D880156}"/>
            </a:ext>
          </a:extLst>
        </xdr:cNvPr>
        <xdr:cNvSpPr>
          <a:spLocks noChangeShapeType="1"/>
        </xdr:cNvSpPr>
      </xdr:nvSpPr>
      <xdr:spPr bwMode="auto">
        <a:xfrm>
          <a:off x="8633314" y="3858072"/>
          <a:ext cx="6131996"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500305</xdr:colOff>
      <xdr:row>2</xdr:row>
      <xdr:rowOff>240304</xdr:rowOff>
    </xdr:from>
    <xdr:to>
      <xdr:col>20</xdr:col>
      <xdr:colOff>500305</xdr:colOff>
      <xdr:row>26</xdr:row>
      <xdr:rowOff>236839</xdr:rowOff>
    </xdr:to>
    <xdr:sp macro="" textlink="">
      <xdr:nvSpPr>
        <xdr:cNvPr id="31" name="垂直線1">
          <a:extLst>
            <a:ext uri="{FF2B5EF4-FFF2-40B4-BE49-F238E27FC236}">
              <a16:creationId xmlns:a16="http://schemas.microsoft.com/office/drawing/2014/main" id="{A3D4D1B5-AD59-4539-9DF4-3B8419C0C306}"/>
            </a:ext>
          </a:extLst>
        </xdr:cNvPr>
        <xdr:cNvSpPr>
          <a:spLocks noChangeShapeType="1"/>
        </xdr:cNvSpPr>
      </xdr:nvSpPr>
      <xdr:spPr bwMode="auto">
        <a:xfrm>
          <a:off x="11720755" y="888004"/>
          <a:ext cx="0" cy="5940135"/>
        </a:xfrm>
        <a:prstGeom prst="line">
          <a:avLst/>
        </a:prstGeom>
        <a:noFill/>
        <a:ln w="19050" cap="rnd">
          <a:solidFill>
            <a:srgbClr xmlns:mc="http://schemas.openxmlformats.org/markup-compatibility/2006" xmlns:a14="http://schemas.microsoft.com/office/drawing/2010/main" val="000000" mc:Ignorable="a14" a14:legacySpreadsheetColorIndex="64"/>
          </a:solidFill>
          <a:miter lim="800000"/>
          <a:headEnd type="none" w="med" len="lg"/>
          <a:tailEnd type="non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25</xdr:col>
      <xdr:colOff>75558</xdr:colOff>
      <xdr:row>16</xdr:row>
      <xdr:rowOff>206232</xdr:rowOff>
    </xdr:from>
    <xdr:ext cx="400050" cy="174914"/>
    <xdr:sp macro="" textlink="">
      <xdr:nvSpPr>
        <xdr:cNvPr id="32" name="東面2">
          <a:extLst>
            <a:ext uri="{FF2B5EF4-FFF2-40B4-BE49-F238E27FC236}">
              <a16:creationId xmlns:a16="http://schemas.microsoft.com/office/drawing/2014/main" id="{7DB71A42-9C9A-4349-A519-F7E278801206}"/>
            </a:ext>
          </a:extLst>
        </xdr:cNvPr>
        <xdr:cNvSpPr txBox="1">
          <a:spLocks noChangeArrowheads="1"/>
        </xdr:cNvSpPr>
      </xdr:nvSpPr>
      <xdr:spPr bwMode="auto">
        <a:xfrm>
          <a:off x="14058258" y="4321032"/>
          <a:ext cx="400050" cy="17491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E</a:t>
          </a:r>
          <a:endParaRPr lang="ja-JP" altLang="en-US" sz="1200" b="1"/>
        </a:p>
      </xdr:txBody>
    </xdr:sp>
    <xdr:clientData/>
  </xdr:oneCellAnchor>
  <xdr:twoCellAnchor>
    <xdr:from>
      <xdr:col>6</xdr:col>
      <xdr:colOff>172891</xdr:colOff>
      <xdr:row>19</xdr:row>
      <xdr:rowOff>92046</xdr:rowOff>
    </xdr:from>
    <xdr:to>
      <xdr:col>7</xdr:col>
      <xdr:colOff>6928</xdr:colOff>
      <xdr:row>19</xdr:row>
      <xdr:rowOff>160194</xdr:rowOff>
    </xdr:to>
    <xdr:sp macro="" textlink="">
      <xdr:nvSpPr>
        <xdr:cNvPr id="33" name="フリーフォーム: 図形 32">
          <a:extLst>
            <a:ext uri="{FF2B5EF4-FFF2-40B4-BE49-F238E27FC236}">
              <a16:creationId xmlns:a16="http://schemas.microsoft.com/office/drawing/2014/main" id="{22178CC7-ED6F-4C79-9BCE-9B6DDCB87A3F}"/>
            </a:ext>
          </a:extLst>
        </xdr:cNvPr>
        <xdr:cNvSpPr/>
      </xdr:nvSpPr>
      <xdr:spPr>
        <a:xfrm>
          <a:off x="3544741" y="4949796"/>
          <a:ext cx="386487" cy="68148"/>
        </a:xfrm>
        <a:custGeom>
          <a:avLst/>
          <a:gdLst/>
          <a:ahLst/>
          <a:cxnLst/>
          <a:rect l="0" t="0" r="0" b="0"/>
          <a:pathLst>
            <a:path w="386487" h="68148">
              <a:moveTo>
                <a:pt x="0" y="0"/>
              </a:moveTo>
              <a:cubicBezTo>
                <a:pt x="94018" y="29643"/>
                <a:pt x="94018" y="29643"/>
                <a:pt x="94018" y="29643"/>
              </a:cubicBezTo>
              <a:cubicBezTo>
                <a:pt x="190262" y="50980"/>
                <a:pt x="190262" y="50980"/>
                <a:pt x="190262" y="50980"/>
              </a:cubicBezTo>
              <a:cubicBezTo>
                <a:pt x="287999" y="63848"/>
                <a:pt x="287999" y="63848"/>
                <a:pt x="287999" y="63848"/>
              </a:cubicBezTo>
              <a:cubicBezTo>
                <a:pt x="386486" y="68147"/>
                <a:pt x="386486" y="68147"/>
                <a:pt x="386486" y="68147"/>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352023</xdr:colOff>
      <xdr:row>18</xdr:row>
      <xdr:rowOff>11454</xdr:rowOff>
    </xdr:from>
    <xdr:to>
      <xdr:col>6</xdr:col>
      <xdr:colOff>519257</xdr:colOff>
      <xdr:row>19</xdr:row>
      <xdr:rowOff>70683</xdr:rowOff>
    </xdr:to>
    <xdr:sp macro="" textlink="">
      <xdr:nvSpPr>
        <xdr:cNvPr id="34" name="テキスト ボックス 33">
          <a:extLst>
            <a:ext uri="{FF2B5EF4-FFF2-40B4-BE49-F238E27FC236}">
              <a16:creationId xmlns:a16="http://schemas.microsoft.com/office/drawing/2014/main" id="{06D3EBF8-BA1B-4F39-A3DC-3249363C4AB8}"/>
            </a:ext>
          </a:extLst>
        </xdr:cNvPr>
        <xdr:cNvSpPr txBox="1"/>
      </xdr:nvSpPr>
      <xdr:spPr>
        <a:xfrm>
          <a:off x="3171423" y="4621554"/>
          <a:ext cx="71968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α=20[°]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7</xdr:col>
      <xdr:colOff>6927</xdr:colOff>
      <xdr:row>16</xdr:row>
      <xdr:rowOff>202562</xdr:rowOff>
    </xdr:from>
    <xdr:to>
      <xdr:col>9</xdr:col>
      <xdr:colOff>81877</xdr:colOff>
      <xdr:row>20</xdr:row>
      <xdr:rowOff>38101</xdr:rowOff>
    </xdr:to>
    <xdr:sp macro="" textlink="">
      <xdr:nvSpPr>
        <xdr:cNvPr id="35" name="フリーフォーム: 図形 34">
          <a:extLst>
            <a:ext uri="{FF2B5EF4-FFF2-40B4-BE49-F238E27FC236}">
              <a16:creationId xmlns:a16="http://schemas.microsoft.com/office/drawing/2014/main" id="{8CC3D681-55B1-4C41-9D1A-75B453EDCC2E}"/>
            </a:ext>
          </a:extLst>
        </xdr:cNvPr>
        <xdr:cNvSpPr/>
      </xdr:nvSpPr>
      <xdr:spPr>
        <a:xfrm>
          <a:off x="3931227" y="4317362"/>
          <a:ext cx="1179850" cy="826139"/>
        </a:xfrm>
        <a:custGeom>
          <a:avLst/>
          <a:gdLst/>
          <a:ahLst/>
          <a:cxnLst/>
          <a:rect l="0" t="0" r="0" b="0"/>
          <a:pathLst>
            <a:path w="1179850" h="826139">
              <a:moveTo>
                <a:pt x="0" y="826138"/>
              </a:moveTo>
              <a:cubicBezTo>
                <a:pt x="109431" y="821360"/>
                <a:pt x="109431" y="821360"/>
                <a:pt x="109431" y="821360"/>
              </a:cubicBezTo>
              <a:cubicBezTo>
                <a:pt x="218027" y="807064"/>
                <a:pt x="218027" y="807064"/>
                <a:pt x="218027" y="807064"/>
              </a:cubicBezTo>
              <a:cubicBezTo>
                <a:pt x="324966" y="783356"/>
                <a:pt x="324966" y="783356"/>
                <a:pt x="324966" y="783356"/>
              </a:cubicBezTo>
              <a:cubicBezTo>
                <a:pt x="429430" y="750418"/>
                <a:pt x="429430" y="750418"/>
                <a:pt x="429430" y="750418"/>
              </a:cubicBezTo>
              <a:cubicBezTo>
                <a:pt x="530627" y="708501"/>
                <a:pt x="530627" y="708501"/>
                <a:pt x="530627" y="708501"/>
              </a:cubicBezTo>
              <a:cubicBezTo>
                <a:pt x="627785" y="657924"/>
                <a:pt x="627785" y="657924"/>
                <a:pt x="627785" y="657924"/>
              </a:cubicBezTo>
              <a:cubicBezTo>
                <a:pt x="720165" y="599072"/>
                <a:pt x="720165" y="599072"/>
                <a:pt x="720165" y="599072"/>
              </a:cubicBezTo>
              <a:cubicBezTo>
                <a:pt x="807064" y="532391"/>
                <a:pt x="807064" y="532391"/>
                <a:pt x="807064" y="532391"/>
              </a:cubicBezTo>
              <a:cubicBezTo>
                <a:pt x="887821" y="458391"/>
                <a:pt x="887821" y="458391"/>
                <a:pt x="887821" y="458391"/>
              </a:cubicBezTo>
              <a:cubicBezTo>
                <a:pt x="961822" y="377634"/>
                <a:pt x="961822" y="377634"/>
                <a:pt x="961822" y="377634"/>
              </a:cubicBezTo>
              <a:cubicBezTo>
                <a:pt x="1028502" y="290735"/>
                <a:pt x="1028502" y="290735"/>
                <a:pt x="1028502" y="290735"/>
              </a:cubicBezTo>
              <a:cubicBezTo>
                <a:pt x="1087354" y="198355"/>
                <a:pt x="1087354" y="198355"/>
                <a:pt x="1087354" y="198355"/>
              </a:cubicBezTo>
              <a:cubicBezTo>
                <a:pt x="1137932" y="101197"/>
                <a:pt x="1137932" y="101197"/>
                <a:pt x="1137932" y="101197"/>
              </a:cubicBezTo>
              <a:cubicBezTo>
                <a:pt x="1179849" y="0"/>
                <a:pt x="1179849" y="0"/>
                <a:pt x="1179849" y="0"/>
              </a:cubicBezTo>
            </a:path>
          </a:pathLst>
        </a:custGeom>
        <a:ln>
          <a:headEnd type="oval" w="sm" len="sm"/>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87793</xdr:colOff>
      <xdr:row>18</xdr:row>
      <xdr:rowOff>52183</xdr:rowOff>
    </xdr:from>
    <xdr:to>
      <xdr:col>8</xdr:col>
      <xdr:colOff>319147</xdr:colOff>
      <xdr:row>19</xdr:row>
      <xdr:rowOff>111412</xdr:rowOff>
    </xdr:to>
    <xdr:sp macro="" textlink="">
      <xdr:nvSpPr>
        <xdr:cNvPr id="36" name="テキスト ボックス 35">
          <a:extLst>
            <a:ext uri="{FF2B5EF4-FFF2-40B4-BE49-F238E27FC236}">
              <a16:creationId xmlns:a16="http://schemas.microsoft.com/office/drawing/2014/main" id="{755DDE4C-88EC-4C7B-989D-084BD18AB91E}"/>
            </a:ext>
          </a:extLst>
        </xdr:cNvPr>
        <xdr:cNvSpPr txBox="1"/>
      </xdr:nvSpPr>
      <xdr:spPr>
        <a:xfrm>
          <a:off x="4012093" y="4662283"/>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α=-70[°]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4</xdr:col>
      <xdr:colOff>358486</xdr:colOff>
      <xdr:row>13</xdr:row>
      <xdr:rowOff>69475</xdr:rowOff>
    </xdr:from>
    <xdr:to>
      <xdr:col>7</xdr:col>
      <xdr:colOff>6928</xdr:colOff>
      <xdr:row>20</xdr:row>
      <xdr:rowOff>88324</xdr:rowOff>
    </xdr:to>
    <xdr:sp macro="" textlink="">
      <xdr:nvSpPr>
        <xdr:cNvPr id="37" name="フリーフォーム: 図形 36">
          <a:extLst>
            <a:ext uri="{FF2B5EF4-FFF2-40B4-BE49-F238E27FC236}">
              <a16:creationId xmlns:a16="http://schemas.microsoft.com/office/drawing/2014/main" id="{2B7EF6EC-3E74-4687-9170-8F5BB8DBC0C2}"/>
            </a:ext>
          </a:extLst>
        </xdr:cNvPr>
        <xdr:cNvSpPr/>
      </xdr:nvSpPr>
      <xdr:spPr>
        <a:xfrm>
          <a:off x="2625436" y="3441325"/>
          <a:ext cx="1305792" cy="1752399"/>
        </a:xfrm>
        <a:custGeom>
          <a:avLst/>
          <a:gdLst/>
          <a:ahLst/>
          <a:cxnLst/>
          <a:rect l="0" t="0" r="0" b="0"/>
          <a:pathLst>
            <a:path w="1305792" h="1752399">
              <a:moveTo>
                <a:pt x="78749" y="0"/>
              </a:moveTo>
              <a:cubicBezTo>
                <a:pt x="44494" y="108643"/>
                <a:pt x="44494" y="108643"/>
                <a:pt x="44494" y="108643"/>
              </a:cubicBezTo>
              <a:cubicBezTo>
                <a:pt x="19838" y="219859"/>
                <a:pt x="19838" y="219859"/>
                <a:pt x="19838" y="219859"/>
              </a:cubicBezTo>
              <a:cubicBezTo>
                <a:pt x="4969" y="332800"/>
                <a:pt x="4969" y="332800"/>
                <a:pt x="4969" y="332800"/>
              </a:cubicBezTo>
              <a:cubicBezTo>
                <a:pt x="0" y="446607"/>
                <a:pt x="0" y="446607"/>
                <a:pt x="0" y="446607"/>
              </a:cubicBezTo>
              <a:cubicBezTo>
                <a:pt x="4969" y="560414"/>
                <a:pt x="4969" y="560414"/>
                <a:pt x="4969" y="560414"/>
              </a:cubicBezTo>
              <a:cubicBezTo>
                <a:pt x="19838" y="673355"/>
                <a:pt x="19838" y="673355"/>
                <a:pt x="19838" y="673355"/>
              </a:cubicBezTo>
              <a:cubicBezTo>
                <a:pt x="44494" y="784571"/>
                <a:pt x="44494" y="784571"/>
                <a:pt x="44494" y="784571"/>
              </a:cubicBezTo>
              <a:cubicBezTo>
                <a:pt x="78749" y="893214"/>
                <a:pt x="78749" y="893214"/>
                <a:pt x="78749" y="893214"/>
              </a:cubicBezTo>
              <a:cubicBezTo>
                <a:pt x="122343" y="998458"/>
                <a:pt x="122343" y="998458"/>
                <a:pt x="122343" y="998458"/>
              </a:cubicBezTo>
              <a:cubicBezTo>
                <a:pt x="174943" y="1099502"/>
                <a:pt x="174943" y="1099502"/>
                <a:pt x="174943" y="1099502"/>
              </a:cubicBezTo>
              <a:cubicBezTo>
                <a:pt x="236150" y="1195578"/>
                <a:pt x="236150" y="1195578"/>
                <a:pt x="236150" y="1195578"/>
              </a:cubicBezTo>
              <a:cubicBezTo>
                <a:pt x="305497" y="1285953"/>
                <a:pt x="305497" y="1285953"/>
                <a:pt x="305497" y="1285953"/>
              </a:cubicBezTo>
              <a:cubicBezTo>
                <a:pt x="382458" y="1369941"/>
                <a:pt x="382458" y="1369941"/>
                <a:pt x="382458" y="1369941"/>
              </a:cubicBezTo>
              <a:cubicBezTo>
                <a:pt x="466445" y="1446901"/>
                <a:pt x="466445" y="1446901"/>
                <a:pt x="466445" y="1446901"/>
              </a:cubicBezTo>
              <a:cubicBezTo>
                <a:pt x="556820" y="1516248"/>
                <a:pt x="556820" y="1516248"/>
                <a:pt x="556820" y="1516248"/>
              </a:cubicBezTo>
              <a:cubicBezTo>
                <a:pt x="652896" y="1577455"/>
                <a:pt x="652896" y="1577455"/>
                <a:pt x="652896" y="1577455"/>
              </a:cubicBezTo>
              <a:cubicBezTo>
                <a:pt x="753940" y="1630055"/>
                <a:pt x="753940" y="1630055"/>
                <a:pt x="753940" y="1630055"/>
              </a:cubicBezTo>
              <a:cubicBezTo>
                <a:pt x="859184" y="1673649"/>
                <a:pt x="859184" y="1673649"/>
                <a:pt x="859184" y="1673649"/>
              </a:cubicBezTo>
              <a:cubicBezTo>
                <a:pt x="967827" y="1707904"/>
                <a:pt x="967827" y="1707904"/>
                <a:pt x="967827" y="1707904"/>
              </a:cubicBezTo>
              <a:cubicBezTo>
                <a:pt x="1079043" y="1732560"/>
                <a:pt x="1079043" y="1732560"/>
                <a:pt x="1079043" y="1732560"/>
              </a:cubicBezTo>
              <a:cubicBezTo>
                <a:pt x="1191984" y="1747429"/>
                <a:pt x="1191984" y="1747429"/>
                <a:pt x="1191984" y="1747429"/>
              </a:cubicBezTo>
              <a:cubicBezTo>
                <a:pt x="1305791" y="1752398"/>
                <a:pt x="1305791" y="1752398"/>
                <a:pt x="1305791" y="1752398"/>
              </a:cubicBezTo>
              <a:cubicBezTo>
                <a:pt x="1305791" y="1752398"/>
                <a:pt x="1305791" y="1752398"/>
                <a:pt x="1305791" y="1752398"/>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493648</xdr:colOff>
      <xdr:row>17</xdr:row>
      <xdr:rowOff>20302</xdr:rowOff>
    </xdr:from>
    <xdr:to>
      <xdr:col>5</xdr:col>
      <xdr:colOff>172552</xdr:colOff>
      <xdr:row>18</xdr:row>
      <xdr:rowOff>79531</xdr:rowOff>
    </xdr:to>
    <xdr:sp macro="" textlink="">
      <xdr:nvSpPr>
        <xdr:cNvPr id="38" name="テキスト ボックス 37">
          <a:extLst>
            <a:ext uri="{FF2B5EF4-FFF2-40B4-BE49-F238E27FC236}">
              <a16:creationId xmlns:a16="http://schemas.microsoft.com/office/drawing/2014/main" id="{B12C7FC5-9F63-459F-9456-05CA8D3C087F}"/>
            </a:ext>
          </a:extLst>
        </xdr:cNvPr>
        <xdr:cNvSpPr txBox="1"/>
      </xdr:nvSpPr>
      <xdr:spPr>
        <a:xfrm>
          <a:off x="2208148" y="4382752"/>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α=110[°]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4</xdr:col>
      <xdr:colOff>232930</xdr:colOff>
      <xdr:row>9</xdr:row>
      <xdr:rowOff>75334</xdr:rowOff>
    </xdr:from>
    <xdr:to>
      <xdr:col>7</xdr:col>
      <xdr:colOff>496478</xdr:colOff>
      <xdr:row>20</xdr:row>
      <xdr:rowOff>213881</xdr:rowOff>
    </xdr:to>
    <xdr:sp macro="" textlink="">
      <xdr:nvSpPr>
        <xdr:cNvPr id="39" name="フリーフォーム: 図形 38">
          <a:extLst>
            <a:ext uri="{FF2B5EF4-FFF2-40B4-BE49-F238E27FC236}">
              <a16:creationId xmlns:a16="http://schemas.microsoft.com/office/drawing/2014/main" id="{EDFA30A3-89FE-4E81-BDA8-E0A72EE9C091}"/>
            </a:ext>
          </a:extLst>
        </xdr:cNvPr>
        <xdr:cNvSpPr/>
      </xdr:nvSpPr>
      <xdr:spPr>
        <a:xfrm>
          <a:off x="2499880" y="2456584"/>
          <a:ext cx="1920898" cy="2862697"/>
        </a:xfrm>
        <a:custGeom>
          <a:avLst/>
          <a:gdLst/>
          <a:ahLst/>
          <a:cxnLst/>
          <a:rect l="0" t="0" r="0" b="0"/>
          <a:pathLst>
            <a:path w="1920898" h="2862697">
              <a:moveTo>
                <a:pt x="1920897" y="86321"/>
              </a:moveTo>
              <a:cubicBezTo>
                <a:pt x="1801807" y="48772"/>
                <a:pt x="1801807" y="48772"/>
                <a:pt x="1801807" y="48772"/>
              </a:cubicBezTo>
              <a:cubicBezTo>
                <a:pt x="1679899" y="21746"/>
                <a:pt x="1679899" y="21746"/>
                <a:pt x="1679899" y="21746"/>
              </a:cubicBezTo>
              <a:cubicBezTo>
                <a:pt x="1556098" y="5447"/>
                <a:pt x="1556098" y="5447"/>
                <a:pt x="1556098" y="5447"/>
              </a:cubicBezTo>
              <a:cubicBezTo>
                <a:pt x="1431347" y="0"/>
                <a:pt x="1431347" y="0"/>
                <a:pt x="1431347" y="0"/>
              </a:cubicBezTo>
              <a:cubicBezTo>
                <a:pt x="1306597" y="5447"/>
                <a:pt x="1306597" y="5447"/>
                <a:pt x="1306597" y="5447"/>
              </a:cubicBezTo>
              <a:cubicBezTo>
                <a:pt x="1182797" y="21746"/>
                <a:pt x="1182797" y="21746"/>
                <a:pt x="1182797" y="21746"/>
              </a:cubicBezTo>
              <a:cubicBezTo>
                <a:pt x="1060888" y="48772"/>
                <a:pt x="1060888" y="48772"/>
                <a:pt x="1060888" y="48772"/>
              </a:cubicBezTo>
              <a:cubicBezTo>
                <a:pt x="941798" y="86321"/>
                <a:pt x="941798" y="86321"/>
                <a:pt x="941798" y="86321"/>
              </a:cubicBezTo>
              <a:cubicBezTo>
                <a:pt x="826434" y="134106"/>
                <a:pt x="826434" y="134106"/>
                <a:pt x="826434" y="134106"/>
              </a:cubicBezTo>
              <a:cubicBezTo>
                <a:pt x="715674" y="191764"/>
                <a:pt x="715674" y="191764"/>
                <a:pt x="715674" y="191764"/>
              </a:cubicBezTo>
              <a:cubicBezTo>
                <a:pt x="610360" y="258856"/>
                <a:pt x="610360" y="258856"/>
                <a:pt x="610360" y="258856"/>
              </a:cubicBezTo>
              <a:cubicBezTo>
                <a:pt x="511295" y="334872"/>
                <a:pt x="511295" y="334872"/>
                <a:pt x="511295" y="334872"/>
              </a:cubicBezTo>
              <a:cubicBezTo>
                <a:pt x="419232" y="419232"/>
                <a:pt x="419232" y="419232"/>
                <a:pt x="419232" y="419232"/>
              </a:cubicBezTo>
              <a:cubicBezTo>
                <a:pt x="334872" y="511295"/>
                <a:pt x="334872" y="511295"/>
                <a:pt x="334872" y="511295"/>
              </a:cubicBezTo>
              <a:cubicBezTo>
                <a:pt x="258856" y="610360"/>
                <a:pt x="258856" y="610360"/>
                <a:pt x="258856" y="610360"/>
              </a:cubicBezTo>
              <a:cubicBezTo>
                <a:pt x="191764" y="715674"/>
                <a:pt x="191764" y="715674"/>
                <a:pt x="191764" y="715674"/>
              </a:cubicBezTo>
              <a:cubicBezTo>
                <a:pt x="134106" y="826434"/>
                <a:pt x="134106" y="826434"/>
                <a:pt x="134106" y="826434"/>
              </a:cubicBezTo>
              <a:cubicBezTo>
                <a:pt x="86321" y="941798"/>
                <a:pt x="86321" y="941798"/>
                <a:pt x="86321" y="941798"/>
              </a:cubicBezTo>
              <a:cubicBezTo>
                <a:pt x="48772" y="1060887"/>
                <a:pt x="48772" y="1060887"/>
                <a:pt x="48772" y="1060887"/>
              </a:cubicBezTo>
              <a:cubicBezTo>
                <a:pt x="21745" y="1182797"/>
                <a:pt x="21745" y="1182797"/>
                <a:pt x="21745" y="1182797"/>
              </a:cubicBezTo>
              <a:cubicBezTo>
                <a:pt x="5446" y="1306597"/>
                <a:pt x="5446" y="1306597"/>
                <a:pt x="5446" y="1306597"/>
              </a:cubicBezTo>
              <a:cubicBezTo>
                <a:pt x="0" y="1431348"/>
                <a:pt x="0" y="1431348"/>
                <a:pt x="0" y="1431348"/>
              </a:cubicBezTo>
              <a:cubicBezTo>
                <a:pt x="5446" y="1556098"/>
                <a:pt x="5446" y="1556098"/>
                <a:pt x="5446" y="1556098"/>
              </a:cubicBezTo>
              <a:cubicBezTo>
                <a:pt x="21745" y="1679898"/>
                <a:pt x="21745" y="1679898"/>
                <a:pt x="21745" y="1679898"/>
              </a:cubicBezTo>
              <a:cubicBezTo>
                <a:pt x="48771" y="1801808"/>
                <a:pt x="48771" y="1801808"/>
                <a:pt x="48771" y="1801808"/>
              </a:cubicBezTo>
              <a:cubicBezTo>
                <a:pt x="86320" y="1920897"/>
                <a:pt x="86320" y="1920897"/>
                <a:pt x="86320" y="1920897"/>
              </a:cubicBezTo>
              <a:cubicBezTo>
                <a:pt x="134105" y="2036261"/>
                <a:pt x="134105" y="2036261"/>
                <a:pt x="134105" y="2036261"/>
              </a:cubicBezTo>
              <a:cubicBezTo>
                <a:pt x="191763" y="2147021"/>
                <a:pt x="191763" y="2147021"/>
                <a:pt x="191763" y="2147021"/>
              </a:cubicBezTo>
              <a:cubicBezTo>
                <a:pt x="258855" y="2252335"/>
                <a:pt x="258855" y="2252335"/>
                <a:pt x="258855" y="2252335"/>
              </a:cubicBezTo>
              <a:cubicBezTo>
                <a:pt x="334871" y="2351400"/>
                <a:pt x="334871" y="2351400"/>
                <a:pt x="334871" y="2351400"/>
              </a:cubicBezTo>
              <a:cubicBezTo>
                <a:pt x="419231" y="2443463"/>
                <a:pt x="419231" y="2443463"/>
                <a:pt x="419231" y="2443463"/>
              </a:cubicBezTo>
              <a:cubicBezTo>
                <a:pt x="511294" y="2527824"/>
                <a:pt x="511294" y="2527824"/>
                <a:pt x="511294" y="2527824"/>
              </a:cubicBezTo>
              <a:cubicBezTo>
                <a:pt x="610360" y="2603839"/>
                <a:pt x="610360" y="2603839"/>
                <a:pt x="610360" y="2603839"/>
              </a:cubicBezTo>
              <a:cubicBezTo>
                <a:pt x="715673" y="2670931"/>
                <a:pt x="715673" y="2670931"/>
                <a:pt x="715673" y="2670931"/>
              </a:cubicBezTo>
              <a:cubicBezTo>
                <a:pt x="826433" y="2728589"/>
                <a:pt x="826433" y="2728589"/>
                <a:pt x="826433" y="2728589"/>
              </a:cubicBezTo>
              <a:cubicBezTo>
                <a:pt x="941797" y="2776375"/>
                <a:pt x="941797" y="2776375"/>
                <a:pt x="941797" y="2776375"/>
              </a:cubicBezTo>
              <a:cubicBezTo>
                <a:pt x="1060887" y="2813924"/>
                <a:pt x="1060887" y="2813924"/>
                <a:pt x="1060887" y="2813924"/>
              </a:cubicBezTo>
              <a:cubicBezTo>
                <a:pt x="1182796" y="2840950"/>
                <a:pt x="1182796" y="2840950"/>
                <a:pt x="1182796" y="2840950"/>
              </a:cubicBezTo>
              <a:cubicBezTo>
                <a:pt x="1306597" y="2857249"/>
                <a:pt x="1306597" y="2857249"/>
                <a:pt x="1306597" y="2857249"/>
              </a:cubicBezTo>
              <a:cubicBezTo>
                <a:pt x="1431347" y="2862696"/>
                <a:pt x="1431347" y="2862696"/>
                <a:pt x="1431347" y="2862696"/>
              </a:cubicBezTo>
              <a:cubicBezTo>
                <a:pt x="1431347" y="2862696"/>
                <a:pt x="1431347" y="2862696"/>
                <a:pt x="1431347" y="2862696"/>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153687</xdr:colOff>
      <xdr:row>13</xdr:row>
      <xdr:rowOff>13380</xdr:rowOff>
    </xdr:from>
    <xdr:to>
      <xdr:col>4</xdr:col>
      <xdr:colOff>385041</xdr:colOff>
      <xdr:row>14</xdr:row>
      <xdr:rowOff>72609</xdr:rowOff>
    </xdr:to>
    <xdr:sp macro="" textlink="">
      <xdr:nvSpPr>
        <xdr:cNvPr id="40" name="テキスト ボックス 39">
          <a:extLst>
            <a:ext uri="{FF2B5EF4-FFF2-40B4-BE49-F238E27FC236}">
              <a16:creationId xmlns:a16="http://schemas.microsoft.com/office/drawing/2014/main" id="{6079BC92-A3D7-434D-888D-EB3B8ACFD73C}"/>
            </a:ext>
          </a:extLst>
        </xdr:cNvPr>
        <xdr:cNvSpPr txBox="1"/>
      </xdr:nvSpPr>
      <xdr:spPr>
        <a:xfrm>
          <a:off x="1868187" y="3385230"/>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α=200[°]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5</xdr:col>
      <xdr:colOff>510495</xdr:colOff>
      <xdr:row>15</xdr:row>
      <xdr:rowOff>20782</xdr:rowOff>
    </xdr:from>
    <xdr:to>
      <xdr:col>7</xdr:col>
      <xdr:colOff>6927</xdr:colOff>
      <xdr:row>28</xdr:row>
      <xdr:rowOff>177197</xdr:rowOff>
    </xdr:to>
    <xdr:cxnSp macro="">
      <xdr:nvCxnSpPr>
        <xdr:cNvPr id="41" name="直線コネクタ 40">
          <a:extLst>
            <a:ext uri="{FF2B5EF4-FFF2-40B4-BE49-F238E27FC236}">
              <a16:creationId xmlns:a16="http://schemas.microsoft.com/office/drawing/2014/main" id="{7591F052-8D5D-4C14-9064-9852B1638E51}"/>
            </a:ext>
          </a:extLst>
        </xdr:cNvPr>
        <xdr:cNvCxnSpPr/>
      </xdr:nvCxnSpPr>
      <xdr:spPr>
        <a:xfrm flipH="1">
          <a:off x="3329895" y="3887932"/>
          <a:ext cx="601332" cy="3375865"/>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472395</xdr:colOff>
      <xdr:row>28</xdr:row>
      <xdr:rowOff>139097</xdr:rowOff>
    </xdr:from>
    <xdr:to>
      <xdr:col>5</xdr:col>
      <xdr:colOff>548595</xdr:colOff>
      <xdr:row>29</xdr:row>
      <xdr:rowOff>43847</xdr:rowOff>
    </xdr:to>
    <xdr:sp macro="" textlink="">
      <xdr:nvSpPr>
        <xdr:cNvPr id="42" name="矢印: 右 41">
          <a:extLst>
            <a:ext uri="{FF2B5EF4-FFF2-40B4-BE49-F238E27FC236}">
              <a16:creationId xmlns:a16="http://schemas.microsoft.com/office/drawing/2014/main" id="{DB4BC3C9-92ED-434A-9EDE-1AB062ADBA25}"/>
            </a:ext>
          </a:extLst>
        </xdr:cNvPr>
        <xdr:cNvSpPr/>
      </xdr:nvSpPr>
      <xdr:spPr>
        <a:xfrm rot="16800000">
          <a:off x="3253695" y="7263797"/>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126884</xdr:colOff>
      <xdr:row>28</xdr:row>
      <xdr:rowOff>235625</xdr:rowOff>
    </xdr:from>
    <xdr:to>
      <xdr:col>6</xdr:col>
      <xdr:colOff>15580</xdr:colOff>
      <xdr:row>30</xdr:row>
      <xdr:rowOff>94829</xdr:rowOff>
    </xdr:to>
    <xdr:sp macro="" textlink="">
      <xdr:nvSpPr>
        <xdr:cNvPr id="43" name="テキスト ボックス 42">
          <a:extLst>
            <a:ext uri="{FF2B5EF4-FFF2-40B4-BE49-F238E27FC236}">
              <a16:creationId xmlns:a16="http://schemas.microsoft.com/office/drawing/2014/main" id="{63A0E49F-270A-4328-9CC4-F8739F43F0E6}"/>
            </a:ext>
          </a:extLst>
        </xdr:cNvPr>
        <xdr:cNvSpPr txBox="1"/>
      </xdr:nvSpPr>
      <xdr:spPr>
        <a:xfrm>
          <a:off x="2946284" y="7322225"/>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12</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6</xdr:col>
      <xdr:colOff>194933</xdr:colOff>
      <xdr:row>23</xdr:row>
      <xdr:rowOff>85560</xdr:rowOff>
    </xdr:from>
    <xdr:to>
      <xdr:col>7</xdr:col>
      <xdr:colOff>6928</xdr:colOff>
      <xdr:row>23</xdr:row>
      <xdr:rowOff>117767</xdr:rowOff>
    </xdr:to>
    <xdr:sp macro="" textlink="">
      <xdr:nvSpPr>
        <xdr:cNvPr id="44" name="フリーフォーム: 図形 43">
          <a:extLst>
            <a:ext uri="{FF2B5EF4-FFF2-40B4-BE49-F238E27FC236}">
              <a16:creationId xmlns:a16="http://schemas.microsoft.com/office/drawing/2014/main" id="{46E02C95-612C-47A7-B6F6-D61718743677}"/>
            </a:ext>
          </a:extLst>
        </xdr:cNvPr>
        <xdr:cNvSpPr/>
      </xdr:nvSpPr>
      <xdr:spPr>
        <a:xfrm>
          <a:off x="3566783" y="5933910"/>
          <a:ext cx="364445" cy="32207"/>
        </a:xfrm>
        <a:custGeom>
          <a:avLst/>
          <a:gdLst/>
          <a:ahLst/>
          <a:cxnLst/>
          <a:rect l="0" t="0" r="0" b="0"/>
          <a:pathLst>
            <a:path w="364445" h="32207">
              <a:moveTo>
                <a:pt x="0" y="0"/>
              </a:moveTo>
              <a:cubicBezTo>
                <a:pt x="179705" y="23978"/>
                <a:pt x="179705" y="23978"/>
                <a:pt x="179705" y="23978"/>
              </a:cubicBezTo>
              <a:cubicBezTo>
                <a:pt x="360817" y="32203"/>
                <a:pt x="360817" y="32203"/>
                <a:pt x="360817" y="32203"/>
              </a:cubicBezTo>
              <a:cubicBezTo>
                <a:pt x="364444" y="32206"/>
                <a:pt x="364444" y="32206"/>
                <a:pt x="364444" y="32206"/>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253175</xdr:colOff>
      <xdr:row>22</xdr:row>
      <xdr:rowOff>103198</xdr:rowOff>
    </xdr:from>
    <xdr:to>
      <xdr:col>6</xdr:col>
      <xdr:colOff>510562</xdr:colOff>
      <xdr:row>23</xdr:row>
      <xdr:rowOff>162427</xdr:rowOff>
    </xdr:to>
    <xdr:sp macro="" textlink="">
      <xdr:nvSpPr>
        <xdr:cNvPr id="45" name="テキスト ボックス 44">
          <a:extLst>
            <a:ext uri="{FF2B5EF4-FFF2-40B4-BE49-F238E27FC236}">
              <a16:creationId xmlns:a16="http://schemas.microsoft.com/office/drawing/2014/main" id="{379E84C0-3389-4B4D-A68C-26909A9265FA}"/>
            </a:ext>
          </a:extLst>
        </xdr:cNvPr>
        <xdr:cNvSpPr txBox="1"/>
      </xdr:nvSpPr>
      <xdr:spPr>
        <a:xfrm>
          <a:off x="3072575" y="5703898"/>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γ=10.1[°]</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7</xdr:col>
      <xdr:colOff>6927</xdr:colOff>
      <xdr:row>15</xdr:row>
      <xdr:rowOff>20782</xdr:rowOff>
    </xdr:from>
    <xdr:to>
      <xdr:col>13</xdr:col>
      <xdr:colOff>16459</xdr:colOff>
      <xdr:row>18</xdr:row>
      <xdr:rowOff>118992</xdr:rowOff>
    </xdr:to>
    <xdr:cxnSp macro="">
      <xdr:nvCxnSpPr>
        <xdr:cNvPr id="46" name="直線コネクタ 45">
          <a:extLst>
            <a:ext uri="{FF2B5EF4-FFF2-40B4-BE49-F238E27FC236}">
              <a16:creationId xmlns:a16="http://schemas.microsoft.com/office/drawing/2014/main" id="{1F39747C-E238-464B-AFC3-B65C4B884053}"/>
            </a:ext>
          </a:extLst>
        </xdr:cNvPr>
        <xdr:cNvCxnSpPr/>
      </xdr:nvCxnSpPr>
      <xdr:spPr>
        <a:xfrm>
          <a:off x="3931227" y="3887932"/>
          <a:ext cx="3324232" cy="841160"/>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492709</xdr:colOff>
      <xdr:row>18</xdr:row>
      <xdr:rowOff>118992</xdr:rowOff>
    </xdr:from>
    <xdr:to>
      <xdr:col>13</xdr:col>
      <xdr:colOff>92659</xdr:colOff>
      <xdr:row>18</xdr:row>
      <xdr:rowOff>195192</xdr:rowOff>
    </xdr:to>
    <xdr:sp macro="" textlink="">
      <xdr:nvSpPr>
        <xdr:cNvPr id="47" name="矢印: 右 46">
          <a:extLst>
            <a:ext uri="{FF2B5EF4-FFF2-40B4-BE49-F238E27FC236}">
              <a16:creationId xmlns:a16="http://schemas.microsoft.com/office/drawing/2014/main" id="{751130B3-4051-43A6-88ED-7DE05CBD3C12}"/>
            </a:ext>
          </a:extLst>
        </xdr:cNvPr>
        <xdr:cNvSpPr/>
      </xdr:nvSpPr>
      <xdr:spPr>
        <a:xfrm rot="11640000">
          <a:off x="7179259" y="4729092"/>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64131</xdr:colOff>
      <xdr:row>17</xdr:row>
      <xdr:rowOff>190377</xdr:rowOff>
    </xdr:from>
    <xdr:to>
      <xdr:col>13</xdr:col>
      <xdr:colOff>441157</xdr:colOff>
      <xdr:row>19</xdr:row>
      <xdr:rowOff>1956</xdr:rowOff>
    </xdr:to>
    <xdr:sp macro="" textlink="">
      <xdr:nvSpPr>
        <xdr:cNvPr id="48" name="テキスト ボックス 47">
          <a:extLst>
            <a:ext uri="{FF2B5EF4-FFF2-40B4-BE49-F238E27FC236}">
              <a16:creationId xmlns:a16="http://schemas.microsoft.com/office/drawing/2014/main" id="{F47148D0-55C7-49B3-A970-FF105B1B3AFB}"/>
            </a:ext>
          </a:extLst>
        </xdr:cNvPr>
        <xdr:cNvSpPr txBox="1"/>
      </xdr:nvSpPr>
      <xdr:spPr>
        <a:xfrm>
          <a:off x="7303131" y="4552827"/>
          <a:ext cx="37702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9</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7</xdr:col>
      <xdr:colOff>6927</xdr:colOff>
      <xdr:row>17</xdr:row>
      <xdr:rowOff>86256</xdr:rowOff>
    </xdr:from>
    <xdr:to>
      <xdr:col>11</xdr:col>
      <xdr:colOff>13282</xdr:colOff>
      <xdr:row>24</xdr:row>
      <xdr:rowOff>77935</xdr:rowOff>
    </xdr:to>
    <xdr:sp macro="" textlink="">
      <xdr:nvSpPr>
        <xdr:cNvPr id="49" name="フリーフォーム: 図形 48">
          <a:extLst>
            <a:ext uri="{FF2B5EF4-FFF2-40B4-BE49-F238E27FC236}">
              <a16:creationId xmlns:a16="http://schemas.microsoft.com/office/drawing/2014/main" id="{3B78484B-563D-494B-A9B1-EE9117E594A3}"/>
            </a:ext>
          </a:extLst>
        </xdr:cNvPr>
        <xdr:cNvSpPr/>
      </xdr:nvSpPr>
      <xdr:spPr>
        <a:xfrm>
          <a:off x="3931227" y="4448706"/>
          <a:ext cx="2216155" cy="1725229"/>
        </a:xfrm>
        <a:custGeom>
          <a:avLst/>
          <a:gdLst/>
          <a:ahLst/>
          <a:cxnLst/>
          <a:rect l="0" t="0" r="0" b="0"/>
          <a:pathLst>
            <a:path w="2216155" h="1725229">
              <a:moveTo>
                <a:pt x="0" y="1725228"/>
              </a:moveTo>
              <a:cubicBezTo>
                <a:pt x="199239" y="1716529"/>
                <a:pt x="199239" y="1716529"/>
                <a:pt x="199239" y="1716529"/>
              </a:cubicBezTo>
              <a:cubicBezTo>
                <a:pt x="396960" y="1690498"/>
                <a:pt x="396960" y="1690498"/>
                <a:pt x="396960" y="1690498"/>
              </a:cubicBezTo>
              <a:cubicBezTo>
                <a:pt x="591661" y="1647334"/>
                <a:pt x="591661" y="1647334"/>
                <a:pt x="591661" y="1647334"/>
              </a:cubicBezTo>
              <a:cubicBezTo>
                <a:pt x="781859" y="1587365"/>
                <a:pt x="781859" y="1587365"/>
                <a:pt x="781859" y="1587365"/>
              </a:cubicBezTo>
              <a:cubicBezTo>
                <a:pt x="966107" y="1511048"/>
                <a:pt x="966107" y="1511048"/>
                <a:pt x="966107" y="1511048"/>
              </a:cubicBezTo>
              <a:cubicBezTo>
                <a:pt x="1143001" y="1418962"/>
                <a:pt x="1143001" y="1418962"/>
                <a:pt x="1143001" y="1418962"/>
              </a:cubicBezTo>
              <a:cubicBezTo>
                <a:pt x="1311197" y="1311809"/>
                <a:pt x="1311197" y="1311809"/>
                <a:pt x="1311197" y="1311809"/>
              </a:cubicBezTo>
              <a:cubicBezTo>
                <a:pt x="1469414" y="1190405"/>
                <a:pt x="1469414" y="1190405"/>
                <a:pt x="1469414" y="1190405"/>
              </a:cubicBezTo>
              <a:cubicBezTo>
                <a:pt x="1616448" y="1055674"/>
                <a:pt x="1616448" y="1055674"/>
                <a:pt x="1616448" y="1055674"/>
              </a:cubicBezTo>
              <a:cubicBezTo>
                <a:pt x="1751179" y="908640"/>
                <a:pt x="1751179" y="908640"/>
                <a:pt x="1751179" y="908640"/>
              </a:cubicBezTo>
              <a:cubicBezTo>
                <a:pt x="1872583" y="750423"/>
                <a:pt x="1872583" y="750423"/>
                <a:pt x="1872583" y="750423"/>
              </a:cubicBezTo>
              <a:cubicBezTo>
                <a:pt x="1979736" y="582228"/>
                <a:pt x="1979736" y="582228"/>
                <a:pt x="1979736" y="582228"/>
              </a:cubicBezTo>
              <a:cubicBezTo>
                <a:pt x="2071822" y="405333"/>
                <a:pt x="2071822" y="405333"/>
                <a:pt x="2071822" y="405333"/>
              </a:cubicBezTo>
              <a:cubicBezTo>
                <a:pt x="2148140" y="221085"/>
                <a:pt x="2148140" y="221085"/>
                <a:pt x="2148140" y="221085"/>
              </a:cubicBezTo>
              <a:cubicBezTo>
                <a:pt x="2208109" y="30888"/>
                <a:pt x="2208109" y="30888"/>
                <a:pt x="2208109" y="30888"/>
              </a:cubicBezTo>
              <a:cubicBezTo>
                <a:pt x="2216154" y="0"/>
                <a:pt x="2216154" y="0"/>
                <a:pt x="2216154" y="0"/>
              </a:cubicBezTo>
            </a:path>
          </a:pathLst>
        </a:custGeom>
        <a:ln>
          <a:headEnd type="oval" w="sm" len="sm"/>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129347</xdr:colOff>
      <xdr:row>21</xdr:row>
      <xdr:rowOff>84580</xdr:rowOff>
    </xdr:from>
    <xdr:to>
      <xdr:col>9</xdr:col>
      <xdr:colOff>450854</xdr:colOff>
      <xdr:row>22</xdr:row>
      <xdr:rowOff>143809</xdr:rowOff>
    </xdr:to>
    <xdr:sp macro="" textlink="">
      <xdr:nvSpPr>
        <xdr:cNvPr id="50" name="テキスト ボックス 49">
          <a:extLst>
            <a:ext uri="{FF2B5EF4-FFF2-40B4-BE49-F238E27FC236}">
              <a16:creationId xmlns:a16="http://schemas.microsoft.com/office/drawing/2014/main" id="{10C2569E-3257-4BEB-8532-B4066291EB8C}"/>
            </a:ext>
          </a:extLst>
        </xdr:cNvPr>
        <xdr:cNvSpPr txBox="1"/>
      </xdr:nvSpPr>
      <xdr:spPr>
        <a:xfrm>
          <a:off x="4606097" y="5437630"/>
          <a:ext cx="87395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γ=-75.8[°]</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xdr:col>
      <xdr:colOff>142311</xdr:colOff>
      <xdr:row>15</xdr:row>
      <xdr:rowOff>20782</xdr:rowOff>
    </xdr:from>
    <xdr:to>
      <xdr:col>7</xdr:col>
      <xdr:colOff>6927</xdr:colOff>
      <xdr:row>20</xdr:row>
      <xdr:rowOff>67059</xdr:rowOff>
    </xdr:to>
    <xdr:cxnSp macro="">
      <xdr:nvCxnSpPr>
        <xdr:cNvPr id="51" name="直線コネクタ 50">
          <a:extLst>
            <a:ext uri="{FF2B5EF4-FFF2-40B4-BE49-F238E27FC236}">
              <a16:creationId xmlns:a16="http://schemas.microsoft.com/office/drawing/2014/main" id="{B0E5456E-1872-4282-AC22-37B7C28C94E2}"/>
            </a:ext>
          </a:extLst>
        </xdr:cNvPr>
        <xdr:cNvCxnSpPr/>
      </xdr:nvCxnSpPr>
      <xdr:spPr>
        <a:xfrm flipH="1">
          <a:off x="751911" y="3887932"/>
          <a:ext cx="3179316" cy="1284527"/>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66111</xdr:colOff>
      <xdr:row>20</xdr:row>
      <xdr:rowOff>67059</xdr:rowOff>
    </xdr:from>
    <xdr:to>
      <xdr:col>1</xdr:col>
      <xdr:colOff>218511</xdr:colOff>
      <xdr:row>20</xdr:row>
      <xdr:rowOff>143259</xdr:rowOff>
    </xdr:to>
    <xdr:sp macro="" textlink="">
      <xdr:nvSpPr>
        <xdr:cNvPr id="52" name="矢印: 右 51">
          <a:extLst>
            <a:ext uri="{FF2B5EF4-FFF2-40B4-BE49-F238E27FC236}">
              <a16:creationId xmlns:a16="http://schemas.microsoft.com/office/drawing/2014/main" id="{38B3B7D3-860C-46D3-8E57-E8EAE37AF8A3}"/>
            </a:ext>
          </a:extLst>
        </xdr:cNvPr>
        <xdr:cNvSpPr/>
      </xdr:nvSpPr>
      <xdr:spPr>
        <a:xfrm rot="20280000">
          <a:off x="675711" y="5172459"/>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129598</xdr:colOff>
      <xdr:row>19</xdr:row>
      <xdr:rowOff>179496</xdr:rowOff>
    </xdr:from>
    <xdr:to>
      <xdr:col>0</xdr:col>
      <xdr:colOff>570744</xdr:colOff>
      <xdr:row>20</xdr:row>
      <xdr:rowOff>238725</xdr:rowOff>
    </xdr:to>
    <xdr:sp macro="" textlink="">
      <xdr:nvSpPr>
        <xdr:cNvPr id="53" name="テキスト ボックス 52">
          <a:extLst>
            <a:ext uri="{FF2B5EF4-FFF2-40B4-BE49-F238E27FC236}">
              <a16:creationId xmlns:a16="http://schemas.microsoft.com/office/drawing/2014/main" id="{631B8086-9A6E-42AA-A4F4-D7A47CBF89EB}"/>
            </a:ext>
          </a:extLst>
        </xdr:cNvPr>
        <xdr:cNvSpPr txBox="1"/>
      </xdr:nvSpPr>
      <xdr:spPr>
        <a:xfrm>
          <a:off x="129598" y="5037246"/>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14</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2</xdr:col>
      <xdr:colOff>456948</xdr:colOff>
      <xdr:row>18</xdr:row>
      <xdr:rowOff>212034</xdr:rowOff>
    </xdr:from>
    <xdr:to>
      <xdr:col>7</xdr:col>
      <xdr:colOff>6928</xdr:colOff>
      <xdr:row>25</xdr:row>
      <xdr:rowOff>38103</xdr:rowOff>
    </xdr:to>
    <xdr:sp macro="" textlink="">
      <xdr:nvSpPr>
        <xdr:cNvPr id="54" name="フリーフォーム: 図形 53">
          <a:extLst>
            <a:ext uri="{FF2B5EF4-FFF2-40B4-BE49-F238E27FC236}">
              <a16:creationId xmlns:a16="http://schemas.microsoft.com/office/drawing/2014/main" id="{9B26311C-C704-4025-A092-D02857137F7E}"/>
            </a:ext>
          </a:extLst>
        </xdr:cNvPr>
        <xdr:cNvSpPr/>
      </xdr:nvSpPr>
      <xdr:spPr>
        <a:xfrm>
          <a:off x="1618998" y="4822134"/>
          <a:ext cx="2312230" cy="1559619"/>
        </a:xfrm>
        <a:custGeom>
          <a:avLst/>
          <a:gdLst/>
          <a:ahLst/>
          <a:cxnLst/>
          <a:rect l="0" t="0" r="0" b="0"/>
          <a:pathLst>
            <a:path w="2312230" h="1559619">
              <a:moveTo>
                <a:pt x="0" y="0"/>
              </a:moveTo>
              <a:cubicBezTo>
                <a:pt x="90219" y="197969"/>
                <a:pt x="90219" y="197969"/>
                <a:pt x="90219" y="197969"/>
              </a:cubicBezTo>
              <a:cubicBezTo>
                <a:pt x="197350" y="387322"/>
                <a:pt x="197350" y="387322"/>
                <a:pt x="197350" y="387322"/>
              </a:cubicBezTo>
              <a:cubicBezTo>
                <a:pt x="320576" y="566617"/>
                <a:pt x="320576" y="566617"/>
                <a:pt x="320576" y="566617"/>
              </a:cubicBezTo>
              <a:cubicBezTo>
                <a:pt x="458960" y="734490"/>
                <a:pt x="458960" y="734490"/>
                <a:pt x="458960" y="734490"/>
              </a:cubicBezTo>
              <a:cubicBezTo>
                <a:pt x="611448" y="889663"/>
                <a:pt x="611448" y="889663"/>
                <a:pt x="611448" y="889663"/>
              </a:cubicBezTo>
              <a:cubicBezTo>
                <a:pt x="776880" y="1030955"/>
                <a:pt x="776880" y="1030955"/>
                <a:pt x="776880" y="1030955"/>
              </a:cubicBezTo>
              <a:cubicBezTo>
                <a:pt x="953997" y="1157292"/>
                <a:pt x="953997" y="1157292"/>
                <a:pt x="953997" y="1157292"/>
              </a:cubicBezTo>
              <a:cubicBezTo>
                <a:pt x="1141452" y="1267711"/>
                <a:pt x="1141452" y="1267711"/>
                <a:pt x="1141452" y="1267711"/>
              </a:cubicBezTo>
              <a:cubicBezTo>
                <a:pt x="1337816" y="1361372"/>
                <a:pt x="1337816" y="1361372"/>
                <a:pt x="1337816" y="1361372"/>
              </a:cubicBezTo>
              <a:cubicBezTo>
                <a:pt x="1541596" y="1437562"/>
                <a:pt x="1541596" y="1437562"/>
                <a:pt x="1541596" y="1437562"/>
              </a:cubicBezTo>
              <a:cubicBezTo>
                <a:pt x="1751242" y="1495702"/>
                <a:pt x="1751242" y="1495702"/>
                <a:pt x="1751242" y="1495702"/>
              </a:cubicBezTo>
              <a:cubicBezTo>
                <a:pt x="1965156" y="1535348"/>
                <a:pt x="1965156" y="1535348"/>
                <a:pt x="1965156" y="1535348"/>
              </a:cubicBezTo>
              <a:cubicBezTo>
                <a:pt x="2181713" y="1556201"/>
                <a:pt x="2181713" y="1556201"/>
                <a:pt x="2181713" y="1556201"/>
              </a:cubicBezTo>
              <a:cubicBezTo>
                <a:pt x="2312229" y="1559618"/>
                <a:pt x="2312229" y="1559618"/>
                <a:pt x="2312229" y="1559618"/>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245098</xdr:colOff>
      <xdr:row>22</xdr:row>
      <xdr:rowOff>100552</xdr:rowOff>
    </xdr:from>
    <xdr:to>
      <xdr:col>4</xdr:col>
      <xdr:colOff>412332</xdr:colOff>
      <xdr:row>23</xdr:row>
      <xdr:rowOff>159781</xdr:rowOff>
    </xdr:to>
    <xdr:sp macro="" textlink="">
      <xdr:nvSpPr>
        <xdr:cNvPr id="55" name="テキスト ボックス 54">
          <a:extLst>
            <a:ext uri="{FF2B5EF4-FFF2-40B4-BE49-F238E27FC236}">
              <a16:creationId xmlns:a16="http://schemas.microsoft.com/office/drawing/2014/main" id="{A9BE8E48-D62D-445E-9A06-303446C7CF73}"/>
            </a:ext>
          </a:extLst>
        </xdr:cNvPr>
        <xdr:cNvSpPr txBox="1"/>
      </xdr:nvSpPr>
      <xdr:spPr>
        <a:xfrm>
          <a:off x="1959598" y="5701252"/>
          <a:ext cx="71968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γ=68[°]</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0</xdr:col>
      <xdr:colOff>502245</xdr:colOff>
      <xdr:row>15</xdr:row>
      <xdr:rowOff>8813</xdr:rowOff>
    </xdr:from>
    <xdr:to>
      <xdr:col>7</xdr:col>
      <xdr:colOff>6927</xdr:colOff>
      <xdr:row>15</xdr:row>
      <xdr:rowOff>20782</xdr:rowOff>
    </xdr:to>
    <xdr:cxnSp macro="">
      <xdr:nvCxnSpPr>
        <xdr:cNvPr id="56" name="直線コネクタ 55">
          <a:extLst>
            <a:ext uri="{FF2B5EF4-FFF2-40B4-BE49-F238E27FC236}">
              <a16:creationId xmlns:a16="http://schemas.microsoft.com/office/drawing/2014/main" id="{4A9EB4A5-4DB9-4770-9C7E-DAEB7F7F9037}"/>
            </a:ext>
          </a:extLst>
        </xdr:cNvPr>
        <xdr:cNvCxnSpPr/>
      </xdr:nvCxnSpPr>
      <xdr:spPr>
        <a:xfrm flipH="1" flipV="1">
          <a:off x="502245" y="3875963"/>
          <a:ext cx="3428982" cy="11969"/>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426045</xdr:colOff>
      <xdr:row>15</xdr:row>
      <xdr:rowOff>8813</xdr:rowOff>
    </xdr:from>
    <xdr:to>
      <xdr:col>0</xdr:col>
      <xdr:colOff>578445</xdr:colOff>
      <xdr:row>15</xdr:row>
      <xdr:rowOff>85013</xdr:rowOff>
    </xdr:to>
    <xdr:sp macro="" textlink="">
      <xdr:nvSpPr>
        <xdr:cNvPr id="57" name="矢印: 右 56">
          <a:extLst>
            <a:ext uri="{FF2B5EF4-FFF2-40B4-BE49-F238E27FC236}">
              <a16:creationId xmlns:a16="http://schemas.microsoft.com/office/drawing/2014/main" id="{FBB5FBEE-8C46-451A-9581-D1B41EBAAC66}"/>
            </a:ext>
          </a:extLst>
        </xdr:cNvPr>
        <xdr:cNvSpPr/>
      </xdr:nvSpPr>
      <xdr:spPr>
        <a:xfrm>
          <a:off x="426045" y="3875963"/>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13786</xdr:colOff>
      <xdr:row>14</xdr:row>
      <xdr:rowOff>1204</xdr:rowOff>
    </xdr:from>
    <xdr:to>
      <xdr:col>0</xdr:col>
      <xdr:colOff>454932</xdr:colOff>
      <xdr:row>15</xdr:row>
      <xdr:rowOff>60433</xdr:rowOff>
    </xdr:to>
    <xdr:sp macro="" textlink="">
      <xdr:nvSpPr>
        <xdr:cNvPr id="58" name="テキスト ボックス 57">
          <a:extLst>
            <a:ext uri="{FF2B5EF4-FFF2-40B4-BE49-F238E27FC236}">
              <a16:creationId xmlns:a16="http://schemas.microsoft.com/office/drawing/2014/main" id="{B16F5203-2D72-41AA-9176-D3A627AF4A94}"/>
            </a:ext>
          </a:extLst>
        </xdr:cNvPr>
        <xdr:cNvSpPr txBox="1"/>
      </xdr:nvSpPr>
      <xdr:spPr>
        <a:xfrm>
          <a:off x="13786" y="3620704"/>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16</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2</xdr:col>
      <xdr:colOff>67555</xdr:colOff>
      <xdr:row>15</xdr:row>
      <xdr:rowOff>11352</xdr:rowOff>
    </xdr:from>
    <xdr:to>
      <xdr:col>7</xdr:col>
      <xdr:colOff>6928</xdr:colOff>
      <xdr:row>25</xdr:row>
      <xdr:rowOff>245922</xdr:rowOff>
    </xdr:to>
    <xdr:sp macro="" textlink="">
      <xdr:nvSpPr>
        <xdr:cNvPr id="59" name="フリーフォーム: 図形 58">
          <a:extLst>
            <a:ext uri="{FF2B5EF4-FFF2-40B4-BE49-F238E27FC236}">
              <a16:creationId xmlns:a16="http://schemas.microsoft.com/office/drawing/2014/main" id="{BC213ACE-419C-4165-A437-1032545CF006}"/>
            </a:ext>
          </a:extLst>
        </xdr:cNvPr>
        <xdr:cNvSpPr/>
      </xdr:nvSpPr>
      <xdr:spPr>
        <a:xfrm>
          <a:off x="1229605" y="3878502"/>
          <a:ext cx="2701623" cy="2711070"/>
        </a:xfrm>
        <a:custGeom>
          <a:avLst/>
          <a:gdLst/>
          <a:ahLst/>
          <a:cxnLst/>
          <a:rect l="0" t="0" r="0" b="0"/>
          <a:pathLst>
            <a:path w="2701623" h="2711070">
              <a:moveTo>
                <a:pt x="0" y="0"/>
              </a:moveTo>
              <a:cubicBezTo>
                <a:pt x="9459" y="235498"/>
                <a:pt x="9459" y="235498"/>
                <a:pt x="9459" y="235498"/>
              </a:cubicBezTo>
              <a:cubicBezTo>
                <a:pt x="39406" y="469275"/>
                <a:pt x="39406" y="469275"/>
                <a:pt x="39406" y="469275"/>
              </a:cubicBezTo>
              <a:cubicBezTo>
                <a:pt x="89615" y="699552"/>
                <a:pt x="89615" y="699552"/>
                <a:pt x="89615" y="699552"/>
              </a:cubicBezTo>
              <a:cubicBezTo>
                <a:pt x="159703" y="924578"/>
                <a:pt x="159703" y="924578"/>
                <a:pt x="159703" y="924578"/>
              </a:cubicBezTo>
              <a:cubicBezTo>
                <a:pt x="249136" y="1142638"/>
                <a:pt x="249136" y="1142638"/>
                <a:pt x="249136" y="1142638"/>
              </a:cubicBezTo>
              <a:cubicBezTo>
                <a:pt x="357234" y="1352074"/>
                <a:pt x="357234" y="1352074"/>
                <a:pt x="357234" y="1352074"/>
              </a:cubicBezTo>
              <a:cubicBezTo>
                <a:pt x="483174" y="1551292"/>
                <a:pt x="483174" y="1551292"/>
                <a:pt x="483174" y="1551292"/>
              </a:cubicBezTo>
              <a:cubicBezTo>
                <a:pt x="625998" y="1738775"/>
                <a:pt x="625998" y="1738775"/>
                <a:pt x="625998" y="1738775"/>
              </a:cubicBezTo>
              <a:cubicBezTo>
                <a:pt x="784619" y="1913097"/>
                <a:pt x="784619" y="1913097"/>
                <a:pt x="784619" y="1913097"/>
              </a:cubicBezTo>
              <a:cubicBezTo>
                <a:pt x="957829" y="2072931"/>
                <a:pt x="957829" y="2072931"/>
                <a:pt x="957829" y="2072931"/>
              </a:cubicBezTo>
              <a:cubicBezTo>
                <a:pt x="1144310" y="2217060"/>
                <a:pt x="1144310" y="2217060"/>
                <a:pt x="1144310" y="2217060"/>
              </a:cubicBezTo>
              <a:cubicBezTo>
                <a:pt x="1342644" y="2344388"/>
                <a:pt x="1342644" y="2344388"/>
                <a:pt x="1342644" y="2344388"/>
              </a:cubicBezTo>
              <a:cubicBezTo>
                <a:pt x="1551320" y="2453946"/>
                <a:pt x="1551320" y="2453946"/>
                <a:pt x="1551320" y="2453946"/>
              </a:cubicBezTo>
              <a:cubicBezTo>
                <a:pt x="1768751" y="2544899"/>
                <a:pt x="1768751" y="2544899"/>
                <a:pt x="1768751" y="2544899"/>
              </a:cubicBezTo>
              <a:cubicBezTo>
                <a:pt x="1993281" y="2616556"/>
                <a:pt x="1993281" y="2616556"/>
                <a:pt x="1993281" y="2616556"/>
              </a:cubicBezTo>
              <a:cubicBezTo>
                <a:pt x="2223203" y="2668371"/>
                <a:pt x="2223203" y="2668371"/>
                <a:pt x="2223203" y="2668371"/>
              </a:cubicBezTo>
              <a:cubicBezTo>
                <a:pt x="2456765" y="2699950"/>
                <a:pt x="2456765" y="2699950"/>
                <a:pt x="2456765" y="2699950"/>
              </a:cubicBezTo>
              <a:cubicBezTo>
                <a:pt x="2692191" y="2711052"/>
                <a:pt x="2692191" y="2711052"/>
                <a:pt x="2692191" y="2711052"/>
              </a:cubicBezTo>
              <a:cubicBezTo>
                <a:pt x="2701622" y="2711069"/>
                <a:pt x="2701622" y="2711069"/>
                <a:pt x="2701622" y="2711069"/>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179779</xdr:colOff>
      <xdr:row>21</xdr:row>
      <xdr:rowOff>187741</xdr:rowOff>
    </xdr:from>
    <xdr:to>
      <xdr:col>3</xdr:col>
      <xdr:colOff>437166</xdr:colOff>
      <xdr:row>22</xdr:row>
      <xdr:rowOff>246970</xdr:rowOff>
    </xdr:to>
    <xdr:sp macro="" textlink="">
      <xdr:nvSpPr>
        <xdr:cNvPr id="60" name="テキスト ボックス 59">
          <a:extLst>
            <a:ext uri="{FF2B5EF4-FFF2-40B4-BE49-F238E27FC236}">
              <a16:creationId xmlns:a16="http://schemas.microsoft.com/office/drawing/2014/main" id="{5846C771-F22B-4AAA-8888-4224D664FE50}"/>
            </a:ext>
          </a:extLst>
        </xdr:cNvPr>
        <xdr:cNvSpPr txBox="1"/>
      </xdr:nvSpPr>
      <xdr:spPr>
        <a:xfrm>
          <a:off x="1341829" y="5540791"/>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γ=90.2[°]</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20</xdr:col>
      <xdr:colOff>126120</xdr:colOff>
      <xdr:row>19</xdr:row>
      <xdr:rowOff>56617</xdr:rowOff>
    </xdr:from>
    <xdr:to>
      <xdr:col>20</xdr:col>
      <xdr:colOff>507277</xdr:colOff>
      <xdr:row>19</xdr:row>
      <xdr:rowOff>123826</xdr:rowOff>
    </xdr:to>
    <xdr:sp macro="" textlink="">
      <xdr:nvSpPr>
        <xdr:cNvPr id="61" name="フリーフォーム: 図形 60">
          <a:extLst>
            <a:ext uri="{FF2B5EF4-FFF2-40B4-BE49-F238E27FC236}">
              <a16:creationId xmlns:a16="http://schemas.microsoft.com/office/drawing/2014/main" id="{C7C3F504-FFD3-4963-9318-20A656EB5C43}"/>
            </a:ext>
          </a:extLst>
        </xdr:cNvPr>
        <xdr:cNvSpPr/>
      </xdr:nvSpPr>
      <xdr:spPr>
        <a:xfrm>
          <a:off x="11346570" y="4914367"/>
          <a:ext cx="381157" cy="67209"/>
        </a:xfrm>
        <a:custGeom>
          <a:avLst/>
          <a:gdLst/>
          <a:ahLst/>
          <a:cxnLst/>
          <a:rect l="0" t="0" r="0" b="0"/>
          <a:pathLst>
            <a:path w="381157" h="67209">
              <a:moveTo>
                <a:pt x="0" y="0"/>
              </a:moveTo>
              <a:cubicBezTo>
                <a:pt x="92722" y="29235"/>
                <a:pt x="92722" y="29235"/>
                <a:pt x="92722" y="29235"/>
              </a:cubicBezTo>
              <a:cubicBezTo>
                <a:pt x="187638" y="50277"/>
                <a:pt x="187638" y="50277"/>
                <a:pt x="187638" y="50277"/>
              </a:cubicBezTo>
              <a:cubicBezTo>
                <a:pt x="284028" y="62967"/>
                <a:pt x="284028" y="62967"/>
                <a:pt x="284028" y="62967"/>
              </a:cubicBezTo>
              <a:cubicBezTo>
                <a:pt x="381156" y="67208"/>
                <a:pt x="381156" y="67208"/>
                <a:pt x="381156" y="67208"/>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302629</xdr:colOff>
      <xdr:row>17</xdr:row>
      <xdr:rowOff>222973</xdr:rowOff>
    </xdr:from>
    <xdr:to>
      <xdr:col>20</xdr:col>
      <xdr:colOff>469863</xdr:colOff>
      <xdr:row>19</xdr:row>
      <xdr:rowOff>34552</xdr:rowOff>
    </xdr:to>
    <xdr:sp macro="" textlink="">
      <xdr:nvSpPr>
        <xdr:cNvPr id="62" name="テキスト ボックス 61">
          <a:extLst>
            <a:ext uri="{FF2B5EF4-FFF2-40B4-BE49-F238E27FC236}">
              <a16:creationId xmlns:a16="http://schemas.microsoft.com/office/drawing/2014/main" id="{05CB20B7-E5EA-4A93-A58D-736C1568B895}"/>
            </a:ext>
          </a:extLst>
        </xdr:cNvPr>
        <xdr:cNvSpPr txBox="1"/>
      </xdr:nvSpPr>
      <xdr:spPr>
        <a:xfrm>
          <a:off x="10970629" y="4585423"/>
          <a:ext cx="71968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α=20[°]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20</xdr:col>
      <xdr:colOff>507276</xdr:colOff>
      <xdr:row>16</xdr:row>
      <xdr:rowOff>175857</xdr:rowOff>
    </xdr:from>
    <xdr:to>
      <xdr:col>23</xdr:col>
      <xdr:colOff>13501</xdr:colOff>
      <xdr:row>20</xdr:row>
      <xdr:rowOff>1</xdr:rowOff>
    </xdr:to>
    <xdr:sp macro="" textlink="">
      <xdr:nvSpPr>
        <xdr:cNvPr id="63" name="フリーフォーム: 図形 62">
          <a:extLst>
            <a:ext uri="{FF2B5EF4-FFF2-40B4-BE49-F238E27FC236}">
              <a16:creationId xmlns:a16="http://schemas.microsoft.com/office/drawing/2014/main" id="{A4562385-650E-455F-85FA-900360A689C5}"/>
            </a:ext>
          </a:extLst>
        </xdr:cNvPr>
        <xdr:cNvSpPr/>
      </xdr:nvSpPr>
      <xdr:spPr>
        <a:xfrm>
          <a:off x="11727726" y="4290657"/>
          <a:ext cx="1163575" cy="814744"/>
        </a:xfrm>
        <a:custGeom>
          <a:avLst/>
          <a:gdLst/>
          <a:ahLst/>
          <a:cxnLst/>
          <a:rect l="0" t="0" r="0" b="0"/>
          <a:pathLst>
            <a:path w="1163575" h="814744">
              <a:moveTo>
                <a:pt x="0" y="814743"/>
              </a:moveTo>
              <a:cubicBezTo>
                <a:pt x="107921" y="810031"/>
                <a:pt x="107921" y="810031"/>
                <a:pt x="107921" y="810031"/>
              </a:cubicBezTo>
              <a:cubicBezTo>
                <a:pt x="215020" y="795931"/>
                <a:pt x="215020" y="795931"/>
                <a:pt x="215020" y="795931"/>
              </a:cubicBezTo>
              <a:cubicBezTo>
                <a:pt x="320483" y="772551"/>
                <a:pt x="320483" y="772551"/>
                <a:pt x="320483" y="772551"/>
              </a:cubicBezTo>
              <a:cubicBezTo>
                <a:pt x="423507" y="740067"/>
                <a:pt x="423507" y="740067"/>
                <a:pt x="423507" y="740067"/>
              </a:cubicBezTo>
              <a:cubicBezTo>
                <a:pt x="523307" y="698729"/>
                <a:pt x="523307" y="698729"/>
                <a:pt x="523307" y="698729"/>
              </a:cubicBezTo>
              <a:cubicBezTo>
                <a:pt x="619125" y="648849"/>
                <a:pt x="619125" y="648849"/>
                <a:pt x="619125" y="648849"/>
              </a:cubicBezTo>
              <a:cubicBezTo>
                <a:pt x="710231" y="590808"/>
                <a:pt x="710231" y="590808"/>
                <a:pt x="710231" y="590808"/>
              </a:cubicBezTo>
              <a:cubicBezTo>
                <a:pt x="795931" y="525048"/>
                <a:pt x="795931" y="525048"/>
                <a:pt x="795931" y="525048"/>
              </a:cubicBezTo>
              <a:cubicBezTo>
                <a:pt x="875574" y="452068"/>
                <a:pt x="875574" y="452068"/>
                <a:pt x="875574" y="452068"/>
              </a:cubicBezTo>
              <a:cubicBezTo>
                <a:pt x="948555" y="372425"/>
                <a:pt x="948555" y="372425"/>
                <a:pt x="948555" y="372425"/>
              </a:cubicBezTo>
              <a:cubicBezTo>
                <a:pt x="1014315" y="286724"/>
                <a:pt x="1014315" y="286724"/>
                <a:pt x="1014315" y="286724"/>
              </a:cubicBezTo>
              <a:cubicBezTo>
                <a:pt x="1072355" y="195618"/>
                <a:pt x="1072355" y="195618"/>
                <a:pt x="1072355" y="195618"/>
              </a:cubicBezTo>
              <a:cubicBezTo>
                <a:pt x="1122235" y="99800"/>
                <a:pt x="1122235" y="99800"/>
                <a:pt x="1122235" y="99800"/>
              </a:cubicBezTo>
              <a:cubicBezTo>
                <a:pt x="1163574" y="0"/>
                <a:pt x="1163574" y="0"/>
                <a:pt x="1163574" y="0"/>
              </a:cubicBezTo>
            </a:path>
          </a:pathLst>
        </a:custGeom>
        <a:ln>
          <a:headEnd type="oval" w="sm" len="sm"/>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25758</xdr:colOff>
      <xdr:row>18</xdr:row>
      <xdr:rowOff>17214</xdr:rowOff>
    </xdr:from>
    <xdr:to>
      <xdr:col>22</xdr:col>
      <xdr:colOff>257112</xdr:colOff>
      <xdr:row>19</xdr:row>
      <xdr:rowOff>76443</xdr:rowOff>
    </xdr:to>
    <xdr:sp macro="" textlink="">
      <xdr:nvSpPr>
        <xdr:cNvPr id="64" name="テキスト ボックス 63">
          <a:extLst>
            <a:ext uri="{FF2B5EF4-FFF2-40B4-BE49-F238E27FC236}">
              <a16:creationId xmlns:a16="http://schemas.microsoft.com/office/drawing/2014/main" id="{8A515AC2-962D-497C-8F4F-E8DAE49844ED}"/>
            </a:ext>
          </a:extLst>
        </xdr:cNvPr>
        <xdr:cNvSpPr txBox="1"/>
      </xdr:nvSpPr>
      <xdr:spPr>
        <a:xfrm>
          <a:off x="11798658" y="4627314"/>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α=-70[°]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18</xdr:col>
      <xdr:colOff>324396</xdr:colOff>
      <xdr:row>13</xdr:row>
      <xdr:rowOff>54853</xdr:rowOff>
    </xdr:from>
    <xdr:to>
      <xdr:col>20</xdr:col>
      <xdr:colOff>507277</xdr:colOff>
      <xdr:row>20</xdr:row>
      <xdr:rowOff>49531</xdr:rowOff>
    </xdr:to>
    <xdr:sp macro="" textlink="">
      <xdr:nvSpPr>
        <xdr:cNvPr id="65" name="フリーフォーム: 図形 64">
          <a:extLst>
            <a:ext uri="{FF2B5EF4-FFF2-40B4-BE49-F238E27FC236}">
              <a16:creationId xmlns:a16="http://schemas.microsoft.com/office/drawing/2014/main" id="{E2A028A8-198F-4CA0-ACE3-9F8BAEAB8991}"/>
            </a:ext>
          </a:extLst>
        </xdr:cNvPr>
        <xdr:cNvSpPr/>
      </xdr:nvSpPr>
      <xdr:spPr>
        <a:xfrm>
          <a:off x="10439946" y="3426703"/>
          <a:ext cx="1287781" cy="1728228"/>
        </a:xfrm>
        <a:custGeom>
          <a:avLst/>
          <a:gdLst/>
          <a:ahLst/>
          <a:cxnLst/>
          <a:rect l="0" t="0" r="0" b="0"/>
          <a:pathLst>
            <a:path w="1287781" h="1728228">
              <a:moveTo>
                <a:pt x="77662" y="0"/>
              </a:moveTo>
              <a:cubicBezTo>
                <a:pt x="43880" y="107145"/>
                <a:pt x="43880" y="107145"/>
                <a:pt x="43880" y="107145"/>
              </a:cubicBezTo>
              <a:cubicBezTo>
                <a:pt x="19564" y="216826"/>
                <a:pt x="19564" y="216826"/>
                <a:pt x="19564" y="216826"/>
              </a:cubicBezTo>
              <a:cubicBezTo>
                <a:pt x="4900" y="328209"/>
                <a:pt x="4900" y="328209"/>
                <a:pt x="4900" y="328209"/>
              </a:cubicBezTo>
              <a:cubicBezTo>
                <a:pt x="0" y="440447"/>
                <a:pt x="0" y="440447"/>
                <a:pt x="0" y="440447"/>
              </a:cubicBezTo>
              <a:cubicBezTo>
                <a:pt x="4900" y="552684"/>
                <a:pt x="4900" y="552684"/>
                <a:pt x="4900" y="552684"/>
              </a:cubicBezTo>
              <a:cubicBezTo>
                <a:pt x="19564" y="664067"/>
                <a:pt x="19564" y="664067"/>
                <a:pt x="19564" y="664067"/>
              </a:cubicBezTo>
              <a:cubicBezTo>
                <a:pt x="43880" y="773749"/>
                <a:pt x="43880" y="773749"/>
                <a:pt x="43880" y="773749"/>
              </a:cubicBezTo>
              <a:cubicBezTo>
                <a:pt x="77662" y="880893"/>
                <a:pt x="77662" y="880893"/>
                <a:pt x="77662" y="880893"/>
              </a:cubicBezTo>
              <a:cubicBezTo>
                <a:pt x="120655" y="984686"/>
                <a:pt x="120655" y="984686"/>
                <a:pt x="120655" y="984686"/>
              </a:cubicBezTo>
              <a:cubicBezTo>
                <a:pt x="172529" y="1084337"/>
                <a:pt x="172529" y="1084337"/>
                <a:pt x="172529" y="1084337"/>
              </a:cubicBezTo>
              <a:cubicBezTo>
                <a:pt x="232892" y="1179087"/>
                <a:pt x="232892" y="1179087"/>
                <a:pt x="232892" y="1179087"/>
              </a:cubicBezTo>
              <a:cubicBezTo>
                <a:pt x="301283" y="1268216"/>
                <a:pt x="301283" y="1268216"/>
                <a:pt x="301283" y="1268216"/>
              </a:cubicBezTo>
              <a:cubicBezTo>
                <a:pt x="377182" y="1351045"/>
                <a:pt x="377182" y="1351045"/>
                <a:pt x="377182" y="1351045"/>
              </a:cubicBezTo>
              <a:cubicBezTo>
                <a:pt x="460010" y="1426943"/>
                <a:pt x="460010" y="1426943"/>
                <a:pt x="460010" y="1426943"/>
              </a:cubicBezTo>
              <a:cubicBezTo>
                <a:pt x="549139" y="1495335"/>
                <a:pt x="549139" y="1495335"/>
                <a:pt x="549139" y="1495335"/>
              </a:cubicBezTo>
              <a:cubicBezTo>
                <a:pt x="643890" y="1555697"/>
                <a:pt x="643890" y="1555697"/>
                <a:pt x="643890" y="1555697"/>
              </a:cubicBezTo>
              <a:cubicBezTo>
                <a:pt x="743540" y="1607572"/>
                <a:pt x="743540" y="1607572"/>
                <a:pt x="743540" y="1607572"/>
              </a:cubicBezTo>
              <a:cubicBezTo>
                <a:pt x="847332" y="1650564"/>
                <a:pt x="847332" y="1650564"/>
                <a:pt x="847332" y="1650564"/>
              </a:cubicBezTo>
              <a:cubicBezTo>
                <a:pt x="954478" y="1684347"/>
                <a:pt x="954478" y="1684347"/>
                <a:pt x="954478" y="1684347"/>
              </a:cubicBezTo>
              <a:cubicBezTo>
                <a:pt x="1064159" y="1708663"/>
                <a:pt x="1064159" y="1708663"/>
                <a:pt x="1064159" y="1708663"/>
              </a:cubicBezTo>
              <a:cubicBezTo>
                <a:pt x="1175542" y="1723326"/>
                <a:pt x="1175542" y="1723326"/>
                <a:pt x="1175542" y="1723326"/>
              </a:cubicBezTo>
              <a:cubicBezTo>
                <a:pt x="1287779" y="1728227"/>
                <a:pt x="1287779" y="1728227"/>
                <a:pt x="1287779" y="1728227"/>
              </a:cubicBezTo>
              <a:cubicBezTo>
                <a:pt x="1287780" y="1728227"/>
                <a:pt x="1287780" y="1728227"/>
                <a:pt x="1287780" y="1728227"/>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456300</xdr:colOff>
      <xdr:row>16</xdr:row>
      <xdr:rowOff>236839</xdr:rowOff>
    </xdr:from>
    <xdr:to>
      <xdr:col>19</xdr:col>
      <xdr:colOff>135204</xdr:colOff>
      <xdr:row>18</xdr:row>
      <xdr:rowOff>48418</xdr:rowOff>
    </xdr:to>
    <xdr:sp macro="" textlink="">
      <xdr:nvSpPr>
        <xdr:cNvPr id="66" name="テキスト ボックス 65">
          <a:extLst>
            <a:ext uri="{FF2B5EF4-FFF2-40B4-BE49-F238E27FC236}">
              <a16:creationId xmlns:a16="http://schemas.microsoft.com/office/drawing/2014/main" id="{26FA73D6-2144-451F-B2A2-61C7FB2BBCA4}"/>
            </a:ext>
          </a:extLst>
        </xdr:cNvPr>
        <xdr:cNvSpPr txBox="1"/>
      </xdr:nvSpPr>
      <xdr:spPr>
        <a:xfrm>
          <a:off x="10019400" y="4351639"/>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α=110[°]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18</xdr:col>
      <xdr:colOff>200571</xdr:colOff>
      <xdr:row>9</xdr:row>
      <xdr:rowOff>74295</xdr:rowOff>
    </xdr:from>
    <xdr:to>
      <xdr:col>21</xdr:col>
      <xdr:colOff>437625</xdr:colOff>
      <xdr:row>20</xdr:row>
      <xdr:rowOff>173356</xdr:rowOff>
    </xdr:to>
    <xdr:sp macro="" textlink="">
      <xdr:nvSpPr>
        <xdr:cNvPr id="67" name="フリーフォーム: 図形 66">
          <a:extLst>
            <a:ext uri="{FF2B5EF4-FFF2-40B4-BE49-F238E27FC236}">
              <a16:creationId xmlns:a16="http://schemas.microsoft.com/office/drawing/2014/main" id="{7399FA00-3EA6-495A-AFF3-041CF4A9F4B8}"/>
            </a:ext>
          </a:extLst>
        </xdr:cNvPr>
        <xdr:cNvSpPr/>
      </xdr:nvSpPr>
      <xdr:spPr>
        <a:xfrm>
          <a:off x="10316121" y="2455545"/>
          <a:ext cx="1894404" cy="2823211"/>
        </a:xfrm>
        <a:custGeom>
          <a:avLst/>
          <a:gdLst/>
          <a:ahLst/>
          <a:cxnLst/>
          <a:rect l="0" t="0" r="0" b="0"/>
          <a:pathLst>
            <a:path w="1894404" h="2823211">
              <a:moveTo>
                <a:pt x="1894403" y="85130"/>
              </a:moveTo>
              <a:cubicBezTo>
                <a:pt x="1776956" y="48099"/>
                <a:pt x="1776956" y="48099"/>
                <a:pt x="1776956" y="48099"/>
              </a:cubicBezTo>
              <a:cubicBezTo>
                <a:pt x="1656728" y="21445"/>
                <a:pt x="1656728" y="21445"/>
                <a:pt x="1656728" y="21445"/>
              </a:cubicBezTo>
              <a:cubicBezTo>
                <a:pt x="1534635" y="5372"/>
                <a:pt x="1534635" y="5372"/>
                <a:pt x="1534635" y="5372"/>
              </a:cubicBezTo>
              <a:cubicBezTo>
                <a:pt x="1411605" y="0"/>
                <a:pt x="1411605" y="0"/>
                <a:pt x="1411605" y="0"/>
              </a:cubicBezTo>
              <a:cubicBezTo>
                <a:pt x="1288575" y="5372"/>
                <a:pt x="1288575" y="5372"/>
                <a:pt x="1288575" y="5372"/>
              </a:cubicBezTo>
              <a:cubicBezTo>
                <a:pt x="1166483" y="21445"/>
                <a:pt x="1166483" y="21445"/>
                <a:pt x="1166483" y="21445"/>
              </a:cubicBezTo>
              <a:cubicBezTo>
                <a:pt x="1046255" y="48099"/>
                <a:pt x="1046255" y="48099"/>
                <a:pt x="1046255" y="48099"/>
              </a:cubicBezTo>
              <a:cubicBezTo>
                <a:pt x="928808" y="85130"/>
                <a:pt x="928808" y="85130"/>
                <a:pt x="928808" y="85130"/>
              </a:cubicBezTo>
              <a:cubicBezTo>
                <a:pt x="815035" y="132256"/>
                <a:pt x="815035" y="132256"/>
                <a:pt x="815035" y="132256"/>
              </a:cubicBezTo>
              <a:cubicBezTo>
                <a:pt x="705802" y="189119"/>
                <a:pt x="705802" y="189119"/>
                <a:pt x="705802" y="189119"/>
              </a:cubicBezTo>
              <a:cubicBezTo>
                <a:pt x="601942" y="255286"/>
                <a:pt x="601942" y="255286"/>
                <a:pt x="601942" y="255286"/>
              </a:cubicBezTo>
              <a:cubicBezTo>
                <a:pt x="504243" y="330253"/>
                <a:pt x="504243" y="330253"/>
                <a:pt x="504243" y="330253"/>
              </a:cubicBezTo>
              <a:cubicBezTo>
                <a:pt x="413450" y="413449"/>
                <a:pt x="413450" y="413449"/>
                <a:pt x="413450" y="413449"/>
              </a:cubicBezTo>
              <a:cubicBezTo>
                <a:pt x="330253" y="504243"/>
                <a:pt x="330253" y="504243"/>
                <a:pt x="330253" y="504243"/>
              </a:cubicBezTo>
              <a:cubicBezTo>
                <a:pt x="255286" y="601941"/>
                <a:pt x="255286" y="601941"/>
                <a:pt x="255286" y="601941"/>
              </a:cubicBezTo>
              <a:cubicBezTo>
                <a:pt x="189119" y="705802"/>
                <a:pt x="189119" y="705802"/>
                <a:pt x="189119" y="705802"/>
              </a:cubicBezTo>
              <a:cubicBezTo>
                <a:pt x="132257" y="815034"/>
                <a:pt x="132257" y="815034"/>
                <a:pt x="132257" y="815034"/>
              </a:cubicBezTo>
              <a:cubicBezTo>
                <a:pt x="85130" y="928807"/>
                <a:pt x="85130" y="928807"/>
                <a:pt x="85130" y="928807"/>
              </a:cubicBezTo>
              <a:cubicBezTo>
                <a:pt x="48099" y="1046254"/>
                <a:pt x="48099" y="1046254"/>
                <a:pt x="48099" y="1046254"/>
              </a:cubicBezTo>
              <a:cubicBezTo>
                <a:pt x="21446" y="1166482"/>
                <a:pt x="21446" y="1166482"/>
                <a:pt x="21446" y="1166482"/>
              </a:cubicBezTo>
              <a:cubicBezTo>
                <a:pt x="5371" y="1288575"/>
                <a:pt x="5371" y="1288575"/>
                <a:pt x="5371" y="1288575"/>
              </a:cubicBezTo>
              <a:cubicBezTo>
                <a:pt x="0" y="1411605"/>
                <a:pt x="0" y="1411605"/>
                <a:pt x="0" y="1411605"/>
              </a:cubicBezTo>
              <a:cubicBezTo>
                <a:pt x="5371" y="1534634"/>
                <a:pt x="5371" y="1534634"/>
                <a:pt x="5371" y="1534634"/>
              </a:cubicBezTo>
              <a:cubicBezTo>
                <a:pt x="21446" y="1656727"/>
                <a:pt x="21446" y="1656727"/>
                <a:pt x="21446" y="1656727"/>
              </a:cubicBezTo>
              <a:cubicBezTo>
                <a:pt x="48099" y="1776955"/>
                <a:pt x="48099" y="1776955"/>
                <a:pt x="48099" y="1776955"/>
              </a:cubicBezTo>
              <a:cubicBezTo>
                <a:pt x="85130" y="1894402"/>
                <a:pt x="85130" y="1894402"/>
                <a:pt x="85130" y="1894402"/>
              </a:cubicBezTo>
              <a:cubicBezTo>
                <a:pt x="132256" y="2008174"/>
                <a:pt x="132256" y="2008174"/>
                <a:pt x="132256" y="2008174"/>
              </a:cubicBezTo>
              <a:cubicBezTo>
                <a:pt x="189119" y="2117407"/>
                <a:pt x="189119" y="2117407"/>
                <a:pt x="189119" y="2117407"/>
              </a:cubicBezTo>
              <a:cubicBezTo>
                <a:pt x="255286" y="2221268"/>
                <a:pt x="255286" y="2221268"/>
                <a:pt x="255286" y="2221268"/>
              </a:cubicBezTo>
              <a:cubicBezTo>
                <a:pt x="330252" y="2318967"/>
                <a:pt x="330252" y="2318967"/>
                <a:pt x="330252" y="2318967"/>
              </a:cubicBezTo>
              <a:cubicBezTo>
                <a:pt x="413449" y="2409760"/>
                <a:pt x="413449" y="2409760"/>
                <a:pt x="413449" y="2409760"/>
              </a:cubicBezTo>
              <a:cubicBezTo>
                <a:pt x="504243" y="2492957"/>
                <a:pt x="504243" y="2492957"/>
                <a:pt x="504243" y="2492957"/>
              </a:cubicBezTo>
              <a:cubicBezTo>
                <a:pt x="601941" y="2567924"/>
                <a:pt x="601941" y="2567924"/>
                <a:pt x="601941" y="2567924"/>
              </a:cubicBezTo>
              <a:cubicBezTo>
                <a:pt x="705802" y="2634090"/>
                <a:pt x="705802" y="2634090"/>
                <a:pt x="705802" y="2634090"/>
              </a:cubicBezTo>
              <a:cubicBezTo>
                <a:pt x="815034" y="2690953"/>
                <a:pt x="815034" y="2690953"/>
                <a:pt x="815034" y="2690953"/>
              </a:cubicBezTo>
              <a:cubicBezTo>
                <a:pt x="928807" y="2738079"/>
                <a:pt x="928807" y="2738079"/>
                <a:pt x="928807" y="2738079"/>
              </a:cubicBezTo>
              <a:cubicBezTo>
                <a:pt x="1046254" y="2775111"/>
                <a:pt x="1046254" y="2775111"/>
                <a:pt x="1046254" y="2775111"/>
              </a:cubicBezTo>
              <a:cubicBezTo>
                <a:pt x="1166482" y="2801764"/>
                <a:pt x="1166482" y="2801764"/>
                <a:pt x="1166482" y="2801764"/>
              </a:cubicBezTo>
              <a:cubicBezTo>
                <a:pt x="1288575" y="2817839"/>
                <a:pt x="1288575" y="2817839"/>
                <a:pt x="1288575" y="2817839"/>
              </a:cubicBezTo>
              <a:cubicBezTo>
                <a:pt x="1411604" y="2823210"/>
                <a:pt x="1411604" y="2823210"/>
                <a:pt x="1411604" y="2823210"/>
              </a:cubicBezTo>
              <a:cubicBezTo>
                <a:pt x="1411605" y="2823210"/>
                <a:pt x="1411605" y="2823210"/>
                <a:pt x="1411605" y="2823210"/>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121029</xdr:colOff>
      <xdr:row>12</xdr:row>
      <xdr:rowOff>243676</xdr:rowOff>
    </xdr:from>
    <xdr:to>
      <xdr:col>18</xdr:col>
      <xdr:colOff>352383</xdr:colOff>
      <xdr:row>14</xdr:row>
      <xdr:rowOff>55255</xdr:rowOff>
    </xdr:to>
    <xdr:sp macro="" textlink="">
      <xdr:nvSpPr>
        <xdr:cNvPr id="68" name="テキスト ボックス 67">
          <a:extLst>
            <a:ext uri="{FF2B5EF4-FFF2-40B4-BE49-F238E27FC236}">
              <a16:creationId xmlns:a16="http://schemas.microsoft.com/office/drawing/2014/main" id="{D0BE9D18-98BD-4C47-B628-8B680705E2DC}"/>
            </a:ext>
          </a:extLst>
        </xdr:cNvPr>
        <xdr:cNvSpPr txBox="1"/>
      </xdr:nvSpPr>
      <xdr:spPr>
        <a:xfrm>
          <a:off x="9684129" y="3367876"/>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α=200[°]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19</xdr:col>
      <xdr:colOff>420261</xdr:colOff>
      <xdr:row>15</xdr:row>
      <xdr:rowOff>0</xdr:rowOff>
    </xdr:from>
    <xdr:to>
      <xdr:col>20</xdr:col>
      <xdr:colOff>507276</xdr:colOff>
      <xdr:row>28</xdr:row>
      <xdr:rowOff>101246</xdr:rowOff>
    </xdr:to>
    <xdr:cxnSp macro="">
      <xdr:nvCxnSpPr>
        <xdr:cNvPr id="69" name="直線コネクタ 68">
          <a:extLst>
            <a:ext uri="{FF2B5EF4-FFF2-40B4-BE49-F238E27FC236}">
              <a16:creationId xmlns:a16="http://schemas.microsoft.com/office/drawing/2014/main" id="{EF3946C6-4D86-4550-A7E1-4F8158FF5003}"/>
            </a:ext>
          </a:extLst>
        </xdr:cNvPr>
        <xdr:cNvCxnSpPr/>
      </xdr:nvCxnSpPr>
      <xdr:spPr>
        <a:xfrm flipH="1">
          <a:off x="11088261" y="3867150"/>
          <a:ext cx="639465" cy="3320696"/>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382161</xdr:colOff>
      <xdr:row>28</xdr:row>
      <xdr:rowOff>63146</xdr:rowOff>
    </xdr:from>
    <xdr:to>
      <xdr:col>19</xdr:col>
      <xdr:colOff>458361</xdr:colOff>
      <xdr:row>28</xdr:row>
      <xdr:rowOff>215546</xdr:rowOff>
    </xdr:to>
    <xdr:sp macro="" textlink="">
      <xdr:nvSpPr>
        <xdr:cNvPr id="70" name="矢印: 右 69">
          <a:extLst>
            <a:ext uri="{FF2B5EF4-FFF2-40B4-BE49-F238E27FC236}">
              <a16:creationId xmlns:a16="http://schemas.microsoft.com/office/drawing/2014/main" id="{F7946CC9-BFD2-4995-BC72-77E8A17AFAFB}"/>
            </a:ext>
          </a:extLst>
        </xdr:cNvPr>
        <xdr:cNvSpPr/>
      </xdr:nvSpPr>
      <xdr:spPr>
        <a:xfrm rot="16860000">
          <a:off x="11012061" y="7187846"/>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32290</xdr:colOff>
      <xdr:row>28</xdr:row>
      <xdr:rowOff>158866</xdr:rowOff>
    </xdr:from>
    <xdr:to>
      <xdr:col>19</xdr:col>
      <xdr:colOff>473436</xdr:colOff>
      <xdr:row>30</xdr:row>
      <xdr:rowOff>18070</xdr:rowOff>
    </xdr:to>
    <xdr:sp macro="" textlink="">
      <xdr:nvSpPr>
        <xdr:cNvPr id="71" name="テキスト ボックス 70">
          <a:extLst>
            <a:ext uri="{FF2B5EF4-FFF2-40B4-BE49-F238E27FC236}">
              <a16:creationId xmlns:a16="http://schemas.microsoft.com/office/drawing/2014/main" id="{6402B9B2-C91F-468C-A29E-43054225C0C3}"/>
            </a:ext>
          </a:extLst>
        </xdr:cNvPr>
        <xdr:cNvSpPr txBox="1"/>
      </xdr:nvSpPr>
      <xdr:spPr>
        <a:xfrm>
          <a:off x="10700290" y="7245466"/>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12</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20</xdr:col>
      <xdr:colOff>119721</xdr:colOff>
      <xdr:row>23</xdr:row>
      <xdr:rowOff>31343</xdr:rowOff>
    </xdr:from>
    <xdr:to>
      <xdr:col>20</xdr:col>
      <xdr:colOff>507277</xdr:colOff>
      <xdr:row>23</xdr:row>
      <xdr:rowOff>68320</xdr:rowOff>
    </xdr:to>
    <xdr:sp macro="" textlink="">
      <xdr:nvSpPr>
        <xdr:cNvPr id="72" name="フリーフォーム: 図形 71">
          <a:extLst>
            <a:ext uri="{FF2B5EF4-FFF2-40B4-BE49-F238E27FC236}">
              <a16:creationId xmlns:a16="http://schemas.microsoft.com/office/drawing/2014/main" id="{6EB90C81-0452-47BD-9C0D-6109B7986341}"/>
            </a:ext>
          </a:extLst>
        </xdr:cNvPr>
        <xdr:cNvSpPr/>
      </xdr:nvSpPr>
      <xdr:spPr>
        <a:xfrm>
          <a:off x="11340171" y="5879693"/>
          <a:ext cx="387556" cy="36977"/>
        </a:xfrm>
        <a:custGeom>
          <a:avLst/>
          <a:gdLst/>
          <a:ahLst/>
          <a:cxnLst/>
          <a:rect l="0" t="0" r="0" b="0"/>
          <a:pathLst>
            <a:path w="387556" h="36977">
              <a:moveTo>
                <a:pt x="0" y="0"/>
              </a:moveTo>
              <a:cubicBezTo>
                <a:pt x="176880" y="26119"/>
                <a:pt x="176880" y="26119"/>
                <a:pt x="176880" y="26119"/>
              </a:cubicBezTo>
              <a:cubicBezTo>
                <a:pt x="355362" y="36723"/>
                <a:pt x="355362" y="36723"/>
                <a:pt x="355362" y="36723"/>
              </a:cubicBezTo>
              <a:cubicBezTo>
                <a:pt x="387555" y="36976"/>
                <a:pt x="387555" y="36976"/>
                <a:pt x="387555" y="36976"/>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189349</xdr:colOff>
      <xdr:row>22</xdr:row>
      <xdr:rowOff>52553</xdr:rowOff>
    </xdr:from>
    <xdr:to>
      <xdr:col>20</xdr:col>
      <xdr:colOff>446736</xdr:colOff>
      <xdr:row>23</xdr:row>
      <xdr:rowOff>111782</xdr:rowOff>
    </xdr:to>
    <xdr:sp macro="" textlink="">
      <xdr:nvSpPr>
        <xdr:cNvPr id="73" name="テキスト ボックス 72">
          <a:extLst>
            <a:ext uri="{FF2B5EF4-FFF2-40B4-BE49-F238E27FC236}">
              <a16:creationId xmlns:a16="http://schemas.microsoft.com/office/drawing/2014/main" id="{57B32C8A-607F-46C7-858F-2427A9B458F6}"/>
            </a:ext>
          </a:extLst>
        </xdr:cNvPr>
        <xdr:cNvSpPr txBox="1"/>
      </xdr:nvSpPr>
      <xdr:spPr>
        <a:xfrm>
          <a:off x="10857349" y="5653253"/>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γ=10.9[°]</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20</xdr:col>
      <xdr:colOff>507276</xdr:colOff>
      <xdr:row>15</xdr:row>
      <xdr:rowOff>0</xdr:rowOff>
    </xdr:from>
    <xdr:to>
      <xdr:col>26</xdr:col>
      <xdr:colOff>35125</xdr:colOff>
      <xdr:row>22</xdr:row>
      <xdr:rowOff>98348</xdr:rowOff>
    </xdr:to>
    <xdr:cxnSp macro="">
      <xdr:nvCxnSpPr>
        <xdr:cNvPr id="74" name="直線コネクタ 73">
          <a:extLst>
            <a:ext uri="{FF2B5EF4-FFF2-40B4-BE49-F238E27FC236}">
              <a16:creationId xmlns:a16="http://schemas.microsoft.com/office/drawing/2014/main" id="{D365BC25-3974-4D4B-B170-D9AF647A5CE4}"/>
            </a:ext>
          </a:extLst>
        </xdr:cNvPr>
        <xdr:cNvCxnSpPr/>
      </xdr:nvCxnSpPr>
      <xdr:spPr>
        <a:xfrm>
          <a:off x="11727726" y="3867150"/>
          <a:ext cx="2842549" cy="1831898"/>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511375</xdr:colOff>
      <xdr:row>22</xdr:row>
      <xdr:rowOff>98348</xdr:rowOff>
    </xdr:from>
    <xdr:to>
      <xdr:col>26</xdr:col>
      <xdr:colOff>111325</xdr:colOff>
      <xdr:row>22</xdr:row>
      <xdr:rowOff>174548</xdr:rowOff>
    </xdr:to>
    <xdr:sp macro="" textlink="">
      <xdr:nvSpPr>
        <xdr:cNvPr id="75" name="矢印: 右 74">
          <a:extLst>
            <a:ext uri="{FF2B5EF4-FFF2-40B4-BE49-F238E27FC236}">
              <a16:creationId xmlns:a16="http://schemas.microsoft.com/office/drawing/2014/main" id="{6695672E-B623-49ED-A6DA-246420DCC12F}"/>
            </a:ext>
          </a:extLst>
        </xdr:cNvPr>
        <xdr:cNvSpPr/>
      </xdr:nvSpPr>
      <xdr:spPr>
        <a:xfrm rot="12780000">
          <a:off x="14494075" y="5699048"/>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41878</xdr:colOff>
      <xdr:row>22</xdr:row>
      <xdr:rowOff>16189</xdr:rowOff>
    </xdr:from>
    <xdr:to>
      <xdr:col>26</xdr:col>
      <xdr:colOff>418904</xdr:colOff>
      <xdr:row>23</xdr:row>
      <xdr:rowOff>75418</xdr:rowOff>
    </xdr:to>
    <xdr:sp macro="" textlink="">
      <xdr:nvSpPr>
        <xdr:cNvPr id="76" name="テキスト ボックス 75">
          <a:extLst>
            <a:ext uri="{FF2B5EF4-FFF2-40B4-BE49-F238E27FC236}">
              <a16:creationId xmlns:a16="http://schemas.microsoft.com/office/drawing/2014/main" id="{136B190E-3671-4C10-8CE3-4C03AA3ECF8E}"/>
            </a:ext>
          </a:extLst>
        </xdr:cNvPr>
        <xdr:cNvSpPr txBox="1"/>
      </xdr:nvSpPr>
      <xdr:spPr>
        <a:xfrm>
          <a:off x="14577028" y="5616889"/>
          <a:ext cx="37702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9</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20</xdr:col>
      <xdr:colOff>507276</xdr:colOff>
      <xdr:row>19</xdr:row>
      <xdr:rowOff>230665</xdr:rowOff>
    </xdr:from>
    <xdr:to>
      <xdr:col>24</xdr:col>
      <xdr:colOff>192510</xdr:colOff>
      <xdr:row>24</xdr:row>
      <xdr:rowOff>25622</xdr:rowOff>
    </xdr:to>
    <xdr:sp macro="" textlink="">
      <xdr:nvSpPr>
        <xdr:cNvPr id="77" name="フリーフォーム: 図形 76">
          <a:extLst>
            <a:ext uri="{FF2B5EF4-FFF2-40B4-BE49-F238E27FC236}">
              <a16:creationId xmlns:a16="http://schemas.microsoft.com/office/drawing/2014/main" id="{1CD549B7-D36C-4F97-88C8-B0C22732D11F}"/>
            </a:ext>
          </a:extLst>
        </xdr:cNvPr>
        <xdr:cNvSpPr/>
      </xdr:nvSpPr>
      <xdr:spPr>
        <a:xfrm>
          <a:off x="11727726" y="5088415"/>
          <a:ext cx="1895034" cy="1033207"/>
        </a:xfrm>
        <a:custGeom>
          <a:avLst/>
          <a:gdLst/>
          <a:ahLst/>
          <a:cxnLst/>
          <a:rect l="0" t="0" r="0" b="0"/>
          <a:pathLst>
            <a:path w="1895034" h="1033207">
              <a:moveTo>
                <a:pt x="0" y="1033206"/>
              </a:moveTo>
              <a:cubicBezTo>
                <a:pt x="196490" y="1024627"/>
                <a:pt x="196490" y="1024627"/>
                <a:pt x="196490" y="1024627"/>
              </a:cubicBezTo>
              <a:cubicBezTo>
                <a:pt x="391485" y="998955"/>
                <a:pt x="391485" y="998955"/>
                <a:pt x="391485" y="998955"/>
              </a:cubicBezTo>
              <a:cubicBezTo>
                <a:pt x="583500" y="956387"/>
                <a:pt x="583500" y="956387"/>
                <a:pt x="583500" y="956387"/>
              </a:cubicBezTo>
              <a:cubicBezTo>
                <a:pt x="771075" y="897244"/>
                <a:pt x="771075" y="897244"/>
                <a:pt x="771075" y="897244"/>
              </a:cubicBezTo>
              <a:cubicBezTo>
                <a:pt x="952781" y="821979"/>
                <a:pt x="952781" y="821979"/>
                <a:pt x="952781" y="821979"/>
              </a:cubicBezTo>
              <a:cubicBezTo>
                <a:pt x="1127235" y="731164"/>
                <a:pt x="1127235" y="731164"/>
                <a:pt x="1127235" y="731164"/>
              </a:cubicBezTo>
              <a:cubicBezTo>
                <a:pt x="1293112" y="625489"/>
                <a:pt x="1293112" y="625489"/>
                <a:pt x="1293112" y="625489"/>
              </a:cubicBezTo>
              <a:cubicBezTo>
                <a:pt x="1449146" y="505760"/>
                <a:pt x="1449146" y="505760"/>
                <a:pt x="1449146" y="505760"/>
              </a:cubicBezTo>
              <a:cubicBezTo>
                <a:pt x="1594151" y="372887"/>
                <a:pt x="1594151" y="372887"/>
                <a:pt x="1594151" y="372887"/>
              </a:cubicBezTo>
              <a:cubicBezTo>
                <a:pt x="1727025" y="227881"/>
                <a:pt x="1727025" y="227881"/>
                <a:pt x="1727025" y="227881"/>
              </a:cubicBezTo>
              <a:cubicBezTo>
                <a:pt x="1846754" y="71847"/>
                <a:pt x="1846754" y="71847"/>
                <a:pt x="1846754" y="71847"/>
              </a:cubicBezTo>
              <a:cubicBezTo>
                <a:pt x="1895033" y="0"/>
                <a:pt x="1895033" y="0"/>
                <a:pt x="1895033" y="0"/>
              </a:cubicBezTo>
            </a:path>
          </a:pathLst>
        </a:custGeom>
        <a:ln>
          <a:headEnd type="oval" w="sm" len="sm"/>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304635</xdr:colOff>
      <xdr:row>21</xdr:row>
      <xdr:rowOff>239336</xdr:rowOff>
    </xdr:from>
    <xdr:to>
      <xdr:col>23</xdr:col>
      <xdr:colOff>73692</xdr:colOff>
      <xdr:row>23</xdr:row>
      <xdr:rowOff>50915</xdr:rowOff>
    </xdr:to>
    <xdr:sp macro="" textlink="">
      <xdr:nvSpPr>
        <xdr:cNvPr id="78" name="テキスト ボックス 77">
          <a:extLst>
            <a:ext uri="{FF2B5EF4-FFF2-40B4-BE49-F238E27FC236}">
              <a16:creationId xmlns:a16="http://schemas.microsoft.com/office/drawing/2014/main" id="{DB4EA4BB-6628-45FE-83BC-956B15DE8BC0}"/>
            </a:ext>
          </a:extLst>
        </xdr:cNvPr>
        <xdr:cNvSpPr txBox="1"/>
      </xdr:nvSpPr>
      <xdr:spPr>
        <a:xfrm>
          <a:off x="12077535" y="5592386"/>
          <a:ext cx="87395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γ=-57.2[°]</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15</xdr:col>
      <xdr:colOff>533669</xdr:colOff>
      <xdr:row>15</xdr:row>
      <xdr:rowOff>0</xdr:rowOff>
    </xdr:from>
    <xdr:to>
      <xdr:col>20</xdr:col>
      <xdr:colOff>507276</xdr:colOff>
      <xdr:row>23</xdr:row>
      <xdr:rowOff>6517</xdr:rowOff>
    </xdr:to>
    <xdr:cxnSp macro="">
      <xdr:nvCxnSpPr>
        <xdr:cNvPr id="79" name="直線コネクタ 78">
          <a:extLst>
            <a:ext uri="{FF2B5EF4-FFF2-40B4-BE49-F238E27FC236}">
              <a16:creationId xmlns:a16="http://schemas.microsoft.com/office/drawing/2014/main" id="{3CEC5989-62DB-4C2C-BB97-3158E5D04EE2}"/>
            </a:ext>
          </a:extLst>
        </xdr:cNvPr>
        <xdr:cNvCxnSpPr/>
      </xdr:nvCxnSpPr>
      <xdr:spPr>
        <a:xfrm flipH="1">
          <a:off x="8991869" y="3867150"/>
          <a:ext cx="2735857" cy="1987717"/>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457469</xdr:colOff>
      <xdr:row>23</xdr:row>
      <xdr:rowOff>6517</xdr:rowOff>
    </xdr:from>
    <xdr:to>
      <xdr:col>16</xdr:col>
      <xdr:colOff>57419</xdr:colOff>
      <xdr:row>23</xdr:row>
      <xdr:rowOff>82717</xdr:rowOff>
    </xdr:to>
    <xdr:sp macro="" textlink="">
      <xdr:nvSpPr>
        <xdr:cNvPr id="80" name="矢印: 右 79">
          <a:extLst>
            <a:ext uri="{FF2B5EF4-FFF2-40B4-BE49-F238E27FC236}">
              <a16:creationId xmlns:a16="http://schemas.microsoft.com/office/drawing/2014/main" id="{790914E1-0CDF-43C2-B0DE-D99F2331EB46}"/>
            </a:ext>
          </a:extLst>
        </xdr:cNvPr>
        <xdr:cNvSpPr/>
      </xdr:nvSpPr>
      <xdr:spPr>
        <a:xfrm rot="19440000">
          <a:off x="8915669" y="5854867"/>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558474</xdr:colOff>
      <xdr:row>22</xdr:row>
      <xdr:rowOff>186638</xdr:rowOff>
    </xdr:from>
    <xdr:to>
      <xdr:col>15</xdr:col>
      <xdr:colOff>390020</xdr:colOff>
      <xdr:row>23</xdr:row>
      <xdr:rowOff>245867</xdr:rowOff>
    </xdr:to>
    <xdr:sp macro="" textlink="">
      <xdr:nvSpPr>
        <xdr:cNvPr id="81" name="テキスト ボックス 80">
          <a:extLst>
            <a:ext uri="{FF2B5EF4-FFF2-40B4-BE49-F238E27FC236}">
              <a16:creationId xmlns:a16="http://schemas.microsoft.com/office/drawing/2014/main" id="{20BF198D-87EE-4B53-98C4-22BF438DDB86}"/>
            </a:ext>
          </a:extLst>
        </xdr:cNvPr>
        <xdr:cNvSpPr txBox="1"/>
      </xdr:nvSpPr>
      <xdr:spPr>
        <a:xfrm>
          <a:off x="8407074" y="5787338"/>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14</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17</xdr:col>
      <xdr:colOff>174911</xdr:colOff>
      <xdr:row>20</xdr:row>
      <xdr:rowOff>207363</xdr:rowOff>
    </xdr:from>
    <xdr:to>
      <xdr:col>20</xdr:col>
      <xdr:colOff>507277</xdr:colOff>
      <xdr:row>24</xdr:row>
      <xdr:rowOff>230574</xdr:rowOff>
    </xdr:to>
    <xdr:sp macro="" textlink="">
      <xdr:nvSpPr>
        <xdr:cNvPr id="82" name="フリーフォーム: 図形 81">
          <a:extLst>
            <a:ext uri="{FF2B5EF4-FFF2-40B4-BE49-F238E27FC236}">
              <a16:creationId xmlns:a16="http://schemas.microsoft.com/office/drawing/2014/main" id="{F06DADF3-6166-4FE0-AD46-0D28D3AD2ABB}"/>
            </a:ext>
          </a:extLst>
        </xdr:cNvPr>
        <xdr:cNvSpPr/>
      </xdr:nvSpPr>
      <xdr:spPr>
        <a:xfrm>
          <a:off x="9738011" y="5312763"/>
          <a:ext cx="1989716" cy="1013811"/>
        </a:xfrm>
        <a:custGeom>
          <a:avLst/>
          <a:gdLst/>
          <a:ahLst/>
          <a:cxnLst/>
          <a:rect l="0" t="0" r="0" b="0"/>
          <a:pathLst>
            <a:path w="1989716" h="1013811">
              <a:moveTo>
                <a:pt x="0" y="0"/>
              </a:moveTo>
              <a:cubicBezTo>
                <a:pt x="133566" y="167914"/>
                <a:pt x="133566" y="167914"/>
                <a:pt x="133566" y="167914"/>
              </a:cubicBezTo>
              <a:cubicBezTo>
                <a:pt x="281257" y="323548"/>
                <a:pt x="281257" y="323548"/>
                <a:pt x="281257" y="323548"/>
              </a:cubicBezTo>
              <a:cubicBezTo>
                <a:pt x="441951" y="465718"/>
                <a:pt x="441951" y="465718"/>
                <a:pt x="441951" y="465718"/>
              </a:cubicBezTo>
              <a:cubicBezTo>
                <a:pt x="614423" y="593341"/>
                <a:pt x="614423" y="593341"/>
                <a:pt x="614423" y="593341"/>
              </a:cubicBezTo>
              <a:cubicBezTo>
                <a:pt x="797363" y="705447"/>
                <a:pt x="797363" y="705447"/>
                <a:pt x="797363" y="705447"/>
              </a:cubicBezTo>
              <a:cubicBezTo>
                <a:pt x="989378" y="801182"/>
                <a:pt x="989378" y="801182"/>
                <a:pt x="989378" y="801182"/>
              </a:cubicBezTo>
              <a:cubicBezTo>
                <a:pt x="1189005" y="879817"/>
                <a:pt x="1189005" y="879817"/>
                <a:pt x="1189005" y="879817"/>
              </a:cubicBezTo>
              <a:cubicBezTo>
                <a:pt x="1394727" y="940755"/>
                <a:pt x="1394727" y="940755"/>
                <a:pt x="1394727" y="940755"/>
              </a:cubicBezTo>
              <a:cubicBezTo>
                <a:pt x="1604976" y="983530"/>
                <a:pt x="1604976" y="983530"/>
                <a:pt x="1604976" y="983530"/>
              </a:cubicBezTo>
              <a:cubicBezTo>
                <a:pt x="1818154" y="1007819"/>
                <a:pt x="1818154" y="1007819"/>
                <a:pt x="1818154" y="1007819"/>
              </a:cubicBezTo>
              <a:cubicBezTo>
                <a:pt x="1989715" y="1013810"/>
                <a:pt x="1989715" y="1013810"/>
                <a:pt x="1989715" y="1013810"/>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470968</xdr:colOff>
      <xdr:row>22</xdr:row>
      <xdr:rowOff>203661</xdr:rowOff>
    </xdr:from>
    <xdr:to>
      <xdr:col>19</xdr:col>
      <xdr:colOff>85752</xdr:colOff>
      <xdr:row>24</xdr:row>
      <xdr:rowOff>15240</xdr:rowOff>
    </xdr:to>
    <xdr:sp macro="" textlink="">
      <xdr:nvSpPr>
        <xdr:cNvPr id="83" name="テキスト ボックス 82">
          <a:extLst>
            <a:ext uri="{FF2B5EF4-FFF2-40B4-BE49-F238E27FC236}">
              <a16:creationId xmlns:a16="http://schemas.microsoft.com/office/drawing/2014/main" id="{598A8946-D781-4F50-A746-E96530C1412D}"/>
            </a:ext>
          </a:extLst>
        </xdr:cNvPr>
        <xdr:cNvSpPr txBox="1"/>
      </xdr:nvSpPr>
      <xdr:spPr>
        <a:xfrm>
          <a:off x="10034068" y="5804361"/>
          <a:ext cx="71968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γ=54[°]</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14</xdr:col>
      <xdr:colOff>570096</xdr:colOff>
      <xdr:row>15</xdr:row>
      <xdr:rowOff>0</xdr:rowOff>
    </xdr:from>
    <xdr:to>
      <xdr:col>20</xdr:col>
      <xdr:colOff>507276</xdr:colOff>
      <xdr:row>17</xdr:row>
      <xdr:rowOff>202022</xdr:rowOff>
    </xdr:to>
    <xdr:cxnSp macro="">
      <xdr:nvCxnSpPr>
        <xdr:cNvPr id="84" name="直線コネクタ 83">
          <a:extLst>
            <a:ext uri="{FF2B5EF4-FFF2-40B4-BE49-F238E27FC236}">
              <a16:creationId xmlns:a16="http://schemas.microsoft.com/office/drawing/2014/main" id="{34F197C5-1911-45D0-94AB-49B909763892}"/>
            </a:ext>
          </a:extLst>
        </xdr:cNvPr>
        <xdr:cNvCxnSpPr/>
      </xdr:nvCxnSpPr>
      <xdr:spPr>
        <a:xfrm flipH="1">
          <a:off x="8418696" y="3867150"/>
          <a:ext cx="3309030" cy="697322"/>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493896</xdr:colOff>
      <xdr:row>17</xdr:row>
      <xdr:rowOff>202022</xdr:rowOff>
    </xdr:from>
    <xdr:to>
      <xdr:col>15</xdr:col>
      <xdr:colOff>36696</xdr:colOff>
      <xdr:row>18</xdr:row>
      <xdr:rowOff>30572</xdr:rowOff>
    </xdr:to>
    <xdr:sp macro="" textlink="">
      <xdr:nvSpPr>
        <xdr:cNvPr id="85" name="矢印: 右 84">
          <a:extLst>
            <a:ext uri="{FF2B5EF4-FFF2-40B4-BE49-F238E27FC236}">
              <a16:creationId xmlns:a16="http://schemas.microsoft.com/office/drawing/2014/main" id="{998A1159-6616-4E3F-842E-9A613E95DA01}"/>
            </a:ext>
          </a:extLst>
        </xdr:cNvPr>
        <xdr:cNvSpPr/>
      </xdr:nvSpPr>
      <xdr:spPr>
        <a:xfrm rot="20880000">
          <a:off x="8342496" y="4564472"/>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541088</xdr:colOff>
      <xdr:row>17</xdr:row>
      <xdr:rowOff>13340</xdr:rowOff>
    </xdr:from>
    <xdr:to>
      <xdr:col>14</xdr:col>
      <xdr:colOff>372634</xdr:colOff>
      <xdr:row>18</xdr:row>
      <xdr:rowOff>72569</xdr:rowOff>
    </xdr:to>
    <xdr:sp macro="" textlink="">
      <xdr:nvSpPr>
        <xdr:cNvPr id="86" name="テキスト ボックス 85">
          <a:extLst>
            <a:ext uri="{FF2B5EF4-FFF2-40B4-BE49-F238E27FC236}">
              <a16:creationId xmlns:a16="http://schemas.microsoft.com/office/drawing/2014/main" id="{6F9BEDA6-7BE3-4429-A053-70A5388C35D7}"/>
            </a:ext>
          </a:extLst>
        </xdr:cNvPr>
        <xdr:cNvSpPr txBox="1"/>
      </xdr:nvSpPr>
      <xdr:spPr>
        <a:xfrm>
          <a:off x="7780088" y="4375790"/>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16</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16</xdr:col>
      <xdr:colOff>109962</xdr:colOff>
      <xdr:row>17</xdr:row>
      <xdr:rowOff>54105</xdr:rowOff>
    </xdr:from>
    <xdr:to>
      <xdr:col>20</xdr:col>
      <xdr:colOff>507277</xdr:colOff>
      <xdr:row>25</xdr:row>
      <xdr:rowOff>187876</xdr:rowOff>
    </xdr:to>
    <xdr:sp macro="" textlink="">
      <xdr:nvSpPr>
        <xdr:cNvPr id="87" name="フリーフォーム: 図形 86">
          <a:extLst>
            <a:ext uri="{FF2B5EF4-FFF2-40B4-BE49-F238E27FC236}">
              <a16:creationId xmlns:a16="http://schemas.microsoft.com/office/drawing/2014/main" id="{B00CA33C-5687-46AA-8126-65BBB6279D61}"/>
            </a:ext>
          </a:extLst>
        </xdr:cNvPr>
        <xdr:cNvSpPr/>
      </xdr:nvSpPr>
      <xdr:spPr>
        <a:xfrm>
          <a:off x="9120612" y="4416555"/>
          <a:ext cx="2607115" cy="2114971"/>
        </a:xfrm>
        <a:custGeom>
          <a:avLst/>
          <a:gdLst/>
          <a:ahLst/>
          <a:cxnLst/>
          <a:rect l="0" t="0" r="0" b="0"/>
          <a:pathLst>
            <a:path w="2607115" h="2114971">
              <a:moveTo>
                <a:pt x="0" y="0"/>
              </a:moveTo>
              <a:cubicBezTo>
                <a:pt x="57805" y="225135"/>
                <a:pt x="57805" y="225135"/>
                <a:pt x="57805" y="225135"/>
              </a:cubicBezTo>
              <a:cubicBezTo>
                <a:pt x="135011" y="444374"/>
                <a:pt x="135011" y="444374"/>
                <a:pt x="135011" y="444374"/>
              </a:cubicBezTo>
              <a:cubicBezTo>
                <a:pt x="231031" y="656050"/>
                <a:pt x="231031" y="656050"/>
                <a:pt x="231031" y="656050"/>
              </a:cubicBezTo>
              <a:cubicBezTo>
                <a:pt x="345135" y="858552"/>
                <a:pt x="345135" y="858552"/>
                <a:pt x="345135" y="858552"/>
              </a:cubicBezTo>
              <a:cubicBezTo>
                <a:pt x="476454" y="1050339"/>
                <a:pt x="476454" y="1050339"/>
                <a:pt x="476454" y="1050339"/>
              </a:cubicBezTo>
              <a:cubicBezTo>
                <a:pt x="623989" y="1229951"/>
                <a:pt x="623989" y="1229951"/>
                <a:pt x="623989" y="1229951"/>
              </a:cubicBezTo>
              <a:cubicBezTo>
                <a:pt x="786617" y="1396020"/>
                <a:pt x="786617" y="1396020"/>
                <a:pt x="786617" y="1396020"/>
              </a:cubicBezTo>
              <a:cubicBezTo>
                <a:pt x="963100" y="1547285"/>
                <a:pt x="963100" y="1547285"/>
                <a:pt x="963100" y="1547285"/>
              </a:cubicBezTo>
              <a:cubicBezTo>
                <a:pt x="1152094" y="1682591"/>
                <a:pt x="1152094" y="1682591"/>
                <a:pt x="1152094" y="1682591"/>
              </a:cubicBezTo>
              <a:cubicBezTo>
                <a:pt x="1352162" y="1800912"/>
                <a:pt x="1352162" y="1800912"/>
                <a:pt x="1352162" y="1800912"/>
              </a:cubicBezTo>
              <a:cubicBezTo>
                <a:pt x="1561781" y="1901344"/>
                <a:pt x="1561781" y="1901344"/>
                <a:pt x="1561781" y="1901344"/>
              </a:cubicBezTo>
              <a:cubicBezTo>
                <a:pt x="1779355" y="1983125"/>
                <a:pt x="1779355" y="1983125"/>
                <a:pt x="1779355" y="1983125"/>
              </a:cubicBezTo>
              <a:cubicBezTo>
                <a:pt x="2003230" y="2045632"/>
                <a:pt x="2003230" y="2045632"/>
                <a:pt x="2003230" y="2045632"/>
              </a:cubicBezTo>
              <a:cubicBezTo>
                <a:pt x="2231700" y="2088389"/>
                <a:pt x="2231700" y="2088389"/>
                <a:pt x="2231700" y="2088389"/>
              </a:cubicBezTo>
              <a:cubicBezTo>
                <a:pt x="2463027" y="2111071"/>
                <a:pt x="2463027" y="2111071"/>
                <a:pt x="2463027" y="2111071"/>
              </a:cubicBezTo>
              <a:cubicBezTo>
                <a:pt x="2607114" y="2114970"/>
                <a:pt x="2607114" y="2114970"/>
                <a:pt x="2607114" y="2114970"/>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362805</xdr:colOff>
      <xdr:row>22</xdr:row>
      <xdr:rowOff>81443</xdr:rowOff>
    </xdr:from>
    <xdr:to>
      <xdr:col>18</xdr:col>
      <xdr:colOff>67742</xdr:colOff>
      <xdr:row>23</xdr:row>
      <xdr:rowOff>140672</xdr:rowOff>
    </xdr:to>
    <xdr:sp macro="" textlink="">
      <xdr:nvSpPr>
        <xdr:cNvPr id="88" name="テキスト ボックス 87">
          <a:extLst>
            <a:ext uri="{FF2B5EF4-FFF2-40B4-BE49-F238E27FC236}">
              <a16:creationId xmlns:a16="http://schemas.microsoft.com/office/drawing/2014/main" id="{A50D62EC-3D21-4B20-92F0-70FDCF02B480}"/>
            </a:ext>
          </a:extLst>
        </xdr:cNvPr>
        <xdr:cNvSpPr txBox="1"/>
      </xdr:nvSpPr>
      <xdr:spPr>
        <a:xfrm>
          <a:off x="9373455" y="5682143"/>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γ=78.1[°]</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285750</xdr:colOff>
      <xdr:row>1</xdr:row>
      <xdr:rowOff>3626</xdr:rowOff>
    </xdr:from>
    <xdr:to>
      <xdr:col>7</xdr:col>
      <xdr:colOff>495300</xdr:colOff>
      <xdr:row>8</xdr:row>
      <xdr:rowOff>74757</xdr:rowOff>
    </xdr:to>
    <xdr:grpSp>
      <xdr:nvGrpSpPr>
        <xdr:cNvPr id="2" name="グループ化 1">
          <a:extLst>
            <a:ext uri="{FF2B5EF4-FFF2-40B4-BE49-F238E27FC236}">
              <a16:creationId xmlns:a16="http://schemas.microsoft.com/office/drawing/2014/main" id="{15506800-41FB-4862-B5CE-C763E67170E6}"/>
            </a:ext>
          </a:extLst>
        </xdr:cNvPr>
        <xdr:cNvGrpSpPr/>
      </xdr:nvGrpSpPr>
      <xdr:grpSpPr>
        <a:xfrm>
          <a:off x="2343150" y="327476"/>
          <a:ext cx="1752600" cy="1404631"/>
          <a:chOff x="2346614" y="371637"/>
          <a:chExt cx="1755197" cy="1404631"/>
        </a:xfrm>
      </xdr:grpSpPr>
      <xdr:sp macro="" textlink="">
        <xdr:nvSpPr>
          <xdr:cNvPr id="3" name="Line 2">
            <a:extLst>
              <a:ext uri="{FF2B5EF4-FFF2-40B4-BE49-F238E27FC236}">
                <a16:creationId xmlns:a16="http://schemas.microsoft.com/office/drawing/2014/main" id="{CF9992EF-6E23-4013-B1FB-9F0DC24E1388}"/>
              </a:ext>
            </a:extLst>
          </xdr:cNvPr>
          <xdr:cNvSpPr>
            <a:spLocks noChangeShapeType="1"/>
          </xdr:cNvSpPr>
        </xdr:nvSpPr>
        <xdr:spPr bwMode="auto">
          <a:xfrm flipV="1">
            <a:off x="3701761" y="1093643"/>
            <a:ext cx="0" cy="295275"/>
          </a:xfrm>
          <a:prstGeom prst="line">
            <a:avLst/>
          </a:prstGeom>
          <a:noFill/>
          <a:ln w="1">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4" name="Line 4">
            <a:extLst>
              <a:ext uri="{FF2B5EF4-FFF2-40B4-BE49-F238E27FC236}">
                <a16:creationId xmlns:a16="http://schemas.microsoft.com/office/drawing/2014/main" id="{24B6AE86-3897-454F-8FAB-0D7008A1A952}"/>
              </a:ext>
            </a:extLst>
          </xdr:cNvPr>
          <xdr:cNvSpPr>
            <a:spLocks noChangeShapeType="1"/>
          </xdr:cNvSpPr>
        </xdr:nvSpPr>
        <xdr:spPr bwMode="auto">
          <a:xfrm>
            <a:off x="3129395" y="665018"/>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5">
            <a:extLst>
              <a:ext uri="{FF2B5EF4-FFF2-40B4-BE49-F238E27FC236}">
                <a16:creationId xmlns:a16="http://schemas.microsoft.com/office/drawing/2014/main" id="{7AACF473-8C4A-4F06-B2D0-BDF513809984}"/>
              </a:ext>
            </a:extLst>
          </xdr:cNvPr>
          <xdr:cNvSpPr>
            <a:spLocks noChangeShapeType="1"/>
          </xdr:cNvSpPr>
        </xdr:nvSpPr>
        <xdr:spPr bwMode="auto">
          <a:xfrm>
            <a:off x="3129395" y="941243"/>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6">
            <a:extLst>
              <a:ext uri="{FF2B5EF4-FFF2-40B4-BE49-F238E27FC236}">
                <a16:creationId xmlns:a16="http://schemas.microsoft.com/office/drawing/2014/main" id="{8DC23E0E-5BB3-459F-9E2C-9A316B763173}"/>
              </a:ext>
            </a:extLst>
          </xdr:cNvPr>
          <xdr:cNvSpPr>
            <a:spLocks noChangeShapeType="1"/>
          </xdr:cNvSpPr>
        </xdr:nvSpPr>
        <xdr:spPr bwMode="auto">
          <a:xfrm flipV="1">
            <a:off x="3243695" y="884093"/>
            <a:ext cx="0" cy="57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7">
            <a:extLst>
              <a:ext uri="{FF2B5EF4-FFF2-40B4-BE49-F238E27FC236}">
                <a16:creationId xmlns:a16="http://schemas.microsoft.com/office/drawing/2014/main" id="{38D0C74B-37AC-4D93-A425-90C40D3FF323}"/>
              </a:ext>
            </a:extLst>
          </xdr:cNvPr>
          <xdr:cNvSpPr>
            <a:spLocks noChangeShapeType="1"/>
          </xdr:cNvSpPr>
        </xdr:nvSpPr>
        <xdr:spPr bwMode="auto">
          <a:xfrm>
            <a:off x="3129395" y="6650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8">
            <a:extLst>
              <a:ext uri="{FF2B5EF4-FFF2-40B4-BE49-F238E27FC236}">
                <a16:creationId xmlns:a16="http://schemas.microsoft.com/office/drawing/2014/main" id="{603C1A16-6306-44F1-965F-AE1DBF02135E}"/>
              </a:ext>
            </a:extLst>
          </xdr:cNvPr>
          <xdr:cNvSpPr>
            <a:spLocks noChangeShapeType="1"/>
          </xdr:cNvSpPr>
        </xdr:nvSpPr>
        <xdr:spPr bwMode="auto">
          <a:xfrm>
            <a:off x="3243695" y="665018"/>
            <a:ext cx="0" cy="104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 name="Line 9">
            <a:extLst>
              <a:ext uri="{FF2B5EF4-FFF2-40B4-BE49-F238E27FC236}">
                <a16:creationId xmlns:a16="http://schemas.microsoft.com/office/drawing/2014/main" id="{271D89A4-9EFD-45BE-8884-AEDF251214F2}"/>
              </a:ext>
            </a:extLst>
          </xdr:cNvPr>
          <xdr:cNvSpPr>
            <a:spLocks noChangeShapeType="1"/>
          </xdr:cNvSpPr>
        </xdr:nvSpPr>
        <xdr:spPr bwMode="auto">
          <a:xfrm>
            <a:off x="3243695" y="769793"/>
            <a:ext cx="5723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10">
            <a:extLst>
              <a:ext uri="{FF2B5EF4-FFF2-40B4-BE49-F238E27FC236}">
                <a16:creationId xmlns:a16="http://schemas.microsoft.com/office/drawing/2014/main" id="{CBDF9DDD-9E4E-4EE7-8E23-3775B9CE5CE9}"/>
              </a:ext>
            </a:extLst>
          </xdr:cNvPr>
          <xdr:cNvSpPr>
            <a:spLocks noChangeShapeType="1"/>
          </xdr:cNvSpPr>
        </xdr:nvSpPr>
        <xdr:spPr bwMode="auto">
          <a:xfrm>
            <a:off x="3243695" y="884093"/>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 name="Line 11">
            <a:extLst>
              <a:ext uri="{FF2B5EF4-FFF2-40B4-BE49-F238E27FC236}">
                <a16:creationId xmlns:a16="http://schemas.microsoft.com/office/drawing/2014/main" id="{16E30959-79D9-4987-A571-D30713F7352B}"/>
              </a:ext>
            </a:extLst>
          </xdr:cNvPr>
          <xdr:cNvSpPr>
            <a:spLocks noChangeShapeType="1"/>
          </xdr:cNvSpPr>
        </xdr:nvSpPr>
        <xdr:spPr bwMode="auto">
          <a:xfrm>
            <a:off x="3644611" y="884093"/>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12">
            <a:extLst>
              <a:ext uri="{FF2B5EF4-FFF2-40B4-BE49-F238E27FC236}">
                <a16:creationId xmlns:a16="http://schemas.microsoft.com/office/drawing/2014/main" id="{7F8DB22A-CDA4-4944-B0AC-47CF75E56811}"/>
              </a:ext>
            </a:extLst>
          </xdr:cNvPr>
          <xdr:cNvSpPr>
            <a:spLocks noChangeShapeType="1"/>
          </xdr:cNvSpPr>
        </xdr:nvSpPr>
        <xdr:spPr bwMode="auto">
          <a:xfrm>
            <a:off x="3644611" y="1093643"/>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Line 13">
            <a:extLst>
              <a:ext uri="{FF2B5EF4-FFF2-40B4-BE49-F238E27FC236}">
                <a16:creationId xmlns:a16="http://schemas.microsoft.com/office/drawing/2014/main" id="{3506D09E-41A9-4D87-B0FE-C9BE63423D46}"/>
              </a:ext>
            </a:extLst>
          </xdr:cNvPr>
          <xdr:cNvSpPr>
            <a:spLocks noChangeShapeType="1"/>
          </xdr:cNvSpPr>
        </xdr:nvSpPr>
        <xdr:spPr bwMode="auto">
          <a:xfrm flipV="1">
            <a:off x="3758911" y="884093"/>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4">
            <a:extLst>
              <a:ext uri="{FF2B5EF4-FFF2-40B4-BE49-F238E27FC236}">
                <a16:creationId xmlns:a16="http://schemas.microsoft.com/office/drawing/2014/main" id="{D0233FC2-C381-4F80-AF78-A9C80AA5BA0F}"/>
              </a:ext>
            </a:extLst>
          </xdr:cNvPr>
          <xdr:cNvSpPr>
            <a:spLocks noChangeShapeType="1"/>
          </xdr:cNvSpPr>
        </xdr:nvSpPr>
        <xdr:spPr bwMode="auto">
          <a:xfrm>
            <a:off x="3758911" y="884093"/>
            <a:ext cx="5715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15" name="Line 15">
            <a:extLst>
              <a:ext uri="{FF2B5EF4-FFF2-40B4-BE49-F238E27FC236}">
                <a16:creationId xmlns:a16="http://schemas.microsoft.com/office/drawing/2014/main" id="{077279E2-4372-428A-B353-63B59A64310F}"/>
              </a:ext>
            </a:extLst>
          </xdr:cNvPr>
          <xdr:cNvSpPr>
            <a:spLocks noChangeShapeType="1"/>
          </xdr:cNvSpPr>
        </xdr:nvSpPr>
        <xdr:spPr bwMode="auto">
          <a:xfrm flipV="1">
            <a:off x="3644611" y="1388917"/>
            <a:ext cx="0" cy="3857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16">
            <a:extLst>
              <a:ext uri="{FF2B5EF4-FFF2-40B4-BE49-F238E27FC236}">
                <a16:creationId xmlns:a16="http://schemas.microsoft.com/office/drawing/2014/main" id="{B23EF20C-A5D0-4F9C-BEF1-8BF851E33515}"/>
              </a:ext>
            </a:extLst>
          </xdr:cNvPr>
          <xdr:cNvSpPr>
            <a:spLocks noChangeShapeType="1"/>
          </xdr:cNvSpPr>
        </xdr:nvSpPr>
        <xdr:spPr bwMode="auto">
          <a:xfrm flipV="1">
            <a:off x="3758911" y="1384155"/>
            <a:ext cx="0" cy="2047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7">
            <a:extLst>
              <a:ext uri="{FF2B5EF4-FFF2-40B4-BE49-F238E27FC236}">
                <a16:creationId xmlns:a16="http://schemas.microsoft.com/office/drawing/2014/main" id="{A5AA4DD0-C6B0-407E-97E4-69A5A2B43B5C}"/>
              </a:ext>
            </a:extLst>
          </xdr:cNvPr>
          <xdr:cNvSpPr>
            <a:spLocks noChangeShapeType="1"/>
          </xdr:cNvSpPr>
        </xdr:nvSpPr>
        <xdr:spPr bwMode="auto">
          <a:xfrm>
            <a:off x="3644611" y="13889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18">
            <a:extLst>
              <a:ext uri="{FF2B5EF4-FFF2-40B4-BE49-F238E27FC236}">
                <a16:creationId xmlns:a16="http://schemas.microsoft.com/office/drawing/2014/main" id="{F40C4FAB-E1D3-4F2B-948A-5D2086B1C725}"/>
              </a:ext>
            </a:extLst>
          </xdr:cNvPr>
          <xdr:cNvSpPr>
            <a:spLocks noChangeShapeType="1"/>
          </xdr:cNvSpPr>
        </xdr:nvSpPr>
        <xdr:spPr bwMode="auto">
          <a:xfrm>
            <a:off x="3758911" y="1588943"/>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19">
            <a:extLst>
              <a:ext uri="{FF2B5EF4-FFF2-40B4-BE49-F238E27FC236}">
                <a16:creationId xmlns:a16="http://schemas.microsoft.com/office/drawing/2014/main" id="{4DF1D42B-565B-48FC-AB9A-651CA774AAEC}"/>
              </a:ext>
            </a:extLst>
          </xdr:cNvPr>
          <xdr:cNvSpPr>
            <a:spLocks noChangeShapeType="1"/>
          </xdr:cNvSpPr>
        </xdr:nvSpPr>
        <xdr:spPr bwMode="auto">
          <a:xfrm flipH="1">
            <a:off x="3758911" y="1703243"/>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20">
            <a:extLst>
              <a:ext uri="{FF2B5EF4-FFF2-40B4-BE49-F238E27FC236}">
                <a16:creationId xmlns:a16="http://schemas.microsoft.com/office/drawing/2014/main" id="{85237218-5ED9-42C0-ADE5-FD5674233BED}"/>
              </a:ext>
            </a:extLst>
          </xdr:cNvPr>
          <xdr:cNvSpPr>
            <a:spLocks noChangeShapeType="1"/>
          </xdr:cNvSpPr>
        </xdr:nvSpPr>
        <xdr:spPr bwMode="auto">
          <a:xfrm>
            <a:off x="3758911" y="1703243"/>
            <a:ext cx="0" cy="73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21">
            <a:extLst>
              <a:ext uri="{FF2B5EF4-FFF2-40B4-BE49-F238E27FC236}">
                <a16:creationId xmlns:a16="http://schemas.microsoft.com/office/drawing/2014/main" id="{B6F1E736-EEF6-426D-8FEF-07EB39FD3C2B}"/>
              </a:ext>
            </a:extLst>
          </xdr:cNvPr>
          <xdr:cNvSpPr>
            <a:spLocks noChangeShapeType="1"/>
          </xdr:cNvSpPr>
        </xdr:nvSpPr>
        <xdr:spPr bwMode="auto">
          <a:xfrm>
            <a:off x="3644611" y="17699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3">
            <a:extLst>
              <a:ext uri="{FF2B5EF4-FFF2-40B4-BE49-F238E27FC236}">
                <a16:creationId xmlns:a16="http://schemas.microsoft.com/office/drawing/2014/main" id="{48D8B4BC-A7B5-4EB5-95C2-DDF21303DD0C}"/>
              </a:ext>
            </a:extLst>
          </xdr:cNvPr>
          <xdr:cNvSpPr>
            <a:spLocks noChangeShapeType="1"/>
          </xdr:cNvSpPr>
        </xdr:nvSpPr>
        <xdr:spPr bwMode="auto">
          <a:xfrm flipV="1">
            <a:off x="3754677" y="535901"/>
            <a:ext cx="0" cy="176742"/>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3" name="Line 22">
            <a:extLst>
              <a:ext uri="{FF2B5EF4-FFF2-40B4-BE49-F238E27FC236}">
                <a16:creationId xmlns:a16="http://schemas.microsoft.com/office/drawing/2014/main" id="{7772C8BF-F165-4D88-BABD-BCB788C68E2E}"/>
              </a:ext>
            </a:extLst>
          </xdr:cNvPr>
          <xdr:cNvSpPr>
            <a:spLocks noChangeShapeType="1"/>
          </xdr:cNvSpPr>
        </xdr:nvSpPr>
        <xdr:spPr bwMode="auto">
          <a:xfrm flipV="1">
            <a:off x="3129395" y="535901"/>
            <a:ext cx="0" cy="100995"/>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4" name="Line 23">
            <a:extLst>
              <a:ext uri="{FF2B5EF4-FFF2-40B4-BE49-F238E27FC236}">
                <a16:creationId xmlns:a16="http://schemas.microsoft.com/office/drawing/2014/main" id="{30F0EC4D-7A9A-4CFE-8296-FDDB98749E5D}"/>
              </a:ext>
            </a:extLst>
          </xdr:cNvPr>
          <xdr:cNvSpPr>
            <a:spLocks noChangeShapeType="1"/>
          </xdr:cNvSpPr>
        </xdr:nvSpPr>
        <xdr:spPr bwMode="auto">
          <a:xfrm>
            <a:off x="3129395" y="535901"/>
            <a:ext cx="625282"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25" name="Line 24">
            <a:extLst>
              <a:ext uri="{FF2B5EF4-FFF2-40B4-BE49-F238E27FC236}">
                <a16:creationId xmlns:a16="http://schemas.microsoft.com/office/drawing/2014/main" id="{6446CD8A-62E2-4EDD-B6F0-D0D1517B56CC}"/>
              </a:ext>
            </a:extLst>
          </xdr:cNvPr>
          <xdr:cNvSpPr>
            <a:spLocks noChangeShapeType="1"/>
          </xdr:cNvSpPr>
        </xdr:nvSpPr>
        <xdr:spPr bwMode="auto">
          <a:xfrm flipH="1">
            <a:off x="2499014" y="931718"/>
            <a:ext cx="5723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6" name="Line 25">
            <a:extLst>
              <a:ext uri="{FF2B5EF4-FFF2-40B4-BE49-F238E27FC236}">
                <a16:creationId xmlns:a16="http://schemas.microsoft.com/office/drawing/2014/main" id="{5B70F541-B09A-4BB0-A21A-2D5996594A82}"/>
              </a:ext>
            </a:extLst>
          </xdr:cNvPr>
          <xdr:cNvSpPr>
            <a:spLocks noChangeShapeType="1"/>
          </xdr:cNvSpPr>
        </xdr:nvSpPr>
        <xdr:spPr bwMode="auto">
          <a:xfrm flipH="1">
            <a:off x="2499014" y="1731818"/>
            <a:ext cx="1030431"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7" name="Line 26">
            <a:extLst>
              <a:ext uri="{FF2B5EF4-FFF2-40B4-BE49-F238E27FC236}">
                <a16:creationId xmlns:a16="http://schemas.microsoft.com/office/drawing/2014/main" id="{6DE84EC2-2221-4287-ADFF-02381BF1D695}"/>
              </a:ext>
            </a:extLst>
          </xdr:cNvPr>
          <xdr:cNvSpPr>
            <a:spLocks noChangeShapeType="1"/>
          </xdr:cNvSpPr>
        </xdr:nvSpPr>
        <xdr:spPr bwMode="auto">
          <a:xfrm flipV="1">
            <a:off x="2499014" y="931717"/>
            <a:ext cx="0" cy="809625"/>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28" name="Line 27">
            <a:extLst>
              <a:ext uri="{FF2B5EF4-FFF2-40B4-BE49-F238E27FC236}">
                <a16:creationId xmlns:a16="http://schemas.microsoft.com/office/drawing/2014/main" id="{F6E08CFF-0358-4689-A7CD-95E49EA6C3BF}"/>
              </a:ext>
            </a:extLst>
          </xdr:cNvPr>
          <xdr:cNvSpPr>
            <a:spLocks noChangeShapeType="1"/>
          </xdr:cNvSpPr>
        </xdr:nvSpPr>
        <xdr:spPr bwMode="auto">
          <a:xfrm flipH="1">
            <a:off x="2728480" y="1388918"/>
            <a:ext cx="80096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9" name="Line 28">
            <a:extLst>
              <a:ext uri="{FF2B5EF4-FFF2-40B4-BE49-F238E27FC236}">
                <a16:creationId xmlns:a16="http://schemas.microsoft.com/office/drawing/2014/main" id="{1E5F889E-0599-4DC0-8F3E-6E52AE59C258}"/>
              </a:ext>
            </a:extLst>
          </xdr:cNvPr>
          <xdr:cNvSpPr>
            <a:spLocks noChangeShapeType="1"/>
          </xdr:cNvSpPr>
        </xdr:nvSpPr>
        <xdr:spPr bwMode="auto">
          <a:xfrm flipV="1">
            <a:off x="2728480" y="1388918"/>
            <a:ext cx="0" cy="34290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30" name="Line 29">
            <a:extLst>
              <a:ext uri="{FF2B5EF4-FFF2-40B4-BE49-F238E27FC236}">
                <a16:creationId xmlns:a16="http://schemas.microsoft.com/office/drawing/2014/main" id="{54DF4A3C-BC03-46FA-8D1C-2ED9BF62E54F}"/>
              </a:ext>
            </a:extLst>
          </xdr:cNvPr>
          <xdr:cNvSpPr>
            <a:spLocks noChangeShapeType="1"/>
          </xdr:cNvSpPr>
        </xdr:nvSpPr>
        <xdr:spPr bwMode="auto">
          <a:xfrm flipV="1">
            <a:off x="2728480" y="1088881"/>
            <a:ext cx="0" cy="296574"/>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31" name="Line 30">
            <a:extLst>
              <a:ext uri="{FF2B5EF4-FFF2-40B4-BE49-F238E27FC236}">
                <a16:creationId xmlns:a16="http://schemas.microsoft.com/office/drawing/2014/main" id="{7FAFC4E6-EE00-4A10-805D-C2E6707C380F}"/>
              </a:ext>
            </a:extLst>
          </xdr:cNvPr>
          <xdr:cNvSpPr>
            <a:spLocks noChangeShapeType="1"/>
          </xdr:cNvSpPr>
        </xdr:nvSpPr>
        <xdr:spPr bwMode="auto">
          <a:xfrm flipH="1">
            <a:off x="2728480" y="1093643"/>
            <a:ext cx="85811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32" name="テキスト 63">
            <a:extLst>
              <a:ext uri="{FF2B5EF4-FFF2-40B4-BE49-F238E27FC236}">
                <a16:creationId xmlns:a16="http://schemas.microsoft.com/office/drawing/2014/main" id="{DC91F3C6-A0AA-4649-BF0F-FCB0D3479817}"/>
              </a:ext>
            </a:extLst>
          </xdr:cNvPr>
          <xdr:cNvSpPr txBox="1">
            <a:spLocks noChangeArrowheads="1"/>
          </xdr:cNvSpPr>
        </xdr:nvSpPr>
        <xdr:spPr bwMode="auto">
          <a:xfrm>
            <a:off x="2346614" y="1222232"/>
            <a:ext cx="190500" cy="138112"/>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3" name="テキスト 64">
            <a:extLst>
              <a:ext uri="{FF2B5EF4-FFF2-40B4-BE49-F238E27FC236}">
                <a16:creationId xmlns:a16="http://schemas.microsoft.com/office/drawing/2014/main" id="{CE10BCD7-D384-44E8-A80E-55BA5FF2C78D}"/>
              </a:ext>
            </a:extLst>
          </xdr:cNvPr>
          <xdr:cNvSpPr txBox="1">
            <a:spLocks noChangeArrowheads="1"/>
          </xdr:cNvSpPr>
        </xdr:nvSpPr>
        <xdr:spPr bwMode="auto">
          <a:xfrm>
            <a:off x="2576080" y="1198418"/>
            <a:ext cx="209550" cy="1238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4" name="テキスト 65">
            <a:extLst>
              <a:ext uri="{FF2B5EF4-FFF2-40B4-BE49-F238E27FC236}">
                <a16:creationId xmlns:a16="http://schemas.microsoft.com/office/drawing/2014/main" id="{B4276E28-6391-46B9-8897-F59312277733}"/>
              </a:ext>
            </a:extLst>
          </xdr:cNvPr>
          <xdr:cNvSpPr txBox="1">
            <a:spLocks noChangeArrowheads="1"/>
          </xdr:cNvSpPr>
        </xdr:nvSpPr>
        <xdr:spPr bwMode="auto">
          <a:xfrm>
            <a:off x="2576080" y="1450831"/>
            <a:ext cx="209550" cy="1905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5" name="テキスト 66">
            <a:extLst>
              <a:ext uri="{FF2B5EF4-FFF2-40B4-BE49-F238E27FC236}">
                <a16:creationId xmlns:a16="http://schemas.microsoft.com/office/drawing/2014/main" id="{97966377-A594-4344-8CD0-539C1EE44C72}"/>
              </a:ext>
            </a:extLst>
          </xdr:cNvPr>
          <xdr:cNvSpPr txBox="1">
            <a:spLocks noChangeArrowheads="1"/>
          </xdr:cNvSpPr>
        </xdr:nvSpPr>
        <xdr:spPr bwMode="auto">
          <a:xfrm>
            <a:off x="3359856" y="371637"/>
            <a:ext cx="133606" cy="20364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W</a:t>
            </a:r>
            <a:endParaRPr lang="ja-JP" altLang="en-US"/>
          </a:p>
        </xdr:txBody>
      </xdr:sp>
    </xdr:grpSp>
    <xdr:clientData/>
  </xdr:twoCellAnchor>
  <xdr:twoCellAnchor>
    <xdr:from>
      <xdr:col>8</xdr:col>
      <xdr:colOff>152399</xdr:colOff>
      <xdr:row>3</xdr:row>
      <xdr:rowOff>24246</xdr:rowOff>
    </xdr:from>
    <xdr:to>
      <xdr:col>13</xdr:col>
      <xdr:colOff>304799</xdr:colOff>
      <xdr:row>8</xdr:row>
      <xdr:rowOff>50827</xdr:rowOff>
    </xdr:to>
    <xdr:grpSp>
      <xdr:nvGrpSpPr>
        <xdr:cNvPr id="36" name="グループ化 35">
          <a:extLst>
            <a:ext uri="{FF2B5EF4-FFF2-40B4-BE49-F238E27FC236}">
              <a16:creationId xmlns:a16="http://schemas.microsoft.com/office/drawing/2014/main" id="{8298CF0E-EA3B-4CB2-89DD-24B6EE15425B}"/>
            </a:ext>
          </a:extLst>
        </xdr:cNvPr>
        <xdr:cNvGrpSpPr/>
      </xdr:nvGrpSpPr>
      <xdr:grpSpPr>
        <a:xfrm>
          <a:off x="4267199" y="729096"/>
          <a:ext cx="2724150" cy="979081"/>
          <a:chOff x="4274127" y="855518"/>
          <a:chExt cx="2728480" cy="979081"/>
        </a:xfrm>
      </xdr:grpSpPr>
      <xdr:sp macro="" textlink="">
        <xdr:nvSpPr>
          <xdr:cNvPr id="37" name="Line 37">
            <a:extLst>
              <a:ext uri="{FF2B5EF4-FFF2-40B4-BE49-F238E27FC236}">
                <a16:creationId xmlns:a16="http://schemas.microsoft.com/office/drawing/2014/main" id="{4C343FFF-5742-4A19-AE08-FF3FB251CAB9}"/>
              </a:ext>
            </a:extLst>
          </xdr:cNvPr>
          <xdr:cNvSpPr>
            <a:spLocks noChangeShapeType="1"/>
          </xdr:cNvSpPr>
        </xdr:nvSpPr>
        <xdr:spPr bwMode="auto">
          <a:xfrm>
            <a:off x="4770293" y="855518"/>
            <a:ext cx="6295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 name="Line 38">
            <a:extLst>
              <a:ext uri="{FF2B5EF4-FFF2-40B4-BE49-F238E27FC236}">
                <a16:creationId xmlns:a16="http://schemas.microsoft.com/office/drawing/2014/main" id="{2BA3B92E-73BD-4A18-BADA-745EACEEAC33}"/>
              </a:ext>
            </a:extLst>
          </xdr:cNvPr>
          <xdr:cNvSpPr>
            <a:spLocks noChangeShapeType="1"/>
          </xdr:cNvSpPr>
        </xdr:nvSpPr>
        <xdr:spPr bwMode="auto">
          <a:xfrm>
            <a:off x="5399809" y="855518"/>
            <a:ext cx="0" cy="1151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 name="Line 39">
            <a:extLst>
              <a:ext uri="{FF2B5EF4-FFF2-40B4-BE49-F238E27FC236}">
                <a16:creationId xmlns:a16="http://schemas.microsoft.com/office/drawing/2014/main" id="{8D384194-2157-4CD7-BA77-D696D41E369F}"/>
              </a:ext>
            </a:extLst>
          </xdr:cNvPr>
          <xdr:cNvSpPr>
            <a:spLocks noChangeShapeType="1"/>
          </xdr:cNvSpPr>
        </xdr:nvSpPr>
        <xdr:spPr bwMode="auto">
          <a:xfrm flipH="1">
            <a:off x="4998893" y="970704"/>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 name="Line 40">
            <a:extLst>
              <a:ext uri="{FF2B5EF4-FFF2-40B4-BE49-F238E27FC236}">
                <a16:creationId xmlns:a16="http://schemas.microsoft.com/office/drawing/2014/main" id="{1067AA93-1873-4C75-A60F-0454F25E63DC}"/>
              </a:ext>
            </a:extLst>
          </xdr:cNvPr>
          <xdr:cNvSpPr>
            <a:spLocks noChangeShapeType="1"/>
          </xdr:cNvSpPr>
        </xdr:nvSpPr>
        <xdr:spPr bwMode="auto">
          <a:xfrm>
            <a:off x="4998893"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 name="Line 41">
            <a:extLst>
              <a:ext uri="{FF2B5EF4-FFF2-40B4-BE49-F238E27FC236}">
                <a16:creationId xmlns:a16="http://schemas.microsoft.com/office/drawing/2014/main" id="{DA323FBD-B481-49C2-B775-FCAA2EC86763}"/>
              </a:ext>
            </a:extLst>
          </xdr:cNvPr>
          <xdr:cNvSpPr>
            <a:spLocks noChangeShapeType="1"/>
          </xdr:cNvSpPr>
        </xdr:nvSpPr>
        <xdr:spPr bwMode="auto">
          <a:xfrm flipH="1">
            <a:off x="4884593" y="1201076"/>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 name="Line 42">
            <a:extLst>
              <a:ext uri="{FF2B5EF4-FFF2-40B4-BE49-F238E27FC236}">
                <a16:creationId xmlns:a16="http://schemas.microsoft.com/office/drawing/2014/main" id="{7B35AEAC-6A66-4C6E-8CD1-D186BCEFC757}"/>
              </a:ext>
            </a:extLst>
          </xdr:cNvPr>
          <xdr:cNvSpPr>
            <a:spLocks noChangeShapeType="1"/>
          </xdr:cNvSpPr>
        </xdr:nvSpPr>
        <xdr:spPr bwMode="auto">
          <a:xfrm flipV="1">
            <a:off x="4884593"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 name="Line 43">
            <a:extLst>
              <a:ext uri="{FF2B5EF4-FFF2-40B4-BE49-F238E27FC236}">
                <a16:creationId xmlns:a16="http://schemas.microsoft.com/office/drawing/2014/main" id="{852251CF-5BC6-4A97-A0C6-E60AB5246F91}"/>
              </a:ext>
            </a:extLst>
          </xdr:cNvPr>
          <xdr:cNvSpPr>
            <a:spLocks noChangeShapeType="1"/>
          </xdr:cNvSpPr>
        </xdr:nvSpPr>
        <xdr:spPr bwMode="auto">
          <a:xfrm flipH="1">
            <a:off x="4770293" y="970704"/>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4" name="Line 44">
            <a:extLst>
              <a:ext uri="{FF2B5EF4-FFF2-40B4-BE49-F238E27FC236}">
                <a16:creationId xmlns:a16="http://schemas.microsoft.com/office/drawing/2014/main" id="{2479237B-5098-416D-990D-3F9E9360F4A7}"/>
              </a:ext>
            </a:extLst>
          </xdr:cNvPr>
          <xdr:cNvSpPr>
            <a:spLocks noChangeShapeType="1"/>
          </xdr:cNvSpPr>
        </xdr:nvSpPr>
        <xdr:spPr bwMode="auto">
          <a:xfrm flipV="1">
            <a:off x="6315941" y="855518"/>
            <a:ext cx="6866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5" name="Line 45">
            <a:extLst>
              <a:ext uri="{FF2B5EF4-FFF2-40B4-BE49-F238E27FC236}">
                <a16:creationId xmlns:a16="http://schemas.microsoft.com/office/drawing/2014/main" id="{A5A326E7-1623-4541-BA4C-DAFBF74B323C}"/>
              </a:ext>
            </a:extLst>
          </xdr:cNvPr>
          <xdr:cNvSpPr>
            <a:spLocks noChangeShapeType="1"/>
          </xdr:cNvSpPr>
        </xdr:nvSpPr>
        <xdr:spPr bwMode="auto">
          <a:xfrm>
            <a:off x="6315941" y="855518"/>
            <a:ext cx="0" cy="1151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6" name="Line 46">
            <a:extLst>
              <a:ext uri="{FF2B5EF4-FFF2-40B4-BE49-F238E27FC236}">
                <a16:creationId xmlns:a16="http://schemas.microsoft.com/office/drawing/2014/main" id="{44C7D343-A687-433A-84CA-2576EAD5DD1E}"/>
              </a:ext>
            </a:extLst>
          </xdr:cNvPr>
          <xdr:cNvSpPr>
            <a:spLocks noChangeShapeType="1"/>
          </xdr:cNvSpPr>
        </xdr:nvSpPr>
        <xdr:spPr bwMode="auto">
          <a:xfrm>
            <a:off x="6315941" y="970704"/>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7" name="Line 47">
            <a:extLst>
              <a:ext uri="{FF2B5EF4-FFF2-40B4-BE49-F238E27FC236}">
                <a16:creationId xmlns:a16="http://schemas.microsoft.com/office/drawing/2014/main" id="{36C60F96-8E00-4198-B94D-796E464E7226}"/>
              </a:ext>
            </a:extLst>
          </xdr:cNvPr>
          <xdr:cNvSpPr>
            <a:spLocks noChangeShapeType="1"/>
          </xdr:cNvSpPr>
        </xdr:nvSpPr>
        <xdr:spPr bwMode="auto">
          <a:xfrm>
            <a:off x="5399809" y="913111"/>
            <a:ext cx="916132" cy="0"/>
          </a:xfrm>
          <a:prstGeom prst="line">
            <a:avLst/>
          </a:prstGeom>
          <a:noFill/>
          <a:ln w="1">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48" name="Line 48">
            <a:extLst>
              <a:ext uri="{FF2B5EF4-FFF2-40B4-BE49-F238E27FC236}">
                <a16:creationId xmlns:a16="http://schemas.microsoft.com/office/drawing/2014/main" id="{30FFD47F-D759-4BE8-AC8C-3C9CF976836E}"/>
              </a:ext>
            </a:extLst>
          </xdr:cNvPr>
          <xdr:cNvSpPr>
            <a:spLocks noChangeShapeType="1"/>
          </xdr:cNvSpPr>
        </xdr:nvSpPr>
        <xdr:spPr bwMode="auto">
          <a:xfrm>
            <a:off x="6831157"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9" name="Line 49">
            <a:extLst>
              <a:ext uri="{FF2B5EF4-FFF2-40B4-BE49-F238E27FC236}">
                <a16:creationId xmlns:a16="http://schemas.microsoft.com/office/drawing/2014/main" id="{22799C21-2305-4999-9A53-965A19E155B3}"/>
              </a:ext>
            </a:extLst>
          </xdr:cNvPr>
          <xdr:cNvSpPr>
            <a:spLocks noChangeShapeType="1"/>
          </xdr:cNvSpPr>
        </xdr:nvSpPr>
        <xdr:spPr bwMode="auto">
          <a:xfrm flipH="1">
            <a:off x="6716857" y="1201076"/>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0" name="Line 50">
            <a:extLst>
              <a:ext uri="{FF2B5EF4-FFF2-40B4-BE49-F238E27FC236}">
                <a16:creationId xmlns:a16="http://schemas.microsoft.com/office/drawing/2014/main" id="{C1B54255-2F69-4346-B716-908955A57920}"/>
              </a:ext>
            </a:extLst>
          </xdr:cNvPr>
          <xdr:cNvSpPr>
            <a:spLocks noChangeShapeType="1"/>
          </xdr:cNvSpPr>
        </xdr:nvSpPr>
        <xdr:spPr bwMode="auto">
          <a:xfrm flipV="1">
            <a:off x="6716857"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1" name="Line 51">
            <a:extLst>
              <a:ext uri="{FF2B5EF4-FFF2-40B4-BE49-F238E27FC236}">
                <a16:creationId xmlns:a16="http://schemas.microsoft.com/office/drawing/2014/main" id="{E93222AE-2B4E-4DE7-8F83-31B4C9B5AF80}"/>
              </a:ext>
            </a:extLst>
          </xdr:cNvPr>
          <xdr:cNvSpPr>
            <a:spLocks noChangeShapeType="1"/>
          </xdr:cNvSpPr>
        </xdr:nvSpPr>
        <xdr:spPr bwMode="auto">
          <a:xfrm>
            <a:off x="6831157" y="970704"/>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2" name="Line 52">
            <a:extLst>
              <a:ext uri="{FF2B5EF4-FFF2-40B4-BE49-F238E27FC236}">
                <a16:creationId xmlns:a16="http://schemas.microsoft.com/office/drawing/2014/main" id="{A27DBB1B-EA2A-47A7-B76A-621C860A1C7B}"/>
              </a:ext>
            </a:extLst>
          </xdr:cNvPr>
          <xdr:cNvSpPr>
            <a:spLocks noChangeShapeType="1"/>
          </xdr:cNvSpPr>
        </xdr:nvSpPr>
        <xdr:spPr bwMode="auto">
          <a:xfrm>
            <a:off x="5399809" y="1028297"/>
            <a:ext cx="0" cy="460744"/>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3" name="Line 53">
            <a:extLst>
              <a:ext uri="{FF2B5EF4-FFF2-40B4-BE49-F238E27FC236}">
                <a16:creationId xmlns:a16="http://schemas.microsoft.com/office/drawing/2014/main" id="{20A3A18B-17C4-4139-B739-3AE97494DF4C}"/>
              </a:ext>
            </a:extLst>
          </xdr:cNvPr>
          <xdr:cNvSpPr>
            <a:spLocks noChangeShapeType="1"/>
          </xdr:cNvSpPr>
        </xdr:nvSpPr>
        <xdr:spPr bwMode="auto">
          <a:xfrm>
            <a:off x="6315941" y="1028297"/>
            <a:ext cx="0" cy="460744"/>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4" name="Line 54">
            <a:extLst>
              <a:ext uri="{FF2B5EF4-FFF2-40B4-BE49-F238E27FC236}">
                <a16:creationId xmlns:a16="http://schemas.microsoft.com/office/drawing/2014/main" id="{E8E4565A-B4C4-4962-9C2A-9BE4DAF8B5C6}"/>
              </a:ext>
            </a:extLst>
          </xdr:cNvPr>
          <xdr:cNvSpPr>
            <a:spLocks noChangeShapeType="1"/>
          </xdr:cNvSpPr>
        </xdr:nvSpPr>
        <xdr:spPr bwMode="auto">
          <a:xfrm>
            <a:off x="4998893" y="1258669"/>
            <a:ext cx="0" cy="57593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5" name="Line 55">
            <a:extLst>
              <a:ext uri="{FF2B5EF4-FFF2-40B4-BE49-F238E27FC236}">
                <a16:creationId xmlns:a16="http://schemas.microsoft.com/office/drawing/2014/main" id="{5AEE44FB-2D73-4890-8154-8C3255E59464}"/>
              </a:ext>
            </a:extLst>
          </xdr:cNvPr>
          <xdr:cNvSpPr>
            <a:spLocks noChangeShapeType="1"/>
          </xdr:cNvSpPr>
        </xdr:nvSpPr>
        <xdr:spPr bwMode="auto">
          <a:xfrm>
            <a:off x="6716857" y="1258669"/>
            <a:ext cx="0" cy="57593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6" name="Line 56">
            <a:extLst>
              <a:ext uri="{FF2B5EF4-FFF2-40B4-BE49-F238E27FC236}">
                <a16:creationId xmlns:a16="http://schemas.microsoft.com/office/drawing/2014/main" id="{0AC4A70C-36FA-4AD9-B758-78139115A995}"/>
              </a:ext>
            </a:extLst>
          </xdr:cNvPr>
          <xdr:cNvSpPr>
            <a:spLocks noChangeShapeType="1"/>
          </xdr:cNvSpPr>
        </xdr:nvSpPr>
        <xdr:spPr bwMode="auto">
          <a:xfrm flipH="1">
            <a:off x="4426527" y="913111"/>
            <a:ext cx="2294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7" name="Line 57">
            <a:extLst>
              <a:ext uri="{FF2B5EF4-FFF2-40B4-BE49-F238E27FC236}">
                <a16:creationId xmlns:a16="http://schemas.microsoft.com/office/drawing/2014/main" id="{B074C664-B175-4A6B-8E6E-E2FAE7FD475F}"/>
              </a:ext>
            </a:extLst>
          </xdr:cNvPr>
          <xdr:cNvSpPr>
            <a:spLocks noChangeShapeType="1"/>
          </xdr:cNvSpPr>
        </xdr:nvSpPr>
        <xdr:spPr bwMode="auto">
          <a:xfrm flipH="1">
            <a:off x="4426527" y="1201076"/>
            <a:ext cx="3437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8" name="Line 58">
            <a:extLst>
              <a:ext uri="{FF2B5EF4-FFF2-40B4-BE49-F238E27FC236}">
                <a16:creationId xmlns:a16="http://schemas.microsoft.com/office/drawing/2014/main" id="{E4DE8A72-9A02-4850-B0CA-98378EE0D319}"/>
              </a:ext>
            </a:extLst>
          </xdr:cNvPr>
          <xdr:cNvSpPr>
            <a:spLocks noChangeShapeType="1"/>
          </xdr:cNvSpPr>
        </xdr:nvSpPr>
        <xdr:spPr bwMode="auto">
          <a:xfrm>
            <a:off x="4998893" y="1489041"/>
            <a:ext cx="400916"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59" name="Line 59">
            <a:extLst>
              <a:ext uri="{FF2B5EF4-FFF2-40B4-BE49-F238E27FC236}">
                <a16:creationId xmlns:a16="http://schemas.microsoft.com/office/drawing/2014/main" id="{D99B406A-43B8-45E7-B771-242B80811D47}"/>
              </a:ext>
            </a:extLst>
          </xdr:cNvPr>
          <xdr:cNvSpPr>
            <a:spLocks noChangeShapeType="1"/>
          </xdr:cNvSpPr>
        </xdr:nvSpPr>
        <xdr:spPr bwMode="auto">
          <a:xfrm>
            <a:off x="5399809" y="1489041"/>
            <a:ext cx="916132"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0" name="Line 60">
            <a:extLst>
              <a:ext uri="{FF2B5EF4-FFF2-40B4-BE49-F238E27FC236}">
                <a16:creationId xmlns:a16="http://schemas.microsoft.com/office/drawing/2014/main" id="{ED8C91D5-7823-4D46-979C-75DBEE36FFA0}"/>
              </a:ext>
            </a:extLst>
          </xdr:cNvPr>
          <xdr:cNvSpPr>
            <a:spLocks noChangeShapeType="1"/>
          </xdr:cNvSpPr>
        </xdr:nvSpPr>
        <xdr:spPr bwMode="auto">
          <a:xfrm>
            <a:off x="6315941" y="1489041"/>
            <a:ext cx="400916"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1" name="Line 61">
            <a:extLst>
              <a:ext uri="{FF2B5EF4-FFF2-40B4-BE49-F238E27FC236}">
                <a16:creationId xmlns:a16="http://schemas.microsoft.com/office/drawing/2014/main" id="{AE272012-FA19-4782-B6BC-B022863159A7}"/>
              </a:ext>
            </a:extLst>
          </xdr:cNvPr>
          <xdr:cNvSpPr>
            <a:spLocks noChangeShapeType="1"/>
          </xdr:cNvSpPr>
        </xdr:nvSpPr>
        <xdr:spPr bwMode="auto">
          <a:xfrm flipV="1">
            <a:off x="4426527" y="913111"/>
            <a:ext cx="0" cy="287965"/>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2" name="Line 62">
            <a:extLst>
              <a:ext uri="{FF2B5EF4-FFF2-40B4-BE49-F238E27FC236}">
                <a16:creationId xmlns:a16="http://schemas.microsoft.com/office/drawing/2014/main" id="{2042EDBB-EA80-4726-B6AA-F4E32F2E8A34}"/>
              </a:ext>
            </a:extLst>
          </xdr:cNvPr>
          <xdr:cNvSpPr>
            <a:spLocks noChangeShapeType="1"/>
          </xdr:cNvSpPr>
        </xdr:nvSpPr>
        <xdr:spPr bwMode="auto">
          <a:xfrm>
            <a:off x="4998893" y="1777006"/>
            <a:ext cx="1717964"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3" name="テキスト 62">
            <a:extLst>
              <a:ext uri="{FF2B5EF4-FFF2-40B4-BE49-F238E27FC236}">
                <a16:creationId xmlns:a16="http://schemas.microsoft.com/office/drawing/2014/main" id="{F6E8C0E5-6F57-44F9-B28E-8F3B28E0C3A9}"/>
              </a:ext>
            </a:extLst>
          </xdr:cNvPr>
          <xdr:cNvSpPr txBox="1">
            <a:spLocks noChangeArrowheads="1"/>
          </xdr:cNvSpPr>
        </xdr:nvSpPr>
        <xdr:spPr bwMode="auto">
          <a:xfrm>
            <a:off x="4274127" y="1018698"/>
            <a:ext cx="180975" cy="105587"/>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18288" rIns="27432" bIns="18288" anchor="ctr" upright="1"/>
          <a:lstStyle/>
          <a:p>
            <a:pPr algn="ctr" rtl="0">
              <a:defRPr sz="1000"/>
            </a:pPr>
            <a:r>
              <a:rPr lang="ja-JP" altLang="en-US" sz="1000" b="0" i="0" u="none" strike="noStrike" baseline="0">
                <a:solidFill>
                  <a:srgbClr val="000000"/>
                </a:solidFill>
                <a:latin typeface="ＭＳ ゴシック"/>
                <a:ea typeface="ＭＳ ゴシック"/>
              </a:rPr>
              <a:t>V</a:t>
            </a:r>
            <a:endParaRPr lang="ja-JP" altLang="en-US"/>
          </a:p>
        </xdr:txBody>
      </xdr:sp>
      <xdr:sp macro="" textlink="">
        <xdr:nvSpPr>
          <xdr:cNvPr id="64" name="テキスト 67">
            <a:extLst>
              <a:ext uri="{FF2B5EF4-FFF2-40B4-BE49-F238E27FC236}">
                <a16:creationId xmlns:a16="http://schemas.microsoft.com/office/drawing/2014/main" id="{0A02B494-5797-4A53-8F02-4726FEA2A3B7}"/>
              </a:ext>
            </a:extLst>
          </xdr:cNvPr>
          <xdr:cNvSpPr txBox="1">
            <a:spLocks noChangeArrowheads="1"/>
          </xdr:cNvSpPr>
        </xdr:nvSpPr>
        <xdr:spPr bwMode="auto">
          <a:xfrm>
            <a:off x="5132243" y="1306663"/>
            <a:ext cx="162791"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5" name="テキスト 68">
            <a:extLst>
              <a:ext uri="{FF2B5EF4-FFF2-40B4-BE49-F238E27FC236}">
                <a16:creationId xmlns:a16="http://schemas.microsoft.com/office/drawing/2014/main" id="{2D9176A6-DB3E-4F3F-A5BE-E52A0004454F}"/>
              </a:ext>
            </a:extLst>
          </xdr:cNvPr>
          <xdr:cNvSpPr txBox="1">
            <a:spLocks noChangeArrowheads="1"/>
          </xdr:cNvSpPr>
        </xdr:nvSpPr>
        <xdr:spPr bwMode="auto">
          <a:xfrm>
            <a:off x="5791200" y="1306663"/>
            <a:ext cx="10477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6" name="テキスト 69">
            <a:extLst>
              <a:ext uri="{FF2B5EF4-FFF2-40B4-BE49-F238E27FC236}">
                <a16:creationId xmlns:a16="http://schemas.microsoft.com/office/drawing/2014/main" id="{59975BEE-0BF2-4904-9F80-5BD98B234A23}"/>
              </a:ext>
            </a:extLst>
          </xdr:cNvPr>
          <xdr:cNvSpPr txBox="1">
            <a:spLocks noChangeArrowheads="1"/>
          </xdr:cNvSpPr>
        </xdr:nvSpPr>
        <xdr:spPr bwMode="auto">
          <a:xfrm>
            <a:off x="6439766" y="1306663"/>
            <a:ext cx="16192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7" name="テキスト 70">
            <a:extLst>
              <a:ext uri="{FF2B5EF4-FFF2-40B4-BE49-F238E27FC236}">
                <a16:creationId xmlns:a16="http://schemas.microsoft.com/office/drawing/2014/main" id="{303D0183-C70E-4F51-888D-7FC6D31ED2AC}"/>
              </a:ext>
            </a:extLst>
          </xdr:cNvPr>
          <xdr:cNvSpPr txBox="1">
            <a:spLocks noChangeArrowheads="1"/>
          </xdr:cNvSpPr>
        </xdr:nvSpPr>
        <xdr:spPr bwMode="auto">
          <a:xfrm>
            <a:off x="5791200" y="1565832"/>
            <a:ext cx="10477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285750</xdr:colOff>
      <xdr:row>1</xdr:row>
      <xdr:rowOff>3626</xdr:rowOff>
    </xdr:from>
    <xdr:to>
      <xdr:col>7</xdr:col>
      <xdr:colOff>495300</xdr:colOff>
      <xdr:row>8</xdr:row>
      <xdr:rowOff>74757</xdr:rowOff>
    </xdr:to>
    <xdr:grpSp>
      <xdr:nvGrpSpPr>
        <xdr:cNvPr id="2" name="グループ化 1">
          <a:extLst>
            <a:ext uri="{FF2B5EF4-FFF2-40B4-BE49-F238E27FC236}">
              <a16:creationId xmlns:a16="http://schemas.microsoft.com/office/drawing/2014/main" id="{540BD254-F2D6-408C-9DC2-6A2AC12B55E7}"/>
            </a:ext>
          </a:extLst>
        </xdr:cNvPr>
        <xdr:cNvGrpSpPr/>
      </xdr:nvGrpSpPr>
      <xdr:grpSpPr>
        <a:xfrm>
          <a:off x="2343150" y="327476"/>
          <a:ext cx="1752600" cy="1404631"/>
          <a:chOff x="2346614" y="371637"/>
          <a:chExt cx="1755197" cy="1404631"/>
        </a:xfrm>
      </xdr:grpSpPr>
      <xdr:sp macro="" textlink="">
        <xdr:nvSpPr>
          <xdr:cNvPr id="3" name="Line 2">
            <a:extLst>
              <a:ext uri="{FF2B5EF4-FFF2-40B4-BE49-F238E27FC236}">
                <a16:creationId xmlns:a16="http://schemas.microsoft.com/office/drawing/2014/main" id="{A39E3BE0-E9FF-468F-85C1-80F437E9B769}"/>
              </a:ext>
            </a:extLst>
          </xdr:cNvPr>
          <xdr:cNvSpPr>
            <a:spLocks noChangeShapeType="1"/>
          </xdr:cNvSpPr>
        </xdr:nvSpPr>
        <xdr:spPr bwMode="auto">
          <a:xfrm flipV="1">
            <a:off x="3701761" y="1093643"/>
            <a:ext cx="0" cy="295275"/>
          </a:xfrm>
          <a:prstGeom prst="line">
            <a:avLst/>
          </a:prstGeom>
          <a:noFill/>
          <a:ln w="1">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4" name="Line 4">
            <a:extLst>
              <a:ext uri="{FF2B5EF4-FFF2-40B4-BE49-F238E27FC236}">
                <a16:creationId xmlns:a16="http://schemas.microsoft.com/office/drawing/2014/main" id="{2017509F-F7BF-4905-8D49-B1C8415C66F9}"/>
              </a:ext>
            </a:extLst>
          </xdr:cNvPr>
          <xdr:cNvSpPr>
            <a:spLocks noChangeShapeType="1"/>
          </xdr:cNvSpPr>
        </xdr:nvSpPr>
        <xdr:spPr bwMode="auto">
          <a:xfrm>
            <a:off x="3129395" y="665018"/>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5">
            <a:extLst>
              <a:ext uri="{FF2B5EF4-FFF2-40B4-BE49-F238E27FC236}">
                <a16:creationId xmlns:a16="http://schemas.microsoft.com/office/drawing/2014/main" id="{A2ABD310-D604-4C94-A569-208447EC0B2E}"/>
              </a:ext>
            </a:extLst>
          </xdr:cNvPr>
          <xdr:cNvSpPr>
            <a:spLocks noChangeShapeType="1"/>
          </xdr:cNvSpPr>
        </xdr:nvSpPr>
        <xdr:spPr bwMode="auto">
          <a:xfrm>
            <a:off x="3129395" y="941243"/>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6">
            <a:extLst>
              <a:ext uri="{FF2B5EF4-FFF2-40B4-BE49-F238E27FC236}">
                <a16:creationId xmlns:a16="http://schemas.microsoft.com/office/drawing/2014/main" id="{F9777DF7-E495-444F-8420-9C428C6AE36C}"/>
              </a:ext>
            </a:extLst>
          </xdr:cNvPr>
          <xdr:cNvSpPr>
            <a:spLocks noChangeShapeType="1"/>
          </xdr:cNvSpPr>
        </xdr:nvSpPr>
        <xdr:spPr bwMode="auto">
          <a:xfrm flipV="1">
            <a:off x="3243695" y="884093"/>
            <a:ext cx="0" cy="57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7">
            <a:extLst>
              <a:ext uri="{FF2B5EF4-FFF2-40B4-BE49-F238E27FC236}">
                <a16:creationId xmlns:a16="http://schemas.microsoft.com/office/drawing/2014/main" id="{C23A138C-878F-49D6-9786-98CB5383AB82}"/>
              </a:ext>
            </a:extLst>
          </xdr:cNvPr>
          <xdr:cNvSpPr>
            <a:spLocks noChangeShapeType="1"/>
          </xdr:cNvSpPr>
        </xdr:nvSpPr>
        <xdr:spPr bwMode="auto">
          <a:xfrm>
            <a:off x="3129395" y="6650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8">
            <a:extLst>
              <a:ext uri="{FF2B5EF4-FFF2-40B4-BE49-F238E27FC236}">
                <a16:creationId xmlns:a16="http://schemas.microsoft.com/office/drawing/2014/main" id="{709476A0-B6A5-4FFB-88DC-CC66E8BA9EE6}"/>
              </a:ext>
            </a:extLst>
          </xdr:cNvPr>
          <xdr:cNvSpPr>
            <a:spLocks noChangeShapeType="1"/>
          </xdr:cNvSpPr>
        </xdr:nvSpPr>
        <xdr:spPr bwMode="auto">
          <a:xfrm>
            <a:off x="3243695" y="665018"/>
            <a:ext cx="0" cy="104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 name="Line 9">
            <a:extLst>
              <a:ext uri="{FF2B5EF4-FFF2-40B4-BE49-F238E27FC236}">
                <a16:creationId xmlns:a16="http://schemas.microsoft.com/office/drawing/2014/main" id="{9E4AEA94-132F-403B-B7ED-69EF26FEEB61}"/>
              </a:ext>
            </a:extLst>
          </xdr:cNvPr>
          <xdr:cNvSpPr>
            <a:spLocks noChangeShapeType="1"/>
          </xdr:cNvSpPr>
        </xdr:nvSpPr>
        <xdr:spPr bwMode="auto">
          <a:xfrm>
            <a:off x="3243695" y="769793"/>
            <a:ext cx="5723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10">
            <a:extLst>
              <a:ext uri="{FF2B5EF4-FFF2-40B4-BE49-F238E27FC236}">
                <a16:creationId xmlns:a16="http://schemas.microsoft.com/office/drawing/2014/main" id="{BEF38B9B-F2E7-46D8-8865-89E0143C14F1}"/>
              </a:ext>
            </a:extLst>
          </xdr:cNvPr>
          <xdr:cNvSpPr>
            <a:spLocks noChangeShapeType="1"/>
          </xdr:cNvSpPr>
        </xdr:nvSpPr>
        <xdr:spPr bwMode="auto">
          <a:xfrm>
            <a:off x="3243695" y="884093"/>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 name="Line 11">
            <a:extLst>
              <a:ext uri="{FF2B5EF4-FFF2-40B4-BE49-F238E27FC236}">
                <a16:creationId xmlns:a16="http://schemas.microsoft.com/office/drawing/2014/main" id="{18FF1436-FFBD-4287-985D-07C1A5AA8591}"/>
              </a:ext>
            </a:extLst>
          </xdr:cNvPr>
          <xdr:cNvSpPr>
            <a:spLocks noChangeShapeType="1"/>
          </xdr:cNvSpPr>
        </xdr:nvSpPr>
        <xdr:spPr bwMode="auto">
          <a:xfrm>
            <a:off x="3644611" y="884093"/>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12">
            <a:extLst>
              <a:ext uri="{FF2B5EF4-FFF2-40B4-BE49-F238E27FC236}">
                <a16:creationId xmlns:a16="http://schemas.microsoft.com/office/drawing/2014/main" id="{D6B6BEF4-9329-405C-8602-C624660A5581}"/>
              </a:ext>
            </a:extLst>
          </xdr:cNvPr>
          <xdr:cNvSpPr>
            <a:spLocks noChangeShapeType="1"/>
          </xdr:cNvSpPr>
        </xdr:nvSpPr>
        <xdr:spPr bwMode="auto">
          <a:xfrm>
            <a:off x="3644611" y="1093643"/>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Line 13">
            <a:extLst>
              <a:ext uri="{FF2B5EF4-FFF2-40B4-BE49-F238E27FC236}">
                <a16:creationId xmlns:a16="http://schemas.microsoft.com/office/drawing/2014/main" id="{7AD5C0C5-BA43-48BF-8C9A-11EA43DBF59C}"/>
              </a:ext>
            </a:extLst>
          </xdr:cNvPr>
          <xdr:cNvSpPr>
            <a:spLocks noChangeShapeType="1"/>
          </xdr:cNvSpPr>
        </xdr:nvSpPr>
        <xdr:spPr bwMode="auto">
          <a:xfrm flipV="1">
            <a:off x="3758911" y="884093"/>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4">
            <a:extLst>
              <a:ext uri="{FF2B5EF4-FFF2-40B4-BE49-F238E27FC236}">
                <a16:creationId xmlns:a16="http://schemas.microsoft.com/office/drawing/2014/main" id="{98CCDE77-A084-41D8-8B04-32E5F35C68AF}"/>
              </a:ext>
            </a:extLst>
          </xdr:cNvPr>
          <xdr:cNvSpPr>
            <a:spLocks noChangeShapeType="1"/>
          </xdr:cNvSpPr>
        </xdr:nvSpPr>
        <xdr:spPr bwMode="auto">
          <a:xfrm>
            <a:off x="3758911" y="884093"/>
            <a:ext cx="5715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15" name="Line 15">
            <a:extLst>
              <a:ext uri="{FF2B5EF4-FFF2-40B4-BE49-F238E27FC236}">
                <a16:creationId xmlns:a16="http://schemas.microsoft.com/office/drawing/2014/main" id="{4DD5BDCC-B70A-4A17-867D-6561F4C59786}"/>
              </a:ext>
            </a:extLst>
          </xdr:cNvPr>
          <xdr:cNvSpPr>
            <a:spLocks noChangeShapeType="1"/>
          </xdr:cNvSpPr>
        </xdr:nvSpPr>
        <xdr:spPr bwMode="auto">
          <a:xfrm flipV="1">
            <a:off x="3644611" y="1388917"/>
            <a:ext cx="0" cy="3857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16">
            <a:extLst>
              <a:ext uri="{FF2B5EF4-FFF2-40B4-BE49-F238E27FC236}">
                <a16:creationId xmlns:a16="http://schemas.microsoft.com/office/drawing/2014/main" id="{953ABC84-CAE1-4D2F-A7A7-B6034054A3E6}"/>
              </a:ext>
            </a:extLst>
          </xdr:cNvPr>
          <xdr:cNvSpPr>
            <a:spLocks noChangeShapeType="1"/>
          </xdr:cNvSpPr>
        </xdr:nvSpPr>
        <xdr:spPr bwMode="auto">
          <a:xfrm flipV="1">
            <a:off x="3758911" y="1384155"/>
            <a:ext cx="0" cy="2047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7">
            <a:extLst>
              <a:ext uri="{FF2B5EF4-FFF2-40B4-BE49-F238E27FC236}">
                <a16:creationId xmlns:a16="http://schemas.microsoft.com/office/drawing/2014/main" id="{CA09EEAD-63A3-4B58-BBC1-E7195ACE20E3}"/>
              </a:ext>
            </a:extLst>
          </xdr:cNvPr>
          <xdr:cNvSpPr>
            <a:spLocks noChangeShapeType="1"/>
          </xdr:cNvSpPr>
        </xdr:nvSpPr>
        <xdr:spPr bwMode="auto">
          <a:xfrm>
            <a:off x="3644611" y="13889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18">
            <a:extLst>
              <a:ext uri="{FF2B5EF4-FFF2-40B4-BE49-F238E27FC236}">
                <a16:creationId xmlns:a16="http://schemas.microsoft.com/office/drawing/2014/main" id="{EC62A4C3-06BA-470A-9F07-E57311EA6DE8}"/>
              </a:ext>
            </a:extLst>
          </xdr:cNvPr>
          <xdr:cNvSpPr>
            <a:spLocks noChangeShapeType="1"/>
          </xdr:cNvSpPr>
        </xdr:nvSpPr>
        <xdr:spPr bwMode="auto">
          <a:xfrm>
            <a:off x="3758911" y="1588943"/>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19">
            <a:extLst>
              <a:ext uri="{FF2B5EF4-FFF2-40B4-BE49-F238E27FC236}">
                <a16:creationId xmlns:a16="http://schemas.microsoft.com/office/drawing/2014/main" id="{5F638FB8-3F1B-4C1E-9FF8-FBFE55FA8953}"/>
              </a:ext>
            </a:extLst>
          </xdr:cNvPr>
          <xdr:cNvSpPr>
            <a:spLocks noChangeShapeType="1"/>
          </xdr:cNvSpPr>
        </xdr:nvSpPr>
        <xdr:spPr bwMode="auto">
          <a:xfrm flipH="1">
            <a:off x="3758911" y="1703243"/>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20">
            <a:extLst>
              <a:ext uri="{FF2B5EF4-FFF2-40B4-BE49-F238E27FC236}">
                <a16:creationId xmlns:a16="http://schemas.microsoft.com/office/drawing/2014/main" id="{3AAD813F-95CB-4D98-AC1C-0B3918058D7A}"/>
              </a:ext>
            </a:extLst>
          </xdr:cNvPr>
          <xdr:cNvSpPr>
            <a:spLocks noChangeShapeType="1"/>
          </xdr:cNvSpPr>
        </xdr:nvSpPr>
        <xdr:spPr bwMode="auto">
          <a:xfrm>
            <a:off x="3758911" y="1703243"/>
            <a:ext cx="0" cy="73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21">
            <a:extLst>
              <a:ext uri="{FF2B5EF4-FFF2-40B4-BE49-F238E27FC236}">
                <a16:creationId xmlns:a16="http://schemas.microsoft.com/office/drawing/2014/main" id="{B9954EE1-FD63-4BD0-9FDF-B40976486661}"/>
              </a:ext>
            </a:extLst>
          </xdr:cNvPr>
          <xdr:cNvSpPr>
            <a:spLocks noChangeShapeType="1"/>
          </xdr:cNvSpPr>
        </xdr:nvSpPr>
        <xdr:spPr bwMode="auto">
          <a:xfrm>
            <a:off x="3644611" y="17699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3">
            <a:extLst>
              <a:ext uri="{FF2B5EF4-FFF2-40B4-BE49-F238E27FC236}">
                <a16:creationId xmlns:a16="http://schemas.microsoft.com/office/drawing/2014/main" id="{5C81095A-7FD5-4BAA-AF3E-4304D97591F0}"/>
              </a:ext>
            </a:extLst>
          </xdr:cNvPr>
          <xdr:cNvSpPr>
            <a:spLocks noChangeShapeType="1"/>
          </xdr:cNvSpPr>
        </xdr:nvSpPr>
        <xdr:spPr bwMode="auto">
          <a:xfrm flipV="1">
            <a:off x="3754677" y="535901"/>
            <a:ext cx="0" cy="176742"/>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3" name="Line 22">
            <a:extLst>
              <a:ext uri="{FF2B5EF4-FFF2-40B4-BE49-F238E27FC236}">
                <a16:creationId xmlns:a16="http://schemas.microsoft.com/office/drawing/2014/main" id="{E9BA32FF-7920-4CD9-BA86-3365AB3D2702}"/>
              </a:ext>
            </a:extLst>
          </xdr:cNvPr>
          <xdr:cNvSpPr>
            <a:spLocks noChangeShapeType="1"/>
          </xdr:cNvSpPr>
        </xdr:nvSpPr>
        <xdr:spPr bwMode="auto">
          <a:xfrm flipV="1">
            <a:off x="3129395" y="535901"/>
            <a:ext cx="0" cy="100995"/>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4" name="Line 23">
            <a:extLst>
              <a:ext uri="{FF2B5EF4-FFF2-40B4-BE49-F238E27FC236}">
                <a16:creationId xmlns:a16="http://schemas.microsoft.com/office/drawing/2014/main" id="{C6245D53-52E6-44A5-ADD5-2579B9153AC3}"/>
              </a:ext>
            </a:extLst>
          </xdr:cNvPr>
          <xdr:cNvSpPr>
            <a:spLocks noChangeShapeType="1"/>
          </xdr:cNvSpPr>
        </xdr:nvSpPr>
        <xdr:spPr bwMode="auto">
          <a:xfrm>
            <a:off x="3129395" y="535901"/>
            <a:ext cx="625282"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25" name="Line 24">
            <a:extLst>
              <a:ext uri="{FF2B5EF4-FFF2-40B4-BE49-F238E27FC236}">
                <a16:creationId xmlns:a16="http://schemas.microsoft.com/office/drawing/2014/main" id="{F4DECC96-66E2-46F6-8E50-162DD83DAE4D}"/>
              </a:ext>
            </a:extLst>
          </xdr:cNvPr>
          <xdr:cNvSpPr>
            <a:spLocks noChangeShapeType="1"/>
          </xdr:cNvSpPr>
        </xdr:nvSpPr>
        <xdr:spPr bwMode="auto">
          <a:xfrm flipH="1">
            <a:off x="2499014" y="931718"/>
            <a:ext cx="5723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6" name="Line 25">
            <a:extLst>
              <a:ext uri="{FF2B5EF4-FFF2-40B4-BE49-F238E27FC236}">
                <a16:creationId xmlns:a16="http://schemas.microsoft.com/office/drawing/2014/main" id="{E8004CDF-1E73-41B5-AB0E-690939194094}"/>
              </a:ext>
            </a:extLst>
          </xdr:cNvPr>
          <xdr:cNvSpPr>
            <a:spLocks noChangeShapeType="1"/>
          </xdr:cNvSpPr>
        </xdr:nvSpPr>
        <xdr:spPr bwMode="auto">
          <a:xfrm flipH="1">
            <a:off x="2499014" y="1731818"/>
            <a:ext cx="1030431"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7" name="Line 26">
            <a:extLst>
              <a:ext uri="{FF2B5EF4-FFF2-40B4-BE49-F238E27FC236}">
                <a16:creationId xmlns:a16="http://schemas.microsoft.com/office/drawing/2014/main" id="{37A2750F-7A13-49D2-9136-C198D921BE8A}"/>
              </a:ext>
            </a:extLst>
          </xdr:cNvPr>
          <xdr:cNvSpPr>
            <a:spLocks noChangeShapeType="1"/>
          </xdr:cNvSpPr>
        </xdr:nvSpPr>
        <xdr:spPr bwMode="auto">
          <a:xfrm flipV="1">
            <a:off x="2499014" y="931717"/>
            <a:ext cx="0" cy="809625"/>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28" name="Line 27">
            <a:extLst>
              <a:ext uri="{FF2B5EF4-FFF2-40B4-BE49-F238E27FC236}">
                <a16:creationId xmlns:a16="http://schemas.microsoft.com/office/drawing/2014/main" id="{715C1783-9F99-418C-ADDC-A93B9F494B05}"/>
              </a:ext>
            </a:extLst>
          </xdr:cNvPr>
          <xdr:cNvSpPr>
            <a:spLocks noChangeShapeType="1"/>
          </xdr:cNvSpPr>
        </xdr:nvSpPr>
        <xdr:spPr bwMode="auto">
          <a:xfrm flipH="1">
            <a:off x="2728480" y="1388918"/>
            <a:ext cx="80096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9" name="Line 28">
            <a:extLst>
              <a:ext uri="{FF2B5EF4-FFF2-40B4-BE49-F238E27FC236}">
                <a16:creationId xmlns:a16="http://schemas.microsoft.com/office/drawing/2014/main" id="{E64A708A-E6BC-40D0-B124-551376B71AFE}"/>
              </a:ext>
            </a:extLst>
          </xdr:cNvPr>
          <xdr:cNvSpPr>
            <a:spLocks noChangeShapeType="1"/>
          </xdr:cNvSpPr>
        </xdr:nvSpPr>
        <xdr:spPr bwMode="auto">
          <a:xfrm flipV="1">
            <a:off x="2728480" y="1388918"/>
            <a:ext cx="0" cy="34290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30" name="Line 29">
            <a:extLst>
              <a:ext uri="{FF2B5EF4-FFF2-40B4-BE49-F238E27FC236}">
                <a16:creationId xmlns:a16="http://schemas.microsoft.com/office/drawing/2014/main" id="{A1574270-7239-4D36-98CA-41BBFBC6B50E}"/>
              </a:ext>
            </a:extLst>
          </xdr:cNvPr>
          <xdr:cNvSpPr>
            <a:spLocks noChangeShapeType="1"/>
          </xdr:cNvSpPr>
        </xdr:nvSpPr>
        <xdr:spPr bwMode="auto">
          <a:xfrm flipV="1">
            <a:off x="2728480" y="1088881"/>
            <a:ext cx="0" cy="296574"/>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31" name="Line 30">
            <a:extLst>
              <a:ext uri="{FF2B5EF4-FFF2-40B4-BE49-F238E27FC236}">
                <a16:creationId xmlns:a16="http://schemas.microsoft.com/office/drawing/2014/main" id="{4E3D2A1B-1F11-478B-B0F3-3BFAF21AC55D}"/>
              </a:ext>
            </a:extLst>
          </xdr:cNvPr>
          <xdr:cNvSpPr>
            <a:spLocks noChangeShapeType="1"/>
          </xdr:cNvSpPr>
        </xdr:nvSpPr>
        <xdr:spPr bwMode="auto">
          <a:xfrm flipH="1">
            <a:off x="2728480" y="1093643"/>
            <a:ext cx="85811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32" name="テキスト 63">
            <a:extLst>
              <a:ext uri="{FF2B5EF4-FFF2-40B4-BE49-F238E27FC236}">
                <a16:creationId xmlns:a16="http://schemas.microsoft.com/office/drawing/2014/main" id="{E29DB24D-717B-4F3F-9A17-D1DFC561946D}"/>
              </a:ext>
            </a:extLst>
          </xdr:cNvPr>
          <xdr:cNvSpPr txBox="1">
            <a:spLocks noChangeArrowheads="1"/>
          </xdr:cNvSpPr>
        </xdr:nvSpPr>
        <xdr:spPr bwMode="auto">
          <a:xfrm>
            <a:off x="2346614" y="1222232"/>
            <a:ext cx="190500" cy="138112"/>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3" name="テキスト 64">
            <a:extLst>
              <a:ext uri="{FF2B5EF4-FFF2-40B4-BE49-F238E27FC236}">
                <a16:creationId xmlns:a16="http://schemas.microsoft.com/office/drawing/2014/main" id="{9B00DF71-E0F3-49E7-8D56-8458C6DBD281}"/>
              </a:ext>
            </a:extLst>
          </xdr:cNvPr>
          <xdr:cNvSpPr txBox="1">
            <a:spLocks noChangeArrowheads="1"/>
          </xdr:cNvSpPr>
        </xdr:nvSpPr>
        <xdr:spPr bwMode="auto">
          <a:xfrm>
            <a:off x="2576080" y="1198418"/>
            <a:ext cx="209550" cy="1238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4" name="テキスト 65">
            <a:extLst>
              <a:ext uri="{FF2B5EF4-FFF2-40B4-BE49-F238E27FC236}">
                <a16:creationId xmlns:a16="http://schemas.microsoft.com/office/drawing/2014/main" id="{B8FD14C2-186C-4BBA-AAC6-F96505B0D30C}"/>
              </a:ext>
            </a:extLst>
          </xdr:cNvPr>
          <xdr:cNvSpPr txBox="1">
            <a:spLocks noChangeArrowheads="1"/>
          </xdr:cNvSpPr>
        </xdr:nvSpPr>
        <xdr:spPr bwMode="auto">
          <a:xfrm>
            <a:off x="2576080" y="1450831"/>
            <a:ext cx="209550" cy="1905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5" name="テキスト 66">
            <a:extLst>
              <a:ext uri="{FF2B5EF4-FFF2-40B4-BE49-F238E27FC236}">
                <a16:creationId xmlns:a16="http://schemas.microsoft.com/office/drawing/2014/main" id="{87385D6C-42C0-4B46-925F-9F411A3CBF1E}"/>
              </a:ext>
            </a:extLst>
          </xdr:cNvPr>
          <xdr:cNvSpPr txBox="1">
            <a:spLocks noChangeArrowheads="1"/>
          </xdr:cNvSpPr>
        </xdr:nvSpPr>
        <xdr:spPr bwMode="auto">
          <a:xfrm>
            <a:off x="3359856" y="371637"/>
            <a:ext cx="133606" cy="20364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W</a:t>
            </a:r>
            <a:endParaRPr lang="ja-JP" altLang="en-US"/>
          </a:p>
        </xdr:txBody>
      </xdr:sp>
    </xdr:grpSp>
    <xdr:clientData/>
  </xdr:twoCellAnchor>
  <xdr:twoCellAnchor>
    <xdr:from>
      <xdr:col>8</xdr:col>
      <xdr:colOff>152399</xdr:colOff>
      <xdr:row>3</xdr:row>
      <xdr:rowOff>24246</xdr:rowOff>
    </xdr:from>
    <xdr:to>
      <xdr:col>13</xdr:col>
      <xdr:colOff>304799</xdr:colOff>
      <xdr:row>8</xdr:row>
      <xdr:rowOff>50827</xdr:rowOff>
    </xdr:to>
    <xdr:grpSp>
      <xdr:nvGrpSpPr>
        <xdr:cNvPr id="36" name="グループ化 35">
          <a:extLst>
            <a:ext uri="{FF2B5EF4-FFF2-40B4-BE49-F238E27FC236}">
              <a16:creationId xmlns:a16="http://schemas.microsoft.com/office/drawing/2014/main" id="{9C31622B-415B-406E-B0B4-F767EC8A4354}"/>
            </a:ext>
          </a:extLst>
        </xdr:cNvPr>
        <xdr:cNvGrpSpPr/>
      </xdr:nvGrpSpPr>
      <xdr:grpSpPr>
        <a:xfrm>
          <a:off x="4267199" y="729096"/>
          <a:ext cx="2724150" cy="979081"/>
          <a:chOff x="4274127" y="855518"/>
          <a:chExt cx="2728480" cy="979081"/>
        </a:xfrm>
      </xdr:grpSpPr>
      <xdr:sp macro="" textlink="">
        <xdr:nvSpPr>
          <xdr:cNvPr id="37" name="Line 37">
            <a:extLst>
              <a:ext uri="{FF2B5EF4-FFF2-40B4-BE49-F238E27FC236}">
                <a16:creationId xmlns:a16="http://schemas.microsoft.com/office/drawing/2014/main" id="{717D56FE-055A-47D0-A357-F24BF2E8E7F9}"/>
              </a:ext>
            </a:extLst>
          </xdr:cNvPr>
          <xdr:cNvSpPr>
            <a:spLocks noChangeShapeType="1"/>
          </xdr:cNvSpPr>
        </xdr:nvSpPr>
        <xdr:spPr bwMode="auto">
          <a:xfrm>
            <a:off x="4770293" y="855518"/>
            <a:ext cx="6295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 name="Line 38">
            <a:extLst>
              <a:ext uri="{FF2B5EF4-FFF2-40B4-BE49-F238E27FC236}">
                <a16:creationId xmlns:a16="http://schemas.microsoft.com/office/drawing/2014/main" id="{6CF2D10A-09CB-4460-8551-7A682EE98117}"/>
              </a:ext>
            </a:extLst>
          </xdr:cNvPr>
          <xdr:cNvSpPr>
            <a:spLocks noChangeShapeType="1"/>
          </xdr:cNvSpPr>
        </xdr:nvSpPr>
        <xdr:spPr bwMode="auto">
          <a:xfrm>
            <a:off x="5399809" y="855518"/>
            <a:ext cx="0" cy="1151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 name="Line 39">
            <a:extLst>
              <a:ext uri="{FF2B5EF4-FFF2-40B4-BE49-F238E27FC236}">
                <a16:creationId xmlns:a16="http://schemas.microsoft.com/office/drawing/2014/main" id="{DB124A60-5104-4A47-B20F-67BB71C9068E}"/>
              </a:ext>
            </a:extLst>
          </xdr:cNvPr>
          <xdr:cNvSpPr>
            <a:spLocks noChangeShapeType="1"/>
          </xdr:cNvSpPr>
        </xdr:nvSpPr>
        <xdr:spPr bwMode="auto">
          <a:xfrm flipH="1">
            <a:off x="4998893" y="970704"/>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 name="Line 40">
            <a:extLst>
              <a:ext uri="{FF2B5EF4-FFF2-40B4-BE49-F238E27FC236}">
                <a16:creationId xmlns:a16="http://schemas.microsoft.com/office/drawing/2014/main" id="{0075764F-3D3F-4A24-B37F-0C69D0264FA4}"/>
              </a:ext>
            </a:extLst>
          </xdr:cNvPr>
          <xdr:cNvSpPr>
            <a:spLocks noChangeShapeType="1"/>
          </xdr:cNvSpPr>
        </xdr:nvSpPr>
        <xdr:spPr bwMode="auto">
          <a:xfrm>
            <a:off x="4998893"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 name="Line 41">
            <a:extLst>
              <a:ext uri="{FF2B5EF4-FFF2-40B4-BE49-F238E27FC236}">
                <a16:creationId xmlns:a16="http://schemas.microsoft.com/office/drawing/2014/main" id="{5064BF4F-52DB-49B0-9277-B3F31A1C83C5}"/>
              </a:ext>
            </a:extLst>
          </xdr:cNvPr>
          <xdr:cNvSpPr>
            <a:spLocks noChangeShapeType="1"/>
          </xdr:cNvSpPr>
        </xdr:nvSpPr>
        <xdr:spPr bwMode="auto">
          <a:xfrm flipH="1">
            <a:off x="4884593" y="1201076"/>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 name="Line 42">
            <a:extLst>
              <a:ext uri="{FF2B5EF4-FFF2-40B4-BE49-F238E27FC236}">
                <a16:creationId xmlns:a16="http://schemas.microsoft.com/office/drawing/2014/main" id="{02DCA74C-8924-463F-A7E4-052E2BAB258F}"/>
              </a:ext>
            </a:extLst>
          </xdr:cNvPr>
          <xdr:cNvSpPr>
            <a:spLocks noChangeShapeType="1"/>
          </xdr:cNvSpPr>
        </xdr:nvSpPr>
        <xdr:spPr bwMode="auto">
          <a:xfrm flipV="1">
            <a:off x="4884593"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 name="Line 43">
            <a:extLst>
              <a:ext uri="{FF2B5EF4-FFF2-40B4-BE49-F238E27FC236}">
                <a16:creationId xmlns:a16="http://schemas.microsoft.com/office/drawing/2014/main" id="{E2E9F286-FF51-4B98-AE8C-C54EF7EFF889}"/>
              </a:ext>
            </a:extLst>
          </xdr:cNvPr>
          <xdr:cNvSpPr>
            <a:spLocks noChangeShapeType="1"/>
          </xdr:cNvSpPr>
        </xdr:nvSpPr>
        <xdr:spPr bwMode="auto">
          <a:xfrm flipH="1">
            <a:off x="4770293" y="970704"/>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4" name="Line 44">
            <a:extLst>
              <a:ext uri="{FF2B5EF4-FFF2-40B4-BE49-F238E27FC236}">
                <a16:creationId xmlns:a16="http://schemas.microsoft.com/office/drawing/2014/main" id="{7D444B53-5727-4F97-AAC9-0D120AF561AE}"/>
              </a:ext>
            </a:extLst>
          </xdr:cNvPr>
          <xdr:cNvSpPr>
            <a:spLocks noChangeShapeType="1"/>
          </xdr:cNvSpPr>
        </xdr:nvSpPr>
        <xdr:spPr bwMode="auto">
          <a:xfrm flipV="1">
            <a:off x="6315941" y="855518"/>
            <a:ext cx="6866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5" name="Line 45">
            <a:extLst>
              <a:ext uri="{FF2B5EF4-FFF2-40B4-BE49-F238E27FC236}">
                <a16:creationId xmlns:a16="http://schemas.microsoft.com/office/drawing/2014/main" id="{E5DAC8B2-AA11-4A99-8CB8-A45FFEACCD1B}"/>
              </a:ext>
            </a:extLst>
          </xdr:cNvPr>
          <xdr:cNvSpPr>
            <a:spLocks noChangeShapeType="1"/>
          </xdr:cNvSpPr>
        </xdr:nvSpPr>
        <xdr:spPr bwMode="auto">
          <a:xfrm>
            <a:off x="6315941" y="855518"/>
            <a:ext cx="0" cy="1151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6" name="Line 46">
            <a:extLst>
              <a:ext uri="{FF2B5EF4-FFF2-40B4-BE49-F238E27FC236}">
                <a16:creationId xmlns:a16="http://schemas.microsoft.com/office/drawing/2014/main" id="{7B9FF651-6115-4842-8809-52D047AB14C4}"/>
              </a:ext>
            </a:extLst>
          </xdr:cNvPr>
          <xdr:cNvSpPr>
            <a:spLocks noChangeShapeType="1"/>
          </xdr:cNvSpPr>
        </xdr:nvSpPr>
        <xdr:spPr bwMode="auto">
          <a:xfrm>
            <a:off x="6315941" y="970704"/>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7" name="Line 47">
            <a:extLst>
              <a:ext uri="{FF2B5EF4-FFF2-40B4-BE49-F238E27FC236}">
                <a16:creationId xmlns:a16="http://schemas.microsoft.com/office/drawing/2014/main" id="{D9BDDC6C-1C05-4731-871C-731D29DDE405}"/>
              </a:ext>
            </a:extLst>
          </xdr:cNvPr>
          <xdr:cNvSpPr>
            <a:spLocks noChangeShapeType="1"/>
          </xdr:cNvSpPr>
        </xdr:nvSpPr>
        <xdr:spPr bwMode="auto">
          <a:xfrm>
            <a:off x="5399809" y="913111"/>
            <a:ext cx="916132" cy="0"/>
          </a:xfrm>
          <a:prstGeom prst="line">
            <a:avLst/>
          </a:prstGeom>
          <a:noFill/>
          <a:ln w="1">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48" name="Line 48">
            <a:extLst>
              <a:ext uri="{FF2B5EF4-FFF2-40B4-BE49-F238E27FC236}">
                <a16:creationId xmlns:a16="http://schemas.microsoft.com/office/drawing/2014/main" id="{FEB75473-A2A8-4843-A6B1-FE8EE763FDA8}"/>
              </a:ext>
            </a:extLst>
          </xdr:cNvPr>
          <xdr:cNvSpPr>
            <a:spLocks noChangeShapeType="1"/>
          </xdr:cNvSpPr>
        </xdr:nvSpPr>
        <xdr:spPr bwMode="auto">
          <a:xfrm>
            <a:off x="6831157"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9" name="Line 49">
            <a:extLst>
              <a:ext uri="{FF2B5EF4-FFF2-40B4-BE49-F238E27FC236}">
                <a16:creationId xmlns:a16="http://schemas.microsoft.com/office/drawing/2014/main" id="{02EC311F-E80F-43C5-97C1-AAB6E1D0847C}"/>
              </a:ext>
            </a:extLst>
          </xdr:cNvPr>
          <xdr:cNvSpPr>
            <a:spLocks noChangeShapeType="1"/>
          </xdr:cNvSpPr>
        </xdr:nvSpPr>
        <xdr:spPr bwMode="auto">
          <a:xfrm flipH="1">
            <a:off x="6716857" y="1201076"/>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0" name="Line 50">
            <a:extLst>
              <a:ext uri="{FF2B5EF4-FFF2-40B4-BE49-F238E27FC236}">
                <a16:creationId xmlns:a16="http://schemas.microsoft.com/office/drawing/2014/main" id="{0A11020B-E1C2-4005-825F-F5D551FA2AFC}"/>
              </a:ext>
            </a:extLst>
          </xdr:cNvPr>
          <xdr:cNvSpPr>
            <a:spLocks noChangeShapeType="1"/>
          </xdr:cNvSpPr>
        </xdr:nvSpPr>
        <xdr:spPr bwMode="auto">
          <a:xfrm flipV="1">
            <a:off x="6716857"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1" name="Line 51">
            <a:extLst>
              <a:ext uri="{FF2B5EF4-FFF2-40B4-BE49-F238E27FC236}">
                <a16:creationId xmlns:a16="http://schemas.microsoft.com/office/drawing/2014/main" id="{573D1DB2-E552-4B2E-A376-A944422D49A2}"/>
              </a:ext>
            </a:extLst>
          </xdr:cNvPr>
          <xdr:cNvSpPr>
            <a:spLocks noChangeShapeType="1"/>
          </xdr:cNvSpPr>
        </xdr:nvSpPr>
        <xdr:spPr bwMode="auto">
          <a:xfrm>
            <a:off x="6831157" y="970704"/>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2" name="Line 52">
            <a:extLst>
              <a:ext uri="{FF2B5EF4-FFF2-40B4-BE49-F238E27FC236}">
                <a16:creationId xmlns:a16="http://schemas.microsoft.com/office/drawing/2014/main" id="{B754DCE7-556C-4E7F-B429-4F0B6CCBDAFF}"/>
              </a:ext>
            </a:extLst>
          </xdr:cNvPr>
          <xdr:cNvSpPr>
            <a:spLocks noChangeShapeType="1"/>
          </xdr:cNvSpPr>
        </xdr:nvSpPr>
        <xdr:spPr bwMode="auto">
          <a:xfrm>
            <a:off x="5399809" y="1028297"/>
            <a:ext cx="0" cy="460744"/>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3" name="Line 53">
            <a:extLst>
              <a:ext uri="{FF2B5EF4-FFF2-40B4-BE49-F238E27FC236}">
                <a16:creationId xmlns:a16="http://schemas.microsoft.com/office/drawing/2014/main" id="{54DD631F-512C-43C7-817F-4C723E1F7ED4}"/>
              </a:ext>
            </a:extLst>
          </xdr:cNvPr>
          <xdr:cNvSpPr>
            <a:spLocks noChangeShapeType="1"/>
          </xdr:cNvSpPr>
        </xdr:nvSpPr>
        <xdr:spPr bwMode="auto">
          <a:xfrm>
            <a:off x="6315941" y="1028297"/>
            <a:ext cx="0" cy="460744"/>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4" name="Line 54">
            <a:extLst>
              <a:ext uri="{FF2B5EF4-FFF2-40B4-BE49-F238E27FC236}">
                <a16:creationId xmlns:a16="http://schemas.microsoft.com/office/drawing/2014/main" id="{FEC78D6B-1B54-49DC-B691-20F5FD66EA6A}"/>
              </a:ext>
            </a:extLst>
          </xdr:cNvPr>
          <xdr:cNvSpPr>
            <a:spLocks noChangeShapeType="1"/>
          </xdr:cNvSpPr>
        </xdr:nvSpPr>
        <xdr:spPr bwMode="auto">
          <a:xfrm>
            <a:off x="4998893" y="1258669"/>
            <a:ext cx="0" cy="57593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5" name="Line 55">
            <a:extLst>
              <a:ext uri="{FF2B5EF4-FFF2-40B4-BE49-F238E27FC236}">
                <a16:creationId xmlns:a16="http://schemas.microsoft.com/office/drawing/2014/main" id="{F683B975-1F81-48CB-8D2C-37225AA06A09}"/>
              </a:ext>
            </a:extLst>
          </xdr:cNvPr>
          <xdr:cNvSpPr>
            <a:spLocks noChangeShapeType="1"/>
          </xdr:cNvSpPr>
        </xdr:nvSpPr>
        <xdr:spPr bwMode="auto">
          <a:xfrm>
            <a:off x="6716857" y="1258669"/>
            <a:ext cx="0" cy="57593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6" name="Line 56">
            <a:extLst>
              <a:ext uri="{FF2B5EF4-FFF2-40B4-BE49-F238E27FC236}">
                <a16:creationId xmlns:a16="http://schemas.microsoft.com/office/drawing/2014/main" id="{7F2B8174-CAFF-47A0-81F2-4023D9855465}"/>
              </a:ext>
            </a:extLst>
          </xdr:cNvPr>
          <xdr:cNvSpPr>
            <a:spLocks noChangeShapeType="1"/>
          </xdr:cNvSpPr>
        </xdr:nvSpPr>
        <xdr:spPr bwMode="auto">
          <a:xfrm flipH="1">
            <a:off x="4426527" y="913111"/>
            <a:ext cx="2294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7" name="Line 57">
            <a:extLst>
              <a:ext uri="{FF2B5EF4-FFF2-40B4-BE49-F238E27FC236}">
                <a16:creationId xmlns:a16="http://schemas.microsoft.com/office/drawing/2014/main" id="{8A49DAB4-DB0D-475F-B749-BDBDB93E9D9F}"/>
              </a:ext>
            </a:extLst>
          </xdr:cNvPr>
          <xdr:cNvSpPr>
            <a:spLocks noChangeShapeType="1"/>
          </xdr:cNvSpPr>
        </xdr:nvSpPr>
        <xdr:spPr bwMode="auto">
          <a:xfrm flipH="1">
            <a:off x="4426527" y="1201076"/>
            <a:ext cx="3437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8" name="Line 58">
            <a:extLst>
              <a:ext uri="{FF2B5EF4-FFF2-40B4-BE49-F238E27FC236}">
                <a16:creationId xmlns:a16="http://schemas.microsoft.com/office/drawing/2014/main" id="{FD5CC5A3-F833-482B-8857-CB1B47D196C1}"/>
              </a:ext>
            </a:extLst>
          </xdr:cNvPr>
          <xdr:cNvSpPr>
            <a:spLocks noChangeShapeType="1"/>
          </xdr:cNvSpPr>
        </xdr:nvSpPr>
        <xdr:spPr bwMode="auto">
          <a:xfrm>
            <a:off x="4998893" y="1489041"/>
            <a:ext cx="400916"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59" name="Line 59">
            <a:extLst>
              <a:ext uri="{FF2B5EF4-FFF2-40B4-BE49-F238E27FC236}">
                <a16:creationId xmlns:a16="http://schemas.microsoft.com/office/drawing/2014/main" id="{DFF5B1D6-CF8D-4025-90FD-A734924320CA}"/>
              </a:ext>
            </a:extLst>
          </xdr:cNvPr>
          <xdr:cNvSpPr>
            <a:spLocks noChangeShapeType="1"/>
          </xdr:cNvSpPr>
        </xdr:nvSpPr>
        <xdr:spPr bwMode="auto">
          <a:xfrm>
            <a:off x="5399809" y="1489041"/>
            <a:ext cx="916132"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0" name="Line 60">
            <a:extLst>
              <a:ext uri="{FF2B5EF4-FFF2-40B4-BE49-F238E27FC236}">
                <a16:creationId xmlns:a16="http://schemas.microsoft.com/office/drawing/2014/main" id="{4D69B106-020E-4300-B001-A9BF1B289222}"/>
              </a:ext>
            </a:extLst>
          </xdr:cNvPr>
          <xdr:cNvSpPr>
            <a:spLocks noChangeShapeType="1"/>
          </xdr:cNvSpPr>
        </xdr:nvSpPr>
        <xdr:spPr bwMode="auto">
          <a:xfrm>
            <a:off x="6315941" y="1489041"/>
            <a:ext cx="400916"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1" name="Line 61">
            <a:extLst>
              <a:ext uri="{FF2B5EF4-FFF2-40B4-BE49-F238E27FC236}">
                <a16:creationId xmlns:a16="http://schemas.microsoft.com/office/drawing/2014/main" id="{4B062F26-C98C-4C84-9F19-12DBAA012B5D}"/>
              </a:ext>
            </a:extLst>
          </xdr:cNvPr>
          <xdr:cNvSpPr>
            <a:spLocks noChangeShapeType="1"/>
          </xdr:cNvSpPr>
        </xdr:nvSpPr>
        <xdr:spPr bwMode="auto">
          <a:xfrm flipV="1">
            <a:off x="4426527" y="913111"/>
            <a:ext cx="0" cy="287965"/>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2" name="Line 62">
            <a:extLst>
              <a:ext uri="{FF2B5EF4-FFF2-40B4-BE49-F238E27FC236}">
                <a16:creationId xmlns:a16="http://schemas.microsoft.com/office/drawing/2014/main" id="{016B3C41-0ECF-40C1-9C5F-F8E4034207CD}"/>
              </a:ext>
            </a:extLst>
          </xdr:cNvPr>
          <xdr:cNvSpPr>
            <a:spLocks noChangeShapeType="1"/>
          </xdr:cNvSpPr>
        </xdr:nvSpPr>
        <xdr:spPr bwMode="auto">
          <a:xfrm>
            <a:off x="4998893" y="1777006"/>
            <a:ext cx="1717964"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3" name="テキスト 62">
            <a:extLst>
              <a:ext uri="{FF2B5EF4-FFF2-40B4-BE49-F238E27FC236}">
                <a16:creationId xmlns:a16="http://schemas.microsoft.com/office/drawing/2014/main" id="{5D3EC959-FA0C-4B07-87F6-05ED3D5E1E04}"/>
              </a:ext>
            </a:extLst>
          </xdr:cNvPr>
          <xdr:cNvSpPr txBox="1">
            <a:spLocks noChangeArrowheads="1"/>
          </xdr:cNvSpPr>
        </xdr:nvSpPr>
        <xdr:spPr bwMode="auto">
          <a:xfrm>
            <a:off x="4274127" y="1018698"/>
            <a:ext cx="180975" cy="105587"/>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18288" rIns="27432" bIns="18288" anchor="ctr" upright="1"/>
          <a:lstStyle/>
          <a:p>
            <a:pPr algn="ctr" rtl="0">
              <a:defRPr sz="1000"/>
            </a:pPr>
            <a:r>
              <a:rPr lang="ja-JP" altLang="en-US" sz="1000" b="0" i="0" u="none" strike="noStrike" baseline="0">
                <a:solidFill>
                  <a:srgbClr val="000000"/>
                </a:solidFill>
                <a:latin typeface="ＭＳ ゴシック"/>
                <a:ea typeface="ＭＳ ゴシック"/>
              </a:rPr>
              <a:t>V</a:t>
            </a:r>
            <a:endParaRPr lang="ja-JP" altLang="en-US"/>
          </a:p>
        </xdr:txBody>
      </xdr:sp>
      <xdr:sp macro="" textlink="">
        <xdr:nvSpPr>
          <xdr:cNvPr id="64" name="テキスト 67">
            <a:extLst>
              <a:ext uri="{FF2B5EF4-FFF2-40B4-BE49-F238E27FC236}">
                <a16:creationId xmlns:a16="http://schemas.microsoft.com/office/drawing/2014/main" id="{E47EC6F0-0824-4478-A043-31F1C6B677E6}"/>
              </a:ext>
            </a:extLst>
          </xdr:cNvPr>
          <xdr:cNvSpPr txBox="1">
            <a:spLocks noChangeArrowheads="1"/>
          </xdr:cNvSpPr>
        </xdr:nvSpPr>
        <xdr:spPr bwMode="auto">
          <a:xfrm>
            <a:off x="5132243" y="1306663"/>
            <a:ext cx="162791"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5" name="テキスト 68">
            <a:extLst>
              <a:ext uri="{FF2B5EF4-FFF2-40B4-BE49-F238E27FC236}">
                <a16:creationId xmlns:a16="http://schemas.microsoft.com/office/drawing/2014/main" id="{CCEB97FC-EB4C-4ABB-B835-0A6F69300B17}"/>
              </a:ext>
            </a:extLst>
          </xdr:cNvPr>
          <xdr:cNvSpPr txBox="1">
            <a:spLocks noChangeArrowheads="1"/>
          </xdr:cNvSpPr>
        </xdr:nvSpPr>
        <xdr:spPr bwMode="auto">
          <a:xfrm>
            <a:off x="5791200" y="1306663"/>
            <a:ext cx="10477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6" name="テキスト 69">
            <a:extLst>
              <a:ext uri="{FF2B5EF4-FFF2-40B4-BE49-F238E27FC236}">
                <a16:creationId xmlns:a16="http://schemas.microsoft.com/office/drawing/2014/main" id="{0EC5F1F7-1D11-4C6F-9973-A59B92FA1BB6}"/>
              </a:ext>
            </a:extLst>
          </xdr:cNvPr>
          <xdr:cNvSpPr txBox="1">
            <a:spLocks noChangeArrowheads="1"/>
          </xdr:cNvSpPr>
        </xdr:nvSpPr>
        <xdr:spPr bwMode="auto">
          <a:xfrm>
            <a:off x="6439766" y="1306663"/>
            <a:ext cx="16192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7" name="テキスト 70">
            <a:extLst>
              <a:ext uri="{FF2B5EF4-FFF2-40B4-BE49-F238E27FC236}">
                <a16:creationId xmlns:a16="http://schemas.microsoft.com/office/drawing/2014/main" id="{2AA8E6F5-C9ED-41BC-BC5C-CA4CD366F1DA}"/>
              </a:ext>
            </a:extLst>
          </xdr:cNvPr>
          <xdr:cNvSpPr txBox="1">
            <a:spLocks noChangeArrowheads="1"/>
          </xdr:cNvSpPr>
        </xdr:nvSpPr>
        <xdr:spPr bwMode="auto">
          <a:xfrm>
            <a:off x="5791200" y="1565832"/>
            <a:ext cx="10477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176927</xdr:colOff>
      <xdr:row>118</xdr:row>
      <xdr:rowOff>144538</xdr:rowOff>
    </xdr:from>
    <xdr:to>
      <xdr:col>6</xdr:col>
      <xdr:colOff>1117044</xdr:colOff>
      <xdr:row>121</xdr:row>
      <xdr:rowOff>128589</xdr:rowOff>
    </xdr:to>
    <xdr:sp macro="" textlink="">
      <xdr:nvSpPr>
        <xdr:cNvPr id="138" name="正方形/長方形 137">
          <a:extLst>
            <a:ext uri="{FF2B5EF4-FFF2-40B4-BE49-F238E27FC236}">
              <a16:creationId xmlns:a16="http://schemas.microsoft.com/office/drawing/2014/main" id="{F385C9E3-FB05-4534-BD5A-57D6EAA818FF}"/>
            </a:ext>
          </a:extLst>
        </xdr:cNvPr>
        <xdr:cNvSpPr/>
      </xdr:nvSpPr>
      <xdr:spPr>
        <a:xfrm>
          <a:off x="5177552" y="20347063"/>
          <a:ext cx="940117" cy="498401"/>
        </a:xfrm>
        <a:prstGeom prst="rect">
          <a:avLst/>
        </a:prstGeom>
        <a:pattFill prst="weave">
          <a:fgClr>
            <a:srgbClr xmlns:mc="http://schemas.openxmlformats.org/markup-compatibility/2006" xmlns:a14="http://schemas.microsoft.com/office/drawing/2010/main" val="800000" mc:Ignorable="a14" a14:legacySpreadsheetColorIndex="16"/>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800000" mc:Ignorable="a14" a14:legacySpreadsheetColorIndex="16"/>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117</xdr:row>
      <xdr:rowOff>166467</xdr:rowOff>
    </xdr:from>
    <xdr:to>
      <xdr:col>6</xdr:col>
      <xdr:colOff>1117044</xdr:colOff>
      <xdr:row>118</xdr:row>
      <xdr:rowOff>144538</xdr:rowOff>
    </xdr:to>
    <xdr:sp macro="" textlink="">
      <xdr:nvSpPr>
        <xdr:cNvPr id="136" name="正方形/長方形 135">
          <a:extLst>
            <a:ext uri="{FF2B5EF4-FFF2-40B4-BE49-F238E27FC236}">
              <a16:creationId xmlns:a16="http://schemas.microsoft.com/office/drawing/2014/main" id="{EE668B4F-C835-4724-A97B-93EDBDDA01E7}"/>
            </a:ext>
          </a:extLst>
        </xdr:cNvPr>
        <xdr:cNvSpPr/>
      </xdr:nvSpPr>
      <xdr:spPr>
        <a:xfrm>
          <a:off x="5177552" y="20197542"/>
          <a:ext cx="940117" cy="149521"/>
        </a:xfrm>
        <a:prstGeom prst="rect">
          <a:avLst/>
        </a:prstGeom>
        <a:pattFill prst="lgConfetti">
          <a:fgClr>
            <a:srgbClr xmlns:mc="http://schemas.openxmlformats.org/markup-compatibility/2006" xmlns:a14="http://schemas.microsoft.com/office/drawing/2010/main" val="808080" mc:Ignorable="a14" a14:legacySpreadsheetColorIndex="23"/>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808080" mc:Ignorable="a14" a14:legacySpreadsheetColorIndex="2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117</xdr:row>
      <xdr:rowOff>16946</xdr:rowOff>
    </xdr:from>
    <xdr:to>
      <xdr:col>6</xdr:col>
      <xdr:colOff>1117044</xdr:colOff>
      <xdr:row>117</xdr:row>
      <xdr:rowOff>166467</xdr:rowOff>
    </xdr:to>
    <xdr:sp macro="" textlink="">
      <xdr:nvSpPr>
        <xdr:cNvPr id="134" name="正方形/長方形 133">
          <a:extLst>
            <a:ext uri="{FF2B5EF4-FFF2-40B4-BE49-F238E27FC236}">
              <a16:creationId xmlns:a16="http://schemas.microsoft.com/office/drawing/2014/main" id="{089427FD-1036-4616-B0B1-D3D5810ABF3E}"/>
            </a:ext>
          </a:extLst>
        </xdr:cNvPr>
        <xdr:cNvSpPr/>
      </xdr:nvSpPr>
      <xdr:spPr>
        <a:xfrm>
          <a:off x="5177552" y="20048021"/>
          <a:ext cx="940117" cy="149521"/>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114</xdr:row>
      <xdr:rowOff>82734</xdr:rowOff>
    </xdr:from>
    <xdr:to>
      <xdr:col>6</xdr:col>
      <xdr:colOff>1117044</xdr:colOff>
      <xdr:row>115</xdr:row>
      <xdr:rowOff>60806</xdr:rowOff>
    </xdr:to>
    <xdr:sp macro="" textlink="">
      <xdr:nvSpPr>
        <xdr:cNvPr id="131" name="正方形/長方形 130">
          <a:extLst>
            <a:ext uri="{FF2B5EF4-FFF2-40B4-BE49-F238E27FC236}">
              <a16:creationId xmlns:a16="http://schemas.microsoft.com/office/drawing/2014/main" id="{68E97E88-49EF-499E-916B-FB5DDAB695EE}"/>
            </a:ext>
          </a:extLst>
        </xdr:cNvPr>
        <xdr:cNvSpPr/>
      </xdr:nvSpPr>
      <xdr:spPr>
        <a:xfrm>
          <a:off x="5177552" y="19599459"/>
          <a:ext cx="940117" cy="149522"/>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114</xdr:row>
      <xdr:rowOff>52831</xdr:rowOff>
    </xdr:from>
    <xdr:to>
      <xdr:col>6</xdr:col>
      <xdr:colOff>1117044</xdr:colOff>
      <xdr:row>114</xdr:row>
      <xdr:rowOff>82734</xdr:rowOff>
    </xdr:to>
    <xdr:sp macro="" textlink="">
      <xdr:nvSpPr>
        <xdr:cNvPr id="129" name="正方形/長方形 128">
          <a:extLst>
            <a:ext uri="{FF2B5EF4-FFF2-40B4-BE49-F238E27FC236}">
              <a16:creationId xmlns:a16="http://schemas.microsoft.com/office/drawing/2014/main" id="{5216EB3E-D252-463E-B778-8CF725958DB8}"/>
            </a:ext>
          </a:extLst>
        </xdr:cNvPr>
        <xdr:cNvSpPr/>
      </xdr:nvSpPr>
      <xdr:spPr>
        <a:xfrm>
          <a:off x="5177552" y="19569556"/>
          <a:ext cx="940117" cy="29903"/>
        </a:xfrm>
        <a:prstGeom prst="rect">
          <a:avLst/>
        </a:prstGeom>
        <a:pattFill prst="smConfetti">
          <a:fgClr>
            <a:srgbClr xmlns:mc="http://schemas.openxmlformats.org/markup-compatibility/2006" xmlns:a14="http://schemas.microsoft.com/office/drawing/2010/main" val="FFCC00" mc:Ignorable="a14" a14:legacySpreadsheetColorIndex="5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00" mc:Ignorable="a14" a14:legacySpreadsheetColorIndex="5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114</xdr:row>
      <xdr:rowOff>42863</xdr:rowOff>
    </xdr:from>
    <xdr:to>
      <xdr:col>6</xdr:col>
      <xdr:colOff>1117044</xdr:colOff>
      <xdr:row>114</xdr:row>
      <xdr:rowOff>52831</xdr:rowOff>
    </xdr:to>
    <xdr:sp macro="" textlink="">
      <xdr:nvSpPr>
        <xdr:cNvPr id="127" name="正方形/長方形 126">
          <a:extLst>
            <a:ext uri="{FF2B5EF4-FFF2-40B4-BE49-F238E27FC236}">
              <a16:creationId xmlns:a16="http://schemas.microsoft.com/office/drawing/2014/main" id="{1038184D-5AEB-46F3-A692-A3FC462EA013}"/>
            </a:ext>
          </a:extLst>
        </xdr:cNvPr>
        <xdr:cNvSpPr/>
      </xdr:nvSpPr>
      <xdr:spPr>
        <a:xfrm>
          <a:off x="5177552" y="19559588"/>
          <a:ext cx="940117" cy="9968"/>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134</xdr:row>
      <xdr:rowOff>48985</xdr:rowOff>
    </xdr:from>
    <xdr:to>
      <xdr:col>0</xdr:col>
      <xdr:colOff>1117044</xdr:colOff>
      <xdr:row>138</xdr:row>
      <xdr:rowOff>128586</xdr:rowOff>
    </xdr:to>
    <xdr:sp macro="" textlink="">
      <xdr:nvSpPr>
        <xdr:cNvPr id="124" name="正方形/長方形 123">
          <a:extLst>
            <a:ext uri="{FF2B5EF4-FFF2-40B4-BE49-F238E27FC236}">
              <a16:creationId xmlns:a16="http://schemas.microsoft.com/office/drawing/2014/main" id="{0E76D672-EF8D-4113-82C3-B4FDF6EAB3A5}"/>
            </a:ext>
          </a:extLst>
        </xdr:cNvPr>
        <xdr:cNvSpPr/>
      </xdr:nvSpPr>
      <xdr:spPr>
        <a:xfrm>
          <a:off x="176927" y="22994710"/>
          <a:ext cx="940117" cy="765401"/>
        </a:xfrm>
        <a:prstGeom prst="rect">
          <a:avLst/>
        </a:prstGeom>
        <a:pattFill prst="weave">
          <a:fgClr>
            <a:srgbClr xmlns:mc="http://schemas.openxmlformats.org/markup-compatibility/2006" xmlns:a14="http://schemas.microsoft.com/office/drawing/2010/main" val="800000" mc:Ignorable="a14" a14:legacySpreadsheetColorIndex="16"/>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800000" mc:Ignorable="a14" a14:legacySpreadsheetColorIndex="16"/>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132</xdr:row>
      <xdr:rowOff>162265</xdr:rowOff>
    </xdr:from>
    <xdr:to>
      <xdr:col>0</xdr:col>
      <xdr:colOff>1117044</xdr:colOff>
      <xdr:row>134</xdr:row>
      <xdr:rowOff>48985</xdr:rowOff>
    </xdr:to>
    <xdr:sp macro="" textlink="">
      <xdr:nvSpPr>
        <xdr:cNvPr id="122" name="正方形/長方形 121">
          <a:extLst>
            <a:ext uri="{FF2B5EF4-FFF2-40B4-BE49-F238E27FC236}">
              <a16:creationId xmlns:a16="http://schemas.microsoft.com/office/drawing/2014/main" id="{B6421C09-4B68-406C-8A42-1DA09FD719DB}"/>
            </a:ext>
          </a:extLst>
        </xdr:cNvPr>
        <xdr:cNvSpPr/>
      </xdr:nvSpPr>
      <xdr:spPr>
        <a:xfrm>
          <a:off x="176927" y="22765090"/>
          <a:ext cx="940117" cy="229620"/>
        </a:xfrm>
        <a:prstGeom prst="rect">
          <a:avLst/>
        </a:prstGeom>
        <a:pattFill prst="lgConfetti">
          <a:fgClr>
            <a:srgbClr xmlns:mc="http://schemas.openxmlformats.org/markup-compatibility/2006" xmlns:a14="http://schemas.microsoft.com/office/drawing/2010/main" val="808080" mc:Ignorable="a14" a14:legacySpreadsheetColorIndex="23"/>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808080" mc:Ignorable="a14" a14:legacySpreadsheetColorIndex="2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131</xdr:row>
      <xdr:rowOff>104094</xdr:rowOff>
    </xdr:from>
    <xdr:to>
      <xdr:col>0</xdr:col>
      <xdr:colOff>1117044</xdr:colOff>
      <xdr:row>132</xdr:row>
      <xdr:rowOff>162265</xdr:rowOff>
    </xdr:to>
    <xdr:sp macro="" textlink="">
      <xdr:nvSpPr>
        <xdr:cNvPr id="120" name="正方形/長方形 119">
          <a:extLst>
            <a:ext uri="{FF2B5EF4-FFF2-40B4-BE49-F238E27FC236}">
              <a16:creationId xmlns:a16="http://schemas.microsoft.com/office/drawing/2014/main" id="{392505C3-6005-4001-B5BD-4D91DCE17633}"/>
            </a:ext>
          </a:extLst>
        </xdr:cNvPr>
        <xdr:cNvSpPr/>
      </xdr:nvSpPr>
      <xdr:spPr>
        <a:xfrm>
          <a:off x="176927" y="22535469"/>
          <a:ext cx="940117" cy="229621"/>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131</xdr:row>
      <xdr:rowOff>58170</xdr:rowOff>
    </xdr:from>
    <xdr:to>
      <xdr:col>0</xdr:col>
      <xdr:colOff>1117044</xdr:colOff>
      <xdr:row>131</xdr:row>
      <xdr:rowOff>104094</xdr:rowOff>
    </xdr:to>
    <xdr:sp macro="" textlink="">
      <xdr:nvSpPr>
        <xdr:cNvPr id="118" name="正方形/長方形 117">
          <a:extLst>
            <a:ext uri="{FF2B5EF4-FFF2-40B4-BE49-F238E27FC236}">
              <a16:creationId xmlns:a16="http://schemas.microsoft.com/office/drawing/2014/main" id="{A33B8819-4C9B-4166-B256-C158C0B31A68}"/>
            </a:ext>
          </a:extLst>
        </xdr:cNvPr>
        <xdr:cNvSpPr/>
      </xdr:nvSpPr>
      <xdr:spPr>
        <a:xfrm>
          <a:off x="176927" y="22489545"/>
          <a:ext cx="940117" cy="45924"/>
        </a:xfrm>
        <a:prstGeom prst="rect">
          <a:avLst/>
        </a:prstGeom>
        <a:pattFill prst="smConfetti">
          <a:fgClr>
            <a:srgbClr xmlns:mc="http://schemas.openxmlformats.org/markup-compatibility/2006" xmlns:a14="http://schemas.microsoft.com/office/drawing/2010/main" val="FFCC00" mc:Ignorable="a14" a14:legacySpreadsheetColorIndex="5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00" mc:Ignorable="a14" a14:legacySpreadsheetColorIndex="5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131</xdr:row>
      <xdr:rowOff>42863</xdr:rowOff>
    </xdr:from>
    <xdr:to>
      <xdr:col>0</xdr:col>
      <xdr:colOff>1117044</xdr:colOff>
      <xdr:row>131</xdr:row>
      <xdr:rowOff>58170</xdr:rowOff>
    </xdr:to>
    <xdr:sp macro="" textlink="">
      <xdr:nvSpPr>
        <xdr:cNvPr id="116" name="正方形/長方形 115">
          <a:extLst>
            <a:ext uri="{FF2B5EF4-FFF2-40B4-BE49-F238E27FC236}">
              <a16:creationId xmlns:a16="http://schemas.microsoft.com/office/drawing/2014/main" id="{28A52278-AEEF-4A7E-94CC-25A77F6376DE}"/>
            </a:ext>
          </a:extLst>
        </xdr:cNvPr>
        <xdr:cNvSpPr/>
      </xdr:nvSpPr>
      <xdr:spPr>
        <a:xfrm>
          <a:off x="176927" y="22474238"/>
          <a:ext cx="940117" cy="15307"/>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115</xdr:row>
      <xdr:rowOff>47625</xdr:rowOff>
    </xdr:from>
    <xdr:to>
      <xdr:col>0</xdr:col>
      <xdr:colOff>1117044</xdr:colOff>
      <xdr:row>118</xdr:row>
      <xdr:rowOff>104775</xdr:rowOff>
    </xdr:to>
    <xdr:sp macro="" textlink="">
      <xdr:nvSpPr>
        <xdr:cNvPr id="112" name="正方形/長方形 111">
          <a:extLst>
            <a:ext uri="{FF2B5EF4-FFF2-40B4-BE49-F238E27FC236}">
              <a16:creationId xmlns:a16="http://schemas.microsoft.com/office/drawing/2014/main" id="{B5D11611-22CB-4024-A0C2-BC73E1582977}"/>
            </a:ext>
          </a:extLst>
        </xdr:cNvPr>
        <xdr:cNvSpPr/>
      </xdr:nvSpPr>
      <xdr:spPr>
        <a:xfrm>
          <a:off x="176927" y="19735800"/>
          <a:ext cx="940117" cy="571500"/>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114</xdr:row>
      <xdr:rowOff>104775</xdr:rowOff>
    </xdr:from>
    <xdr:to>
      <xdr:col>0</xdr:col>
      <xdr:colOff>1117044</xdr:colOff>
      <xdr:row>115</xdr:row>
      <xdr:rowOff>47625</xdr:rowOff>
    </xdr:to>
    <xdr:sp macro="" textlink="">
      <xdr:nvSpPr>
        <xdr:cNvPr id="110" name="正方形/長方形 109">
          <a:extLst>
            <a:ext uri="{FF2B5EF4-FFF2-40B4-BE49-F238E27FC236}">
              <a16:creationId xmlns:a16="http://schemas.microsoft.com/office/drawing/2014/main" id="{82488983-A5B6-45E7-B0A6-5B53D1357914}"/>
            </a:ext>
          </a:extLst>
        </xdr:cNvPr>
        <xdr:cNvSpPr/>
      </xdr:nvSpPr>
      <xdr:spPr>
        <a:xfrm>
          <a:off x="176927" y="19621500"/>
          <a:ext cx="940117" cy="114300"/>
        </a:xfrm>
        <a:prstGeom prst="rect">
          <a:avLst/>
        </a:prstGeom>
        <a:pattFill prst="smConfetti">
          <a:fgClr>
            <a:srgbClr xmlns:mc="http://schemas.openxmlformats.org/markup-compatibility/2006" xmlns:a14="http://schemas.microsoft.com/office/drawing/2010/main" val="FFCC00" mc:Ignorable="a14" a14:legacySpreadsheetColorIndex="5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00" mc:Ignorable="a14" a14:legacySpreadsheetColorIndex="5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114</xdr:row>
      <xdr:rowOff>66675</xdr:rowOff>
    </xdr:from>
    <xdr:to>
      <xdr:col>0</xdr:col>
      <xdr:colOff>1117044</xdr:colOff>
      <xdr:row>114</xdr:row>
      <xdr:rowOff>104775</xdr:rowOff>
    </xdr:to>
    <xdr:sp macro="" textlink="">
      <xdr:nvSpPr>
        <xdr:cNvPr id="108" name="正方形/長方形 107">
          <a:extLst>
            <a:ext uri="{FF2B5EF4-FFF2-40B4-BE49-F238E27FC236}">
              <a16:creationId xmlns:a16="http://schemas.microsoft.com/office/drawing/2014/main" id="{C493298B-CF6D-471F-86ED-F49DAA8BF6FB}"/>
            </a:ext>
          </a:extLst>
        </xdr:cNvPr>
        <xdr:cNvSpPr/>
      </xdr:nvSpPr>
      <xdr:spPr>
        <a:xfrm>
          <a:off x="176927" y="19583400"/>
          <a:ext cx="940117" cy="38100"/>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99</xdr:row>
      <xdr:rowOff>85725</xdr:rowOff>
    </xdr:from>
    <xdr:to>
      <xdr:col>6</xdr:col>
      <xdr:colOff>1117044</xdr:colOff>
      <xdr:row>99</xdr:row>
      <xdr:rowOff>123825</xdr:rowOff>
    </xdr:to>
    <xdr:sp macro="" textlink="">
      <xdr:nvSpPr>
        <xdr:cNvPr id="104" name="正方形/長方形 103">
          <a:extLst>
            <a:ext uri="{FF2B5EF4-FFF2-40B4-BE49-F238E27FC236}">
              <a16:creationId xmlns:a16="http://schemas.microsoft.com/office/drawing/2014/main" id="{8EE9DAB1-8615-4685-8312-AD9A164F9D6F}"/>
            </a:ext>
          </a:extLst>
        </xdr:cNvPr>
        <xdr:cNvSpPr/>
      </xdr:nvSpPr>
      <xdr:spPr>
        <a:xfrm>
          <a:off x="5177552" y="17030700"/>
          <a:ext cx="940117" cy="381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99</xdr:row>
      <xdr:rowOff>47625</xdr:rowOff>
    </xdr:from>
    <xdr:to>
      <xdr:col>6</xdr:col>
      <xdr:colOff>1117044</xdr:colOff>
      <xdr:row>99</xdr:row>
      <xdr:rowOff>85725</xdr:rowOff>
    </xdr:to>
    <xdr:sp macro="" textlink="">
      <xdr:nvSpPr>
        <xdr:cNvPr id="102" name="正方形/長方形 101">
          <a:extLst>
            <a:ext uri="{FF2B5EF4-FFF2-40B4-BE49-F238E27FC236}">
              <a16:creationId xmlns:a16="http://schemas.microsoft.com/office/drawing/2014/main" id="{E5C7757E-1EB2-4DA6-B7B7-8022DB49BE88}"/>
            </a:ext>
          </a:extLst>
        </xdr:cNvPr>
        <xdr:cNvSpPr/>
      </xdr:nvSpPr>
      <xdr:spPr>
        <a:xfrm>
          <a:off x="5177552" y="16992600"/>
          <a:ext cx="940117" cy="381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84</xdr:row>
      <xdr:rowOff>113156</xdr:rowOff>
    </xdr:from>
    <xdr:to>
      <xdr:col>6</xdr:col>
      <xdr:colOff>1117044</xdr:colOff>
      <xdr:row>84</xdr:row>
      <xdr:rowOff>128586</xdr:rowOff>
    </xdr:to>
    <xdr:sp macro="" textlink="">
      <xdr:nvSpPr>
        <xdr:cNvPr id="98" name="正方形/長方形 97">
          <a:extLst>
            <a:ext uri="{FF2B5EF4-FFF2-40B4-BE49-F238E27FC236}">
              <a16:creationId xmlns:a16="http://schemas.microsoft.com/office/drawing/2014/main" id="{8301CC3F-F651-4719-91D6-5CDA958E5089}"/>
            </a:ext>
          </a:extLst>
        </xdr:cNvPr>
        <xdr:cNvSpPr/>
      </xdr:nvSpPr>
      <xdr:spPr>
        <a:xfrm>
          <a:off x="5177552" y="14486381"/>
          <a:ext cx="940117" cy="1543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80</xdr:row>
      <xdr:rowOff>104584</xdr:rowOff>
    </xdr:from>
    <xdr:to>
      <xdr:col>6</xdr:col>
      <xdr:colOff>1117044</xdr:colOff>
      <xdr:row>81</xdr:row>
      <xdr:rowOff>164592</xdr:rowOff>
    </xdr:to>
    <xdr:sp macro="" textlink="">
      <xdr:nvSpPr>
        <xdr:cNvPr id="95" name="正方形/長方形 94">
          <a:extLst>
            <a:ext uri="{FF2B5EF4-FFF2-40B4-BE49-F238E27FC236}">
              <a16:creationId xmlns:a16="http://schemas.microsoft.com/office/drawing/2014/main" id="{C42924CF-CA0E-4025-AAB1-9E40DEB2F26A}"/>
            </a:ext>
          </a:extLst>
        </xdr:cNvPr>
        <xdr:cNvSpPr/>
      </xdr:nvSpPr>
      <xdr:spPr>
        <a:xfrm>
          <a:off x="5177552" y="13792009"/>
          <a:ext cx="940117" cy="231458"/>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80</xdr:row>
      <xdr:rowOff>58293</xdr:rowOff>
    </xdr:from>
    <xdr:to>
      <xdr:col>6</xdr:col>
      <xdr:colOff>1117044</xdr:colOff>
      <xdr:row>80</xdr:row>
      <xdr:rowOff>104584</xdr:rowOff>
    </xdr:to>
    <xdr:sp macro="" textlink="">
      <xdr:nvSpPr>
        <xdr:cNvPr id="93" name="正方形/長方形 92">
          <a:extLst>
            <a:ext uri="{FF2B5EF4-FFF2-40B4-BE49-F238E27FC236}">
              <a16:creationId xmlns:a16="http://schemas.microsoft.com/office/drawing/2014/main" id="{1792E009-3851-4A75-89F3-F5780035EA1D}"/>
            </a:ext>
          </a:extLst>
        </xdr:cNvPr>
        <xdr:cNvSpPr/>
      </xdr:nvSpPr>
      <xdr:spPr>
        <a:xfrm>
          <a:off x="5177552" y="13745718"/>
          <a:ext cx="940117" cy="46291"/>
        </a:xfrm>
        <a:prstGeom prst="rect">
          <a:avLst/>
        </a:prstGeom>
        <a:pattFill prst="smConfetti">
          <a:fgClr>
            <a:srgbClr xmlns:mc="http://schemas.openxmlformats.org/markup-compatibility/2006" xmlns:a14="http://schemas.microsoft.com/office/drawing/2010/main" val="FFCC00" mc:Ignorable="a14" a14:legacySpreadsheetColorIndex="5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00" mc:Ignorable="a14" a14:legacySpreadsheetColorIndex="5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80</xdr:row>
      <xdr:rowOff>42863</xdr:rowOff>
    </xdr:from>
    <xdr:to>
      <xdr:col>6</xdr:col>
      <xdr:colOff>1117044</xdr:colOff>
      <xdr:row>80</xdr:row>
      <xdr:rowOff>58293</xdr:rowOff>
    </xdr:to>
    <xdr:sp macro="" textlink="">
      <xdr:nvSpPr>
        <xdr:cNvPr id="91" name="正方形/長方形 90">
          <a:extLst>
            <a:ext uri="{FF2B5EF4-FFF2-40B4-BE49-F238E27FC236}">
              <a16:creationId xmlns:a16="http://schemas.microsoft.com/office/drawing/2014/main" id="{D8072DDB-8590-4213-92C5-E0B3B7533850}"/>
            </a:ext>
          </a:extLst>
        </xdr:cNvPr>
        <xdr:cNvSpPr/>
      </xdr:nvSpPr>
      <xdr:spPr>
        <a:xfrm>
          <a:off x="5177552" y="13730288"/>
          <a:ext cx="940117" cy="15430"/>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50</xdr:row>
      <xdr:rowOff>116342</xdr:rowOff>
    </xdr:from>
    <xdr:to>
      <xdr:col>6</xdr:col>
      <xdr:colOff>1117044</xdr:colOff>
      <xdr:row>50</xdr:row>
      <xdr:rowOff>128588</xdr:rowOff>
    </xdr:to>
    <xdr:sp macro="" textlink="">
      <xdr:nvSpPr>
        <xdr:cNvPr id="60" name="正方形/長方形 59">
          <a:extLst>
            <a:ext uri="{FF2B5EF4-FFF2-40B4-BE49-F238E27FC236}">
              <a16:creationId xmlns:a16="http://schemas.microsoft.com/office/drawing/2014/main" id="{0459E849-ECD3-4AB8-A7DA-F9F492978999}"/>
            </a:ext>
          </a:extLst>
        </xdr:cNvPr>
        <xdr:cNvSpPr/>
      </xdr:nvSpPr>
      <xdr:spPr>
        <a:xfrm>
          <a:off x="5177552" y="8660267"/>
          <a:ext cx="940117" cy="12246"/>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50</xdr:row>
      <xdr:rowOff>104095</xdr:rowOff>
    </xdr:from>
    <xdr:to>
      <xdr:col>6</xdr:col>
      <xdr:colOff>1117044</xdr:colOff>
      <xdr:row>50</xdr:row>
      <xdr:rowOff>116342</xdr:rowOff>
    </xdr:to>
    <xdr:sp macro="" textlink="">
      <xdr:nvSpPr>
        <xdr:cNvPr id="58" name="正方形/長方形 57">
          <a:extLst>
            <a:ext uri="{FF2B5EF4-FFF2-40B4-BE49-F238E27FC236}">
              <a16:creationId xmlns:a16="http://schemas.microsoft.com/office/drawing/2014/main" id="{3E559282-2B5D-4C8C-9786-0B1A02EB495E}"/>
            </a:ext>
          </a:extLst>
        </xdr:cNvPr>
        <xdr:cNvSpPr/>
      </xdr:nvSpPr>
      <xdr:spPr>
        <a:xfrm>
          <a:off x="5177552" y="8648020"/>
          <a:ext cx="940117" cy="12247"/>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47</xdr:row>
      <xdr:rowOff>67356</xdr:rowOff>
    </xdr:from>
    <xdr:to>
      <xdr:col>6</xdr:col>
      <xdr:colOff>1117044</xdr:colOff>
      <xdr:row>48</xdr:row>
      <xdr:rowOff>79602</xdr:rowOff>
    </xdr:to>
    <xdr:sp macro="" textlink="">
      <xdr:nvSpPr>
        <xdr:cNvPr id="55" name="正方形/長方形 54">
          <a:extLst>
            <a:ext uri="{FF2B5EF4-FFF2-40B4-BE49-F238E27FC236}">
              <a16:creationId xmlns:a16="http://schemas.microsoft.com/office/drawing/2014/main" id="{5E3000D4-6739-46CD-ADD9-0793A6F6849D}"/>
            </a:ext>
          </a:extLst>
        </xdr:cNvPr>
        <xdr:cNvSpPr/>
      </xdr:nvSpPr>
      <xdr:spPr>
        <a:xfrm>
          <a:off x="5177552" y="8096931"/>
          <a:ext cx="940117" cy="183696"/>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47</xdr:row>
      <xdr:rowOff>55109</xdr:rowOff>
    </xdr:from>
    <xdr:to>
      <xdr:col>6</xdr:col>
      <xdr:colOff>1117044</xdr:colOff>
      <xdr:row>47</xdr:row>
      <xdr:rowOff>67356</xdr:rowOff>
    </xdr:to>
    <xdr:sp macro="" textlink="">
      <xdr:nvSpPr>
        <xdr:cNvPr id="53" name="正方形/長方形 52">
          <a:extLst>
            <a:ext uri="{FF2B5EF4-FFF2-40B4-BE49-F238E27FC236}">
              <a16:creationId xmlns:a16="http://schemas.microsoft.com/office/drawing/2014/main" id="{49D4C762-D162-4C7D-8B0A-DC10E77C407D}"/>
            </a:ext>
          </a:extLst>
        </xdr:cNvPr>
        <xdr:cNvSpPr/>
      </xdr:nvSpPr>
      <xdr:spPr>
        <a:xfrm>
          <a:off x="5177552" y="8084684"/>
          <a:ext cx="940117" cy="12247"/>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46</xdr:row>
      <xdr:rowOff>165327</xdr:rowOff>
    </xdr:from>
    <xdr:to>
      <xdr:col>6</xdr:col>
      <xdr:colOff>1117044</xdr:colOff>
      <xdr:row>47</xdr:row>
      <xdr:rowOff>55109</xdr:rowOff>
    </xdr:to>
    <xdr:sp macro="" textlink="">
      <xdr:nvSpPr>
        <xdr:cNvPr id="51" name="正方形/長方形 50">
          <a:extLst>
            <a:ext uri="{FF2B5EF4-FFF2-40B4-BE49-F238E27FC236}">
              <a16:creationId xmlns:a16="http://schemas.microsoft.com/office/drawing/2014/main" id="{C780295C-B09C-4E9F-816D-987B31EECE6F}"/>
            </a:ext>
          </a:extLst>
        </xdr:cNvPr>
        <xdr:cNvSpPr/>
      </xdr:nvSpPr>
      <xdr:spPr>
        <a:xfrm>
          <a:off x="5177552" y="8023452"/>
          <a:ext cx="940117" cy="61232"/>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46</xdr:row>
      <xdr:rowOff>42863</xdr:rowOff>
    </xdr:from>
    <xdr:to>
      <xdr:col>6</xdr:col>
      <xdr:colOff>1117044</xdr:colOff>
      <xdr:row>46</xdr:row>
      <xdr:rowOff>165327</xdr:rowOff>
    </xdr:to>
    <xdr:sp macro="" textlink="">
      <xdr:nvSpPr>
        <xdr:cNvPr id="49" name="正方形/長方形 48">
          <a:extLst>
            <a:ext uri="{FF2B5EF4-FFF2-40B4-BE49-F238E27FC236}">
              <a16:creationId xmlns:a16="http://schemas.microsoft.com/office/drawing/2014/main" id="{7685FA16-7FEE-47BB-A290-5B5FCD4751CC}"/>
            </a:ext>
          </a:extLst>
        </xdr:cNvPr>
        <xdr:cNvSpPr/>
      </xdr:nvSpPr>
      <xdr:spPr>
        <a:xfrm>
          <a:off x="5177552" y="7900988"/>
          <a:ext cx="940117" cy="122464"/>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67</xdr:row>
      <xdr:rowOff>116143</xdr:rowOff>
    </xdr:from>
    <xdr:to>
      <xdr:col>0</xdr:col>
      <xdr:colOff>1117044</xdr:colOff>
      <xdr:row>67</xdr:row>
      <xdr:rowOff>128588</xdr:rowOff>
    </xdr:to>
    <xdr:sp macro="" textlink="">
      <xdr:nvSpPr>
        <xdr:cNvPr id="45" name="正方形/長方形 44">
          <a:extLst>
            <a:ext uri="{FF2B5EF4-FFF2-40B4-BE49-F238E27FC236}">
              <a16:creationId xmlns:a16="http://schemas.microsoft.com/office/drawing/2014/main" id="{6A7686F0-BBCF-4DCB-A83D-2D469271B6EB}"/>
            </a:ext>
          </a:extLst>
        </xdr:cNvPr>
        <xdr:cNvSpPr/>
      </xdr:nvSpPr>
      <xdr:spPr>
        <a:xfrm>
          <a:off x="176927" y="11574718"/>
          <a:ext cx="940117" cy="12445"/>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64</xdr:row>
      <xdr:rowOff>70516</xdr:rowOff>
    </xdr:from>
    <xdr:to>
      <xdr:col>0</xdr:col>
      <xdr:colOff>1117044</xdr:colOff>
      <xdr:row>65</xdr:row>
      <xdr:rowOff>85725</xdr:rowOff>
    </xdr:to>
    <xdr:sp macro="" textlink="">
      <xdr:nvSpPr>
        <xdr:cNvPr id="42" name="正方形/長方形 41">
          <a:extLst>
            <a:ext uri="{FF2B5EF4-FFF2-40B4-BE49-F238E27FC236}">
              <a16:creationId xmlns:a16="http://schemas.microsoft.com/office/drawing/2014/main" id="{1794E741-6BDD-4D10-BD94-26C78F98C7BB}"/>
            </a:ext>
          </a:extLst>
        </xdr:cNvPr>
        <xdr:cNvSpPr/>
      </xdr:nvSpPr>
      <xdr:spPr>
        <a:xfrm>
          <a:off x="176927" y="11014741"/>
          <a:ext cx="940117" cy="186659"/>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64</xdr:row>
      <xdr:rowOff>58072</xdr:rowOff>
    </xdr:from>
    <xdr:to>
      <xdr:col>0</xdr:col>
      <xdr:colOff>1117044</xdr:colOff>
      <xdr:row>64</xdr:row>
      <xdr:rowOff>70516</xdr:rowOff>
    </xdr:to>
    <xdr:sp macro="" textlink="">
      <xdr:nvSpPr>
        <xdr:cNvPr id="40" name="正方形/長方形 39">
          <a:extLst>
            <a:ext uri="{FF2B5EF4-FFF2-40B4-BE49-F238E27FC236}">
              <a16:creationId xmlns:a16="http://schemas.microsoft.com/office/drawing/2014/main" id="{B1CD3C5F-5D0B-40F7-9F0F-7433AED92DD1}"/>
            </a:ext>
          </a:extLst>
        </xdr:cNvPr>
        <xdr:cNvSpPr/>
      </xdr:nvSpPr>
      <xdr:spPr>
        <a:xfrm>
          <a:off x="176927" y="11002297"/>
          <a:ext cx="940117" cy="12444"/>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63</xdr:row>
      <xdr:rowOff>167302</xdr:rowOff>
    </xdr:from>
    <xdr:to>
      <xdr:col>0</xdr:col>
      <xdr:colOff>1117044</xdr:colOff>
      <xdr:row>64</xdr:row>
      <xdr:rowOff>58072</xdr:rowOff>
    </xdr:to>
    <xdr:sp macro="" textlink="">
      <xdr:nvSpPr>
        <xdr:cNvPr id="38" name="正方形/長方形 37">
          <a:extLst>
            <a:ext uri="{FF2B5EF4-FFF2-40B4-BE49-F238E27FC236}">
              <a16:creationId xmlns:a16="http://schemas.microsoft.com/office/drawing/2014/main" id="{924F510D-88E5-44A7-BEE4-6A42DB587D58}"/>
            </a:ext>
          </a:extLst>
        </xdr:cNvPr>
        <xdr:cNvSpPr/>
      </xdr:nvSpPr>
      <xdr:spPr>
        <a:xfrm>
          <a:off x="176927" y="10940077"/>
          <a:ext cx="940117" cy="62220"/>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63</xdr:row>
      <xdr:rowOff>42863</xdr:rowOff>
    </xdr:from>
    <xdr:to>
      <xdr:col>0</xdr:col>
      <xdr:colOff>1117044</xdr:colOff>
      <xdr:row>63</xdr:row>
      <xdr:rowOff>167302</xdr:rowOff>
    </xdr:to>
    <xdr:sp macro="" textlink="">
      <xdr:nvSpPr>
        <xdr:cNvPr id="36" name="正方形/長方形 35">
          <a:extLst>
            <a:ext uri="{FF2B5EF4-FFF2-40B4-BE49-F238E27FC236}">
              <a16:creationId xmlns:a16="http://schemas.microsoft.com/office/drawing/2014/main" id="{1E8F6E2E-2B94-4973-9FD3-CE4630012B8E}"/>
            </a:ext>
          </a:extLst>
        </xdr:cNvPr>
        <xdr:cNvSpPr/>
      </xdr:nvSpPr>
      <xdr:spPr>
        <a:xfrm>
          <a:off x="176927" y="10815638"/>
          <a:ext cx="940117" cy="124439"/>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6713</xdr:colOff>
      <xdr:row>13</xdr:row>
      <xdr:rowOff>97474</xdr:rowOff>
    </xdr:from>
    <xdr:to>
      <xdr:col>0</xdr:col>
      <xdr:colOff>394448</xdr:colOff>
      <xdr:row>16</xdr:row>
      <xdr:rowOff>81594</xdr:rowOff>
    </xdr:to>
    <xdr:sp macro="" textlink="">
      <xdr:nvSpPr>
        <xdr:cNvPr id="2" name="テキスト ボックス 1">
          <a:extLst>
            <a:ext uri="{FF2B5EF4-FFF2-40B4-BE49-F238E27FC236}">
              <a16:creationId xmlns:a16="http://schemas.microsoft.com/office/drawing/2014/main" id="{37183360-00D8-4BD7-8E3E-A466295451FF}"/>
            </a:ext>
          </a:extLst>
        </xdr:cNvPr>
        <xdr:cNvSpPr txBox="1"/>
      </xdr:nvSpPr>
      <xdr:spPr>
        <a:xfrm>
          <a:off x="6713" y="22977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0</xdr:col>
      <xdr:colOff>302181</xdr:colOff>
      <xdr:row>11</xdr:row>
      <xdr:rowOff>3810</xdr:rowOff>
    </xdr:from>
    <xdr:to>
      <xdr:col>0</xdr:col>
      <xdr:colOff>546861</xdr:colOff>
      <xdr:row>19</xdr:row>
      <xdr:rowOff>3810</xdr:rowOff>
    </xdr:to>
    <xdr:sp macro="" textlink="">
      <xdr:nvSpPr>
        <xdr:cNvPr id="3" name="正方形/長方形 2">
          <a:extLst>
            <a:ext uri="{FF2B5EF4-FFF2-40B4-BE49-F238E27FC236}">
              <a16:creationId xmlns:a16="http://schemas.microsoft.com/office/drawing/2014/main" id="{69567F03-42F1-4FA7-BC69-3912751DFEC9}"/>
            </a:ext>
          </a:extLst>
        </xdr:cNvPr>
        <xdr:cNvSpPr/>
      </xdr:nvSpPr>
      <xdr:spPr>
        <a:xfrm>
          <a:off x="302181" y="1861185"/>
          <a:ext cx="244680" cy="1371600"/>
        </a:xfrm>
        <a:prstGeom prst="rect">
          <a:avLst/>
        </a:prstGeom>
        <a:pattFill prst="pct40">
          <a:fgClr>
            <a:srgbClr xmlns:mc="http://schemas.openxmlformats.org/markup-compatibility/2006" xmlns:a14="http://schemas.microsoft.com/office/drawing/2010/main" val="C0C0C0" mc:Ignorable="a14" a14:legacySpreadsheetColorIndex="22"/>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367371</xdr:colOff>
      <xdr:row>10</xdr:row>
      <xdr:rowOff>13335</xdr:rowOff>
    </xdr:from>
    <xdr:to>
      <xdr:col>0</xdr:col>
      <xdr:colOff>481671</xdr:colOff>
      <xdr:row>10</xdr:row>
      <xdr:rowOff>137160</xdr:rowOff>
    </xdr:to>
    <xdr:sp macro="" textlink="">
      <xdr:nvSpPr>
        <xdr:cNvPr id="4" name="テキスト ボックス 3">
          <a:extLst>
            <a:ext uri="{FF2B5EF4-FFF2-40B4-BE49-F238E27FC236}">
              <a16:creationId xmlns:a16="http://schemas.microsoft.com/office/drawing/2014/main" id="{298BC784-2E87-4CC0-AB4F-F2ADEB6E0380}"/>
            </a:ext>
          </a:extLst>
        </xdr:cNvPr>
        <xdr:cNvSpPr txBox="1"/>
      </xdr:nvSpPr>
      <xdr:spPr>
        <a:xfrm>
          <a:off x="367371"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546861</xdr:colOff>
      <xdr:row>11</xdr:row>
      <xdr:rowOff>3810</xdr:rowOff>
    </xdr:from>
    <xdr:to>
      <xdr:col>0</xdr:col>
      <xdr:colOff>608031</xdr:colOff>
      <xdr:row>19</xdr:row>
      <xdr:rowOff>3810</xdr:rowOff>
    </xdr:to>
    <xdr:sp macro="" textlink="">
      <xdr:nvSpPr>
        <xdr:cNvPr id="5" name="正方形/長方形 4">
          <a:extLst>
            <a:ext uri="{FF2B5EF4-FFF2-40B4-BE49-F238E27FC236}">
              <a16:creationId xmlns:a16="http://schemas.microsoft.com/office/drawing/2014/main" id="{6D102B16-EA67-4BA2-8981-46744507A2EA}"/>
            </a:ext>
          </a:extLst>
        </xdr:cNvPr>
        <xdr:cNvSpPr/>
      </xdr:nvSpPr>
      <xdr:spPr>
        <a:xfrm>
          <a:off x="546861" y="1861185"/>
          <a:ext cx="61170" cy="1371600"/>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520296</xdr:colOff>
      <xdr:row>10</xdr:row>
      <xdr:rowOff>13335</xdr:rowOff>
    </xdr:from>
    <xdr:to>
      <xdr:col>0</xdr:col>
      <xdr:colOff>634596</xdr:colOff>
      <xdr:row>10</xdr:row>
      <xdr:rowOff>137160</xdr:rowOff>
    </xdr:to>
    <xdr:sp macro="" textlink="">
      <xdr:nvSpPr>
        <xdr:cNvPr id="6" name="テキスト ボックス 5">
          <a:extLst>
            <a:ext uri="{FF2B5EF4-FFF2-40B4-BE49-F238E27FC236}">
              <a16:creationId xmlns:a16="http://schemas.microsoft.com/office/drawing/2014/main" id="{85B98F80-BD89-49AE-B151-B96FF94DF344}"/>
            </a:ext>
          </a:extLst>
        </xdr:cNvPr>
        <xdr:cNvSpPr txBox="1"/>
      </xdr:nvSpPr>
      <xdr:spPr>
        <a:xfrm>
          <a:off x="520296"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673222</xdr:colOff>
      <xdr:row>10</xdr:row>
      <xdr:rowOff>13335</xdr:rowOff>
    </xdr:from>
    <xdr:to>
      <xdr:col>0</xdr:col>
      <xdr:colOff>787522</xdr:colOff>
      <xdr:row>10</xdr:row>
      <xdr:rowOff>137160</xdr:rowOff>
    </xdr:to>
    <xdr:sp macro="" textlink="">
      <xdr:nvSpPr>
        <xdr:cNvPr id="7" name="テキスト ボックス 6">
          <a:extLst>
            <a:ext uri="{FF2B5EF4-FFF2-40B4-BE49-F238E27FC236}">
              <a16:creationId xmlns:a16="http://schemas.microsoft.com/office/drawing/2014/main" id="{2A51466C-8D41-4D05-9BBE-EBBFCDC0E95A}"/>
            </a:ext>
          </a:extLst>
        </xdr:cNvPr>
        <xdr:cNvSpPr txBox="1"/>
      </xdr:nvSpPr>
      <xdr:spPr>
        <a:xfrm>
          <a:off x="673222"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852712</xdr:colOff>
      <xdr:row>11</xdr:row>
      <xdr:rowOff>3810</xdr:rowOff>
    </xdr:from>
    <xdr:to>
      <xdr:col>0</xdr:col>
      <xdr:colOff>882074</xdr:colOff>
      <xdr:row>19</xdr:row>
      <xdr:rowOff>3810</xdr:rowOff>
    </xdr:to>
    <xdr:sp macro="" textlink="">
      <xdr:nvSpPr>
        <xdr:cNvPr id="8" name="正方形/長方形 7">
          <a:extLst>
            <a:ext uri="{FF2B5EF4-FFF2-40B4-BE49-F238E27FC236}">
              <a16:creationId xmlns:a16="http://schemas.microsoft.com/office/drawing/2014/main" id="{EB03D761-DB51-469D-875B-A0B1332AEE78}"/>
            </a:ext>
          </a:extLst>
        </xdr:cNvPr>
        <xdr:cNvSpPr/>
      </xdr:nvSpPr>
      <xdr:spPr>
        <a:xfrm>
          <a:off x="852712" y="1861185"/>
          <a:ext cx="29362"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810243</xdr:colOff>
      <xdr:row>10</xdr:row>
      <xdr:rowOff>13335</xdr:rowOff>
    </xdr:from>
    <xdr:to>
      <xdr:col>0</xdr:col>
      <xdr:colOff>924543</xdr:colOff>
      <xdr:row>10</xdr:row>
      <xdr:rowOff>137160</xdr:rowOff>
    </xdr:to>
    <xdr:sp macro="" textlink="">
      <xdr:nvSpPr>
        <xdr:cNvPr id="9" name="テキスト ボックス 8">
          <a:extLst>
            <a:ext uri="{FF2B5EF4-FFF2-40B4-BE49-F238E27FC236}">
              <a16:creationId xmlns:a16="http://schemas.microsoft.com/office/drawing/2014/main" id="{59C02FAA-1353-4266-B5E2-1A764E422E5F}"/>
            </a:ext>
          </a:extLst>
        </xdr:cNvPr>
        <xdr:cNvSpPr txBox="1"/>
      </xdr:nvSpPr>
      <xdr:spPr>
        <a:xfrm>
          <a:off x="810243"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882074</xdr:colOff>
      <xdr:row>11</xdr:row>
      <xdr:rowOff>3810</xdr:rowOff>
    </xdr:from>
    <xdr:to>
      <xdr:col>0</xdr:col>
      <xdr:colOff>906542</xdr:colOff>
      <xdr:row>19</xdr:row>
      <xdr:rowOff>3810</xdr:rowOff>
    </xdr:to>
    <xdr:sp macro="" textlink="">
      <xdr:nvSpPr>
        <xdr:cNvPr id="10" name="正方形/長方形 9">
          <a:extLst>
            <a:ext uri="{FF2B5EF4-FFF2-40B4-BE49-F238E27FC236}">
              <a16:creationId xmlns:a16="http://schemas.microsoft.com/office/drawing/2014/main" id="{3DEEF145-156B-4ABE-B8FC-3C8E6F67C2C9}"/>
            </a:ext>
          </a:extLst>
        </xdr:cNvPr>
        <xdr:cNvSpPr/>
      </xdr:nvSpPr>
      <xdr:spPr>
        <a:xfrm>
          <a:off x="882074" y="1861185"/>
          <a:ext cx="24468"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873108</xdr:colOff>
      <xdr:row>10</xdr:row>
      <xdr:rowOff>13335</xdr:rowOff>
    </xdr:from>
    <xdr:to>
      <xdr:col>0</xdr:col>
      <xdr:colOff>987408</xdr:colOff>
      <xdr:row>10</xdr:row>
      <xdr:rowOff>137160</xdr:rowOff>
    </xdr:to>
    <xdr:sp macro="" textlink="">
      <xdr:nvSpPr>
        <xdr:cNvPr id="11" name="テキスト ボックス 10">
          <a:extLst>
            <a:ext uri="{FF2B5EF4-FFF2-40B4-BE49-F238E27FC236}">
              <a16:creationId xmlns:a16="http://schemas.microsoft.com/office/drawing/2014/main" id="{D4D2B294-1C23-41BF-858A-F1F87FBDCDA7}"/>
            </a:ext>
          </a:extLst>
        </xdr:cNvPr>
        <xdr:cNvSpPr txBox="1"/>
      </xdr:nvSpPr>
      <xdr:spPr>
        <a:xfrm>
          <a:off x="873108"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0</xdr:col>
      <xdr:colOff>1017474</xdr:colOff>
      <xdr:row>13</xdr:row>
      <xdr:rowOff>97474</xdr:rowOff>
    </xdr:from>
    <xdr:to>
      <xdr:col>1</xdr:col>
      <xdr:colOff>62184</xdr:colOff>
      <xdr:row>16</xdr:row>
      <xdr:rowOff>81594</xdr:rowOff>
    </xdr:to>
    <xdr:sp macro="" textlink="">
      <xdr:nvSpPr>
        <xdr:cNvPr id="12" name="テキスト ボックス 11">
          <a:extLst>
            <a:ext uri="{FF2B5EF4-FFF2-40B4-BE49-F238E27FC236}">
              <a16:creationId xmlns:a16="http://schemas.microsoft.com/office/drawing/2014/main" id="{16B60175-A29D-407F-AB3A-1B40A972D032}"/>
            </a:ext>
          </a:extLst>
        </xdr:cNvPr>
        <xdr:cNvSpPr txBox="1"/>
      </xdr:nvSpPr>
      <xdr:spPr>
        <a:xfrm>
          <a:off x="1017474" y="22977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6713</xdr:colOff>
      <xdr:row>30</xdr:row>
      <xdr:rowOff>97474</xdr:rowOff>
    </xdr:from>
    <xdr:to>
      <xdr:col>0</xdr:col>
      <xdr:colOff>394448</xdr:colOff>
      <xdr:row>33</xdr:row>
      <xdr:rowOff>81594</xdr:rowOff>
    </xdr:to>
    <xdr:sp macro="" textlink="">
      <xdr:nvSpPr>
        <xdr:cNvPr id="13" name="テキスト ボックス 12">
          <a:extLst>
            <a:ext uri="{FF2B5EF4-FFF2-40B4-BE49-F238E27FC236}">
              <a16:creationId xmlns:a16="http://schemas.microsoft.com/office/drawing/2014/main" id="{CF85310F-D979-4446-93F0-34D67D5B8220}"/>
            </a:ext>
          </a:extLst>
        </xdr:cNvPr>
        <xdr:cNvSpPr txBox="1"/>
      </xdr:nvSpPr>
      <xdr:spPr>
        <a:xfrm>
          <a:off x="6713" y="52123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0</xdr:col>
      <xdr:colOff>302181</xdr:colOff>
      <xdr:row>28</xdr:row>
      <xdr:rowOff>3810</xdr:rowOff>
    </xdr:from>
    <xdr:to>
      <xdr:col>0</xdr:col>
      <xdr:colOff>557185</xdr:colOff>
      <xdr:row>36</xdr:row>
      <xdr:rowOff>3810</xdr:rowOff>
    </xdr:to>
    <xdr:sp macro="" textlink="">
      <xdr:nvSpPr>
        <xdr:cNvPr id="14" name="正方形/長方形 13">
          <a:extLst>
            <a:ext uri="{FF2B5EF4-FFF2-40B4-BE49-F238E27FC236}">
              <a16:creationId xmlns:a16="http://schemas.microsoft.com/office/drawing/2014/main" id="{4069F2BE-B286-4F87-B41A-01C096D550C0}"/>
            </a:ext>
          </a:extLst>
        </xdr:cNvPr>
        <xdr:cNvSpPr/>
      </xdr:nvSpPr>
      <xdr:spPr>
        <a:xfrm>
          <a:off x="302181" y="4775835"/>
          <a:ext cx="255004" cy="1371600"/>
        </a:xfrm>
        <a:prstGeom prst="rect">
          <a:avLst/>
        </a:prstGeom>
        <a:pattFill prst="pct40">
          <a:fgClr>
            <a:srgbClr xmlns:mc="http://schemas.openxmlformats.org/markup-compatibility/2006" xmlns:a14="http://schemas.microsoft.com/office/drawing/2010/main" val="C0C0C0" mc:Ignorable="a14" a14:legacySpreadsheetColorIndex="22"/>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372533</xdr:colOff>
      <xdr:row>27</xdr:row>
      <xdr:rowOff>13335</xdr:rowOff>
    </xdr:from>
    <xdr:to>
      <xdr:col>0</xdr:col>
      <xdr:colOff>486833</xdr:colOff>
      <xdr:row>27</xdr:row>
      <xdr:rowOff>137160</xdr:rowOff>
    </xdr:to>
    <xdr:sp macro="" textlink="">
      <xdr:nvSpPr>
        <xdr:cNvPr id="15" name="テキスト ボックス 14">
          <a:extLst>
            <a:ext uri="{FF2B5EF4-FFF2-40B4-BE49-F238E27FC236}">
              <a16:creationId xmlns:a16="http://schemas.microsoft.com/office/drawing/2014/main" id="{255F85F5-2CEE-438D-BC0A-287E127C8228}"/>
            </a:ext>
          </a:extLst>
        </xdr:cNvPr>
        <xdr:cNvSpPr txBox="1"/>
      </xdr:nvSpPr>
      <xdr:spPr>
        <a:xfrm>
          <a:off x="372533"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557185</xdr:colOff>
      <xdr:row>28</xdr:row>
      <xdr:rowOff>3810</xdr:rowOff>
    </xdr:from>
    <xdr:to>
      <xdr:col>0</xdr:col>
      <xdr:colOff>620937</xdr:colOff>
      <xdr:row>36</xdr:row>
      <xdr:rowOff>3810</xdr:rowOff>
    </xdr:to>
    <xdr:sp macro="" textlink="">
      <xdr:nvSpPr>
        <xdr:cNvPr id="16" name="正方形/長方形 15">
          <a:extLst>
            <a:ext uri="{FF2B5EF4-FFF2-40B4-BE49-F238E27FC236}">
              <a16:creationId xmlns:a16="http://schemas.microsoft.com/office/drawing/2014/main" id="{5F5A6BC6-C4E8-4EEA-A6CC-E6340E33DB3F}"/>
            </a:ext>
          </a:extLst>
        </xdr:cNvPr>
        <xdr:cNvSpPr/>
      </xdr:nvSpPr>
      <xdr:spPr>
        <a:xfrm>
          <a:off x="557185" y="4775835"/>
          <a:ext cx="63752" cy="1371600"/>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531911</xdr:colOff>
      <xdr:row>27</xdr:row>
      <xdr:rowOff>13335</xdr:rowOff>
    </xdr:from>
    <xdr:to>
      <xdr:col>0</xdr:col>
      <xdr:colOff>646211</xdr:colOff>
      <xdr:row>27</xdr:row>
      <xdr:rowOff>137160</xdr:rowOff>
    </xdr:to>
    <xdr:sp macro="" textlink="">
      <xdr:nvSpPr>
        <xdr:cNvPr id="17" name="テキスト ボックス 16">
          <a:extLst>
            <a:ext uri="{FF2B5EF4-FFF2-40B4-BE49-F238E27FC236}">
              <a16:creationId xmlns:a16="http://schemas.microsoft.com/office/drawing/2014/main" id="{7DDCAF63-339E-4A2C-A286-079F02EFEDA8}"/>
            </a:ext>
          </a:extLst>
        </xdr:cNvPr>
        <xdr:cNvSpPr txBox="1"/>
      </xdr:nvSpPr>
      <xdr:spPr>
        <a:xfrm>
          <a:off x="531911"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691289</xdr:colOff>
      <xdr:row>27</xdr:row>
      <xdr:rowOff>13335</xdr:rowOff>
    </xdr:from>
    <xdr:to>
      <xdr:col>0</xdr:col>
      <xdr:colOff>805589</xdr:colOff>
      <xdr:row>27</xdr:row>
      <xdr:rowOff>137160</xdr:rowOff>
    </xdr:to>
    <xdr:sp macro="" textlink="">
      <xdr:nvSpPr>
        <xdr:cNvPr id="18" name="テキスト ボックス 17">
          <a:extLst>
            <a:ext uri="{FF2B5EF4-FFF2-40B4-BE49-F238E27FC236}">
              <a16:creationId xmlns:a16="http://schemas.microsoft.com/office/drawing/2014/main" id="{2A0B5931-7801-4EA4-9BBA-20B99E26A31D}"/>
            </a:ext>
          </a:extLst>
        </xdr:cNvPr>
        <xdr:cNvSpPr txBox="1"/>
      </xdr:nvSpPr>
      <xdr:spPr>
        <a:xfrm>
          <a:off x="691289"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875941</xdr:colOff>
      <xdr:row>28</xdr:row>
      <xdr:rowOff>3810</xdr:rowOff>
    </xdr:from>
    <xdr:to>
      <xdr:col>0</xdr:col>
      <xdr:colOff>906542</xdr:colOff>
      <xdr:row>36</xdr:row>
      <xdr:rowOff>3810</xdr:rowOff>
    </xdr:to>
    <xdr:sp macro="" textlink="">
      <xdr:nvSpPr>
        <xdr:cNvPr id="19" name="正方形/長方形 18">
          <a:extLst>
            <a:ext uri="{FF2B5EF4-FFF2-40B4-BE49-F238E27FC236}">
              <a16:creationId xmlns:a16="http://schemas.microsoft.com/office/drawing/2014/main" id="{464E1A3F-3405-4C90-BF70-B9CB57A7CAF7}"/>
            </a:ext>
          </a:extLst>
        </xdr:cNvPr>
        <xdr:cNvSpPr/>
      </xdr:nvSpPr>
      <xdr:spPr>
        <a:xfrm>
          <a:off x="875941" y="4775835"/>
          <a:ext cx="30601"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834092</xdr:colOff>
      <xdr:row>27</xdr:row>
      <xdr:rowOff>13335</xdr:rowOff>
    </xdr:from>
    <xdr:to>
      <xdr:col>0</xdr:col>
      <xdr:colOff>948392</xdr:colOff>
      <xdr:row>27</xdr:row>
      <xdr:rowOff>137160</xdr:rowOff>
    </xdr:to>
    <xdr:sp macro="" textlink="">
      <xdr:nvSpPr>
        <xdr:cNvPr id="20" name="テキスト ボックス 19">
          <a:extLst>
            <a:ext uri="{FF2B5EF4-FFF2-40B4-BE49-F238E27FC236}">
              <a16:creationId xmlns:a16="http://schemas.microsoft.com/office/drawing/2014/main" id="{2C566BB8-F578-4D89-A109-D79445B63CF6}"/>
            </a:ext>
          </a:extLst>
        </xdr:cNvPr>
        <xdr:cNvSpPr txBox="1"/>
      </xdr:nvSpPr>
      <xdr:spPr>
        <a:xfrm>
          <a:off x="834092"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1017474</xdr:colOff>
      <xdr:row>30</xdr:row>
      <xdr:rowOff>97474</xdr:rowOff>
    </xdr:from>
    <xdr:to>
      <xdr:col>1</xdr:col>
      <xdr:colOff>62184</xdr:colOff>
      <xdr:row>33</xdr:row>
      <xdr:rowOff>81594</xdr:rowOff>
    </xdr:to>
    <xdr:sp macro="" textlink="">
      <xdr:nvSpPr>
        <xdr:cNvPr id="21" name="テキスト ボックス 20">
          <a:extLst>
            <a:ext uri="{FF2B5EF4-FFF2-40B4-BE49-F238E27FC236}">
              <a16:creationId xmlns:a16="http://schemas.microsoft.com/office/drawing/2014/main" id="{4D1858DC-349D-4898-BD91-7EAB3503761E}"/>
            </a:ext>
          </a:extLst>
        </xdr:cNvPr>
        <xdr:cNvSpPr txBox="1"/>
      </xdr:nvSpPr>
      <xdr:spPr>
        <a:xfrm>
          <a:off x="1017474" y="52123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590931</xdr:colOff>
      <xdr:row>11</xdr:row>
      <xdr:rowOff>3810</xdr:rowOff>
    </xdr:from>
    <xdr:to>
      <xdr:col>6</xdr:col>
      <xdr:colOff>617791</xdr:colOff>
      <xdr:row>19</xdr:row>
      <xdr:rowOff>3810</xdr:rowOff>
    </xdr:to>
    <xdr:sp macro="" textlink="">
      <xdr:nvSpPr>
        <xdr:cNvPr id="22" name="正方形/長方形 21">
          <a:extLst>
            <a:ext uri="{FF2B5EF4-FFF2-40B4-BE49-F238E27FC236}">
              <a16:creationId xmlns:a16="http://schemas.microsoft.com/office/drawing/2014/main" id="{3B9A7AE3-6324-4D7A-97E7-24C746725B7B}"/>
            </a:ext>
          </a:extLst>
        </xdr:cNvPr>
        <xdr:cNvSpPr/>
      </xdr:nvSpPr>
      <xdr:spPr>
        <a:xfrm>
          <a:off x="5591556" y="1861185"/>
          <a:ext cx="26860" cy="1371600"/>
        </a:xfrm>
        <a:prstGeom prst="rect">
          <a:avLst/>
        </a:prstGeom>
        <a:pattFill prst="pct50">
          <a:fgClr>
            <a:srgbClr xmlns:mc="http://schemas.openxmlformats.org/markup-compatibility/2006" xmlns:a14="http://schemas.microsoft.com/office/drawing/2010/main" val="C0C0C0" mc:Ignorable="a14" a14:legacySpreadsheetColorIndex="22"/>
          </a:fgClr>
          <a:bgClr>
            <a:srgbClr val="FFFFFF"/>
          </a:bgClr>
        </a:pattFill>
        <a:ln w="317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a:scene3d>
          <a:camera prst="legacyObliqueTopRight"/>
          <a:lightRig rig="threePt" dir="tl"/>
        </a:scene3d>
        <a:sp3d extrusionH="457200" prstMaterial="clear">
          <a:extrusionClr>
            <a:srgbClr xmlns:mc="http://schemas.openxmlformats.org/markup-compatibility/2006" xmlns:a14="http://schemas.microsoft.com/office/drawing/2010/main" val="C0C0C0" mc:Ignorable="a14" a14:legacySpreadsheetColorIndex="2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553561</xdr:colOff>
      <xdr:row>10</xdr:row>
      <xdr:rowOff>13335</xdr:rowOff>
    </xdr:from>
    <xdr:to>
      <xdr:col>6</xdr:col>
      <xdr:colOff>655161</xdr:colOff>
      <xdr:row>10</xdr:row>
      <xdr:rowOff>137160</xdr:rowOff>
    </xdr:to>
    <xdr:sp macro="" textlink="">
      <xdr:nvSpPr>
        <xdr:cNvPr id="23" name="テキスト ボックス 22">
          <a:extLst>
            <a:ext uri="{FF2B5EF4-FFF2-40B4-BE49-F238E27FC236}">
              <a16:creationId xmlns:a16="http://schemas.microsoft.com/office/drawing/2014/main" id="{B9BE8D0F-1701-4A46-B56C-1101C83A64CF}"/>
            </a:ext>
          </a:extLst>
        </xdr:cNvPr>
        <xdr:cNvSpPr txBox="1"/>
      </xdr:nvSpPr>
      <xdr:spPr>
        <a:xfrm>
          <a:off x="5554186" y="1699260"/>
          <a:ext cx="1016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295463</xdr:colOff>
      <xdr:row>13</xdr:row>
      <xdr:rowOff>97474</xdr:rowOff>
    </xdr:from>
    <xdr:to>
      <xdr:col>6</xdr:col>
      <xdr:colOff>683198</xdr:colOff>
      <xdr:row>16</xdr:row>
      <xdr:rowOff>81594</xdr:rowOff>
    </xdr:to>
    <xdr:sp macro="" textlink="">
      <xdr:nvSpPr>
        <xdr:cNvPr id="24" name="テキスト ボックス 23">
          <a:extLst>
            <a:ext uri="{FF2B5EF4-FFF2-40B4-BE49-F238E27FC236}">
              <a16:creationId xmlns:a16="http://schemas.microsoft.com/office/drawing/2014/main" id="{1037E95B-7105-40B8-963E-7E2A2F50B8BF}"/>
            </a:ext>
          </a:extLst>
        </xdr:cNvPr>
        <xdr:cNvSpPr txBox="1"/>
      </xdr:nvSpPr>
      <xdr:spPr>
        <a:xfrm>
          <a:off x="5296088" y="22977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6</xdr:col>
      <xdr:colOff>728723</xdr:colOff>
      <xdr:row>13</xdr:row>
      <xdr:rowOff>97474</xdr:rowOff>
    </xdr:from>
    <xdr:to>
      <xdr:col>6</xdr:col>
      <xdr:colOff>1116458</xdr:colOff>
      <xdr:row>16</xdr:row>
      <xdr:rowOff>81594</xdr:rowOff>
    </xdr:to>
    <xdr:sp macro="" textlink="">
      <xdr:nvSpPr>
        <xdr:cNvPr id="25" name="テキスト ボックス 24">
          <a:extLst>
            <a:ext uri="{FF2B5EF4-FFF2-40B4-BE49-F238E27FC236}">
              <a16:creationId xmlns:a16="http://schemas.microsoft.com/office/drawing/2014/main" id="{E6EDADDA-253D-47D6-B5C3-AE49AD8F94E5}"/>
            </a:ext>
          </a:extLst>
        </xdr:cNvPr>
        <xdr:cNvSpPr txBox="1"/>
      </xdr:nvSpPr>
      <xdr:spPr>
        <a:xfrm>
          <a:off x="5729348" y="22977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590931</xdr:colOff>
      <xdr:row>28</xdr:row>
      <xdr:rowOff>3810</xdr:rowOff>
    </xdr:from>
    <xdr:to>
      <xdr:col>6</xdr:col>
      <xdr:colOff>617791</xdr:colOff>
      <xdr:row>36</xdr:row>
      <xdr:rowOff>3810</xdr:rowOff>
    </xdr:to>
    <xdr:sp macro="" textlink="">
      <xdr:nvSpPr>
        <xdr:cNvPr id="26" name="正方形/長方形 25">
          <a:extLst>
            <a:ext uri="{FF2B5EF4-FFF2-40B4-BE49-F238E27FC236}">
              <a16:creationId xmlns:a16="http://schemas.microsoft.com/office/drawing/2014/main" id="{0413D78E-40B8-4725-9535-43809BE9AA5C}"/>
            </a:ext>
          </a:extLst>
        </xdr:cNvPr>
        <xdr:cNvSpPr/>
      </xdr:nvSpPr>
      <xdr:spPr>
        <a:xfrm>
          <a:off x="5591556" y="4775835"/>
          <a:ext cx="26860" cy="1371600"/>
        </a:xfrm>
        <a:prstGeom prst="rect">
          <a:avLst/>
        </a:prstGeom>
        <a:pattFill prst="pct50">
          <a:fgClr>
            <a:srgbClr xmlns:mc="http://schemas.openxmlformats.org/markup-compatibility/2006" xmlns:a14="http://schemas.microsoft.com/office/drawing/2010/main" val="C0C0C0" mc:Ignorable="a14" a14:legacySpreadsheetColorIndex="22"/>
          </a:fgClr>
          <a:bgClr>
            <a:srgbClr val="FFFFFF"/>
          </a:bgClr>
        </a:pattFill>
        <a:ln w="317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a:scene3d>
          <a:camera prst="legacyObliqueTopRight"/>
          <a:lightRig rig="threePt" dir="tl"/>
        </a:scene3d>
        <a:sp3d extrusionH="457200" prstMaterial="clear">
          <a:extrusionClr>
            <a:srgbClr xmlns:mc="http://schemas.openxmlformats.org/markup-compatibility/2006" xmlns:a14="http://schemas.microsoft.com/office/drawing/2010/main" val="C0C0C0" mc:Ignorable="a14" a14:legacySpreadsheetColorIndex="2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553561</xdr:colOff>
      <xdr:row>27</xdr:row>
      <xdr:rowOff>13335</xdr:rowOff>
    </xdr:from>
    <xdr:to>
      <xdr:col>6</xdr:col>
      <xdr:colOff>655161</xdr:colOff>
      <xdr:row>27</xdr:row>
      <xdr:rowOff>137160</xdr:rowOff>
    </xdr:to>
    <xdr:sp macro="" textlink="">
      <xdr:nvSpPr>
        <xdr:cNvPr id="27" name="テキスト ボックス 26">
          <a:extLst>
            <a:ext uri="{FF2B5EF4-FFF2-40B4-BE49-F238E27FC236}">
              <a16:creationId xmlns:a16="http://schemas.microsoft.com/office/drawing/2014/main" id="{87CCCC51-1131-4E05-B27E-A4DE63CB5972}"/>
            </a:ext>
          </a:extLst>
        </xdr:cNvPr>
        <xdr:cNvSpPr txBox="1"/>
      </xdr:nvSpPr>
      <xdr:spPr>
        <a:xfrm>
          <a:off x="5554186" y="4613910"/>
          <a:ext cx="1016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295463</xdr:colOff>
      <xdr:row>30</xdr:row>
      <xdr:rowOff>97474</xdr:rowOff>
    </xdr:from>
    <xdr:to>
      <xdr:col>6</xdr:col>
      <xdr:colOff>683198</xdr:colOff>
      <xdr:row>33</xdr:row>
      <xdr:rowOff>81594</xdr:rowOff>
    </xdr:to>
    <xdr:sp macro="" textlink="">
      <xdr:nvSpPr>
        <xdr:cNvPr id="28" name="テキスト ボックス 27">
          <a:extLst>
            <a:ext uri="{FF2B5EF4-FFF2-40B4-BE49-F238E27FC236}">
              <a16:creationId xmlns:a16="http://schemas.microsoft.com/office/drawing/2014/main" id="{185BD1D7-61AC-433D-8237-D308C8311BCA}"/>
            </a:ext>
          </a:extLst>
        </xdr:cNvPr>
        <xdr:cNvSpPr txBox="1"/>
      </xdr:nvSpPr>
      <xdr:spPr>
        <a:xfrm>
          <a:off x="5296088" y="52123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6</xdr:col>
      <xdr:colOff>728723</xdr:colOff>
      <xdr:row>30</xdr:row>
      <xdr:rowOff>97474</xdr:rowOff>
    </xdr:from>
    <xdr:to>
      <xdr:col>6</xdr:col>
      <xdr:colOff>1116458</xdr:colOff>
      <xdr:row>33</xdr:row>
      <xdr:rowOff>81594</xdr:rowOff>
    </xdr:to>
    <xdr:sp macro="" textlink="">
      <xdr:nvSpPr>
        <xdr:cNvPr id="29" name="テキスト ボックス 28">
          <a:extLst>
            <a:ext uri="{FF2B5EF4-FFF2-40B4-BE49-F238E27FC236}">
              <a16:creationId xmlns:a16="http://schemas.microsoft.com/office/drawing/2014/main" id="{1F19AC91-44C4-4406-9157-F7AE1C944155}"/>
            </a:ext>
          </a:extLst>
        </xdr:cNvPr>
        <xdr:cNvSpPr txBox="1"/>
      </xdr:nvSpPr>
      <xdr:spPr>
        <a:xfrm>
          <a:off x="5729348" y="52123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553561</xdr:colOff>
      <xdr:row>44</xdr:row>
      <xdr:rowOff>13335</xdr:rowOff>
    </xdr:from>
    <xdr:to>
      <xdr:col>0</xdr:col>
      <xdr:colOff>655161</xdr:colOff>
      <xdr:row>44</xdr:row>
      <xdr:rowOff>137160</xdr:rowOff>
    </xdr:to>
    <xdr:sp macro="" textlink="">
      <xdr:nvSpPr>
        <xdr:cNvPr id="30" name="テキスト ボックス 29">
          <a:extLst>
            <a:ext uri="{FF2B5EF4-FFF2-40B4-BE49-F238E27FC236}">
              <a16:creationId xmlns:a16="http://schemas.microsoft.com/office/drawing/2014/main" id="{E22CE510-79BD-460B-AA6A-C1E44760460E}"/>
            </a:ext>
          </a:extLst>
        </xdr:cNvPr>
        <xdr:cNvSpPr txBox="1"/>
      </xdr:nvSpPr>
      <xdr:spPr>
        <a:xfrm>
          <a:off x="553561" y="7528560"/>
          <a:ext cx="1016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228312</xdr:colOff>
      <xdr:row>47</xdr:row>
      <xdr:rowOff>97474</xdr:rowOff>
    </xdr:from>
    <xdr:to>
      <xdr:col>0</xdr:col>
      <xdr:colOff>616047</xdr:colOff>
      <xdr:row>50</xdr:row>
      <xdr:rowOff>81594</xdr:rowOff>
    </xdr:to>
    <xdr:sp macro="" textlink="">
      <xdr:nvSpPr>
        <xdr:cNvPr id="31" name="テキスト ボックス 30">
          <a:extLst>
            <a:ext uri="{FF2B5EF4-FFF2-40B4-BE49-F238E27FC236}">
              <a16:creationId xmlns:a16="http://schemas.microsoft.com/office/drawing/2014/main" id="{323F80BE-3214-43B6-9854-11283195E6E2}"/>
            </a:ext>
          </a:extLst>
        </xdr:cNvPr>
        <xdr:cNvSpPr txBox="1"/>
      </xdr:nvSpPr>
      <xdr:spPr>
        <a:xfrm>
          <a:off x="228312" y="81270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0</xdr:col>
      <xdr:colOff>523780</xdr:colOff>
      <xdr:row>45</xdr:row>
      <xdr:rowOff>3810</xdr:rowOff>
    </xdr:from>
    <xdr:to>
      <xdr:col>0</xdr:col>
      <xdr:colOff>550640</xdr:colOff>
      <xdr:row>53</xdr:row>
      <xdr:rowOff>3810</xdr:rowOff>
    </xdr:to>
    <xdr:sp macro="" textlink="">
      <xdr:nvSpPr>
        <xdr:cNvPr id="32" name="正方形/長方形 31">
          <a:extLst>
            <a:ext uri="{FF2B5EF4-FFF2-40B4-BE49-F238E27FC236}">
              <a16:creationId xmlns:a16="http://schemas.microsoft.com/office/drawing/2014/main" id="{6A4DC7BC-6873-4DA4-B0EF-E50DB7BFA842}"/>
            </a:ext>
          </a:extLst>
        </xdr:cNvPr>
        <xdr:cNvSpPr/>
      </xdr:nvSpPr>
      <xdr:spPr>
        <a:xfrm>
          <a:off x="523780" y="7690485"/>
          <a:ext cx="26860" cy="1371600"/>
        </a:xfrm>
        <a:prstGeom prst="rect">
          <a:avLst/>
        </a:prstGeom>
        <a:pattFill prst="pct50">
          <a:fgClr>
            <a:srgbClr xmlns:mc="http://schemas.openxmlformats.org/markup-compatibility/2006" xmlns:a14="http://schemas.microsoft.com/office/drawing/2010/main" val="C0C0C0" mc:Ignorable="a14" a14:legacySpreadsheetColorIndex="22"/>
          </a:fgClr>
          <a:bgClr>
            <a:srgbClr val="FFFFFF"/>
          </a:bgClr>
        </a:pattFill>
        <a:ln w="317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a:scene3d>
          <a:camera prst="legacyObliqueTopRight"/>
          <a:lightRig rig="threePt" dir="tl"/>
        </a:scene3d>
        <a:sp3d extrusionH="457200" prstMaterial="clear">
          <a:extrusionClr>
            <a:srgbClr xmlns:mc="http://schemas.openxmlformats.org/markup-compatibility/2006" xmlns:a14="http://schemas.microsoft.com/office/drawing/2010/main" val="C0C0C0" mc:Ignorable="a14" a14:legacySpreadsheetColorIndex="2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658082</xdr:colOff>
      <xdr:row>45</xdr:row>
      <xdr:rowOff>3810</xdr:rowOff>
    </xdr:from>
    <xdr:to>
      <xdr:col>0</xdr:col>
      <xdr:colOff>684943</xdr:colOff>
      <xdr:row>53</xdr:row>
      <xdr:rowOff>3810</xdr:rowOff>
    </xdr:to>
    <xdr:sp macro="" textlink="">
      <xdr:nvSpPr>
        <xdr:cNvPr id="33" name="正方形/長方形 32">
          <a:extLst>
            <a:ext uri="{FF2B5EF4-FFF2-40B4-BE49-F238E27FC236}">
              <a16:creationId xmlns:a16="http://schemas.microsoft.com/office/drawing/2014/main" id="{76E5EADD-0B2C-4E1E-B252-C5F7B4BA0768}"/>
            </a:ext>
          </a:extLst>
        </xdr:cNvPr>
        <xdr:cNvSpPr/>
      </xdr:nvSpPr>
      <xdr:spPr>
        <a:xfrm>
          <a:off x="658082" y="7690485"/>
          <a:ext cx="26861" cy="1371600"/>
        </a:xfrm>
        <a:prstGeom prst="rect">
          <a:avLst/>
        </a:prstGeom>
        <a:pattFill prst="pct50">
          <a:fgClr>
            <a:srgbClr xmlns:mc="http://schemas.openxmlformats.org/markup-compatibility/2006" xmlns:a14="http://schemas.microsoft.com/office/drawing/2010/main" val="C0C0C0" mc:Ignorable="a14" a14:legacySpreadsheetColorIndex="22"/>
          </a:fgClr>
          <a:bgClr>
            <a:srgbClr val="FFFFFF"/>
          </a:bgClr>
        </a:pattFill>
        <a:ln w="317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a:scene3d>
          <a:camera prst="legacyObliqueTopRight"/>
          <a:lightRig rig="threePt" dir="tl"/>
        </a:scene3d>
        <a:sp3d extrusionH="457200" prstMaterial="clear">
          <a:extrusionClr>
            <a:srgbClr xmlns:mc="http://schemas.openxmlformats.org/markup-compatibility/2006" xmlns:a14="http://schemas.microsoft.com/office/drawing/2010/main" val="C0C0C0" mc:Ignorable="a14" a14:legacySpreadsheetColorIndex="2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795875</xdr:colOff>
      <xdr:row>47</xdr:row>
      <xdr:rowOff>97474</xdr:rowOff>
    </xdr:from>
    <xdr:to>
      <xdr:col>0</xdr:col>
      <xdr:colOff>1183610</xdr:colOff>
      <xdr:row>50</xdr:row>
      <xdr:rowOff>81594</xdr:rowOff>
    </xdr:to>
    <xdr:sp macro="" textlink="">
      <xdr:nvSpPr>
        <xdr:cNvPr id="34" name="テキスト ボックス 33">
          <a:extLst>
            <a:ext uri="{FF2B5EF4-FFF2-40B4-BE49-F238E27FC236}">
              <a16:creationId xmlns:a16="http://schemas.microsoft.com/office/drawing/2014/main" id="{EB8E7286-1289-445E-8D3C-2B289AD3B4F4}"/>
            </a:ext>
          </a:extLst>
        </xdr:cNvPr>
        <xdr:cNvSpPr txBox="1"/>
      </xdr:nvSpPr>
      <xdr:spPr>
        <a:xfrm>
          <a:off x="795875" y="81270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528137</xdr:colOff>
      <xdr:row>60</xdr:row>
      <xdr:rowOff>135049</xdr:rowOff>
    </xdr:from>
    <xdr:to>
      <xdr:col>0</xdr:col>
      <xdr:colOff>943635</xdr:colOff>
      <xdr:row>62</xdr:row>
      <xdr:rowOff>77676</xdr:rowOff>
    </xdr:to>
    <xdr:sp macro="" textlink="">
      <xdr:nvSpPr>
        <xdr:cNvPr id="35" name="テキスト ボックス 34">
          <a:extLst>
            <a:ext uri="{FF2B5EF4-FFF2-40B4-BE49-F238E27FC236}">
              <a16:creationId xmlns:a16="http://schemas.microsoft.com/office/drawing/2014/main" id="{D5134EF3-F9F5-44FF-BD44-8B03C42A81E3}"/>
            </a:ext>
          </a:extLst>
        </xdr:cNvPr>
        <xdr:cNvSpPr txBox="1"/>
      </xdr:nvSpPr>
      <xdr:spPr>
        <a:xfrm>
          <a:off x="528137" y="1039347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0</xdr:col>
      <xdr:colOff>37227</xdr:colOff>
      <xdr:row>63</xdr:row>
      <xdr:rowOff>43169</xdr:rowOff>
    </xdr:from>
    <xdr:to>
      <xdr:col>0</xdr:col>
      <xdr:colOff>151527</xdr:colOff>
      <xdr:row>63</xdr:row>
      <xdr:rowOff>166994</xdr:rowOff>
    </xdr:to>
    <xdr:sp macro="" textlink="">
      <xdr:nvSpPr>
        <xdr:cNvPr id="37" name="テキスト ボックス 36">
          <a:extLst>
            <a:ext uri="{FF2B5EF4-FFF2-40B4-BE49-F238E27FC236}">
              <a16:creationId xmlns:a16="http://schemas.microsoft.com/office/drawing/2014/main" id="{EF9A3BF2-B054-438D-8BE3-7D6EF5CE1871}"/>
            </a:ext>
          </a:extLst>
        </xdr:cNvPr>
        <xdr:cNvSpPr txBox="1"/>
      </xdr:nvSpPr>
      <xdr:spPr>
        <a:xfrm>
          <a:off x="37227" y="10815944"/>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63</xdr:row>
      <xdr:rowOff>136499</xdr:rowOff>
    </xdr:from>
    <xdr:to>
      <xdr:col>0</xdr:col>
      <xdr:colOff>151527</xdr:colOff>
      <xdr:row>64</xdr:row>
      <xdr:rowOff>88874</xdr:rowOff>
    </xdr:to>
    <xdr:sp macro="" textlink="">
      <xdr:nvSpPr>
        <xdr:cNvPr id="39" name="テキスト ボックス 38">
          <a:extLst>
            <a:ext uri="{FF2B5EF4-FFF2-40B4-BE49-F238E27FC236}">
              <a16:creationId xmlns:a16="http://schemas.microsoft.com/office/drawing/2014/main" id="{320372CC-8B00-4DFA-8F9E-1997E2C80819}"/>
            </a:ext>
          </a:extLst>
        </xdr:cNvPr>
        <xdr:cNvSpPr txBox="1"/>
      </xdr:nvSpPr>
      <xdr:spPr>
        <a:xfrm>
          <a:off x="37227" y="10909274"/>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64</xdr:row>
      <xdr:rowOff>36868</xdr:rowOff>
    </xdr:from>
    <xdr:to>
      <xdr:col>0</xdr:col>
      <xdr:colOff>151527</xdr:colOff>
      <xdr:row>64</xdr:row>
      <xdr:rowOff>160693</xdr:rowOff>
    </xdr:to>
    <xdr:sp macro="" textlink="">
      <xdr:nvSpPr>
        <xdr:cNvPr id="41" name="テキスト ボックス 40">
          <a:extLst>
            <a:ext uri="{FF2B5EF4-FFF2-40B4-BE49-F238E27FC236}">
              <a16:creationId xmlns:a16="http://schemas.microsoft.com/office/drawing/2014/main" id="{290D3166-B666-4997-BA55-73864601030E}"/>
            </a:ext>
          </a:extLst>
        </xdr:cNvPr>
        <xdr:cNvSpPr txBox="1"/>
      </xdr:nvSpPr>
      <xdr:spPr>
        <a:xfrm>
          <a:off x="37227" y="10981093"/>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64</xdr:row>
      <xdr:rowOff>108687</xdr:rowOff>
    </xdr:from>
    <xdr:to>
      <xdr:col>0</xdr:col>
      <xdr:colOff>151527</xdr:colOff>
      <xdr:row>65</xdr:row>
      <xdr:rowOff>61062</xdr:rowOff>
    </xdr:to>
    <xdr:sp macro="" textlink="">
      <xdr:nvSpPr>
        <xdr:cNvPr id="43" name="テキスト ボックス 42">
          <a:extLst>
            <a:ext uri="{FF2B5EF4-FFF2-40B4-BE49-F238E27FC236}">
              <a16:creationId xmlns:a16="http://schemas.microsoft.com/office/drawing/2014/main" id="{3E41AB6B-6A46-438E-BAF9-8626B544BD98}"/>
            </a:ext>
          </a:extLst>
        </xdr:cNvPr>
        <xdr:cNvSpPr txBox="1"/>
      </xdr:nvSpPr>
      <xdr:spPr>
        <a:xfrm>
          <a:off x="37227" y="11052912"/>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66</xdr:row>
      <xdr:rowOff>39022</xdr:rowOff>
    </xdr:from>
    <xdr:to>
      <xdr:col>0</xdr:col>
      <xdr:colOff>151527</xdr:colOff>
      <xdr:row>66</xdr:row>
      <xdr:rowOff>162847</xdr:rowOff>
    </xdr:to>
    <xdr:sp macro="" textlink="">
      <xdr:nvSpPr>
        <xdr:cNvPr id="44" name="テキスト ボックス 43">
          <a:extLst>
            <a:ext uri="{FF2B5EF4-FFF2-40B4-BE49-F238E27FC236}">
              <a16:creationId xmlns:a16="http://schemas.microsoft.com/office/drawing/2014/main" id="{64E7C3B9-0D98-409F-8F52-A366D704BFB8}"/>
            </a:ext>
          </a:extLst>
        </xdr:cNvPr>
        <xdr:cNvSpPr txBox="1"/>
      </xdr:nvSpPr>
      <xdr:spPr>
        <a:xfrm>
          <a:off x="37227" y="1132614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67</xdr:row>
      <xdr:rowOff>60453</xdr:rowOff>
    </xdr:from>
    <xdr:to>
      <xdr:col>0</xdr:col>
      <xdr:colOff>151527</xdr:colOff>
      <xdr:row>68</xdr:row>
      <xdr:rowOff>12828</xdr:rowOff>
    </xdr:to>
    <xdr:sp macro="" textlink="">
      <xdr:nvSpPr>
        <xdr:cNvPr id="46" name="テキスト ボックス 45">
          <a:extLst>
            <a:ext uri="{FF2B5EF4-FFF2-40B4-BE49-F238E27FC236}">
              <a16:creationId xmlns:a16="http://schemas.microsoft.com/office/drawing/2014/main" id="{3A9E6949-DD0C-414C-97AB-B03D4F3A9C4C}"/>
            </a:ext>
          </a:extLst>
        </xdr:cNvPr>
        <xdr:cNvSpPr txBox="1"/>
      </xdr:nvSpPr>
      <xdr:spPr>
        <a:xfrm>
          <a:off x="37227" y="1151902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6</a:t>
          </a:r>
          <a:endParaRPr kumimoji="1" lang="ja-JP" altLang="en-US" sz="800" b="0" i="0">
            <a:latin typeface="ＭＳ Ｐゴシック" panose="020B0600070205080204" pitchFamily="50" charset="-128"/>
          </a:endParaRPr>
        </a:p>
      </xdr:txBody>
    </xdr:sp>
    <xdr:clientData/>
  </xdr:twoCellAnchor>
  <xdr:twoCellAnchor>
    <xdr:from>
      <xdr:col>0</xdr:col>
      <xdr:colOff>528137</xdr:colOff>
      <xdr:row>67</xdr:row>
      <xdr:rowOff>100124</xdr:rowOff>
    </xdr:from>
    <xdr:to>
      <xdr:col>0</xdr:col>
      <xdr:colOff>943635</xdr:colOff>
      <xdr:row>69</xdr:row>
      <xdr:rowOff>42751</xdr:rowOff>
    </xdr:to>
    <xdr:sp macro="" textlink="">
      <xdr:nvSpPr>
        <xdr:cNvPr id="47" name="テキスト ボックス 46">
          <a:extLst>
            <a:ext uri="{FF2B5EF4-FFF2-40B4-BE49-F238E27FC236}">
              <a16:creationId xmlns:a16="http://schemas.microsoft.com/office/drawing/2014/main" id="{A9334CC4-3A38-406C-9C5D-25615559E871}"/>
            </a:ext>
          </a:extLst>
        </xdr:cNvPr>
        <xdr:cNvSpPr txBox="1"/>
      </xdr:nvSpPr>
      <xdr:spPr>
        <a:xfrm>
          <a:off x="528137" y="11558699"/>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528137</xdr:colOff>
      <xdr:row>43</xdr:row>
      <xdr:rowOff>135049</xdr:rowOff>
    </xdr:from>
    <xdr:to>
      <xdr:col>6</xdr:col>
      <xdr:colOff>943635</xdr:colOff>
      <xdr:row>45</xdr:row>
      <xdr:rowOff>77676</xdr:rowOff>
    </xdr:to>
    <xdr:sp macro="" textlink="">
      <xdr:nvSpPr>
        <xdr:cNvPr id="48" name="テキスト ボックス 47">
          <a:extLst>
            <a:ext uri="{FF2B5EF4-FFF2-40B4-BE49-F238E27FC236}">
              <a16:creationId xmlns:a16="http://schemas.microsoft.com/office/drawing/2014/main" id="{AC48C941-63D6-4764-B027-20157660D480}"/>
            </a:ext>
          </a:extLst>
        </xdr:cNvPr>
        <xdr:cNvSpPr txBox="1"/>
      </xdr:nvSpPr>
      <xdr:spPr>
        <a:xfrm>
          <a:off x="5528762" y="747882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6</xdr:col>
      <xdr:colOff>37227</xdr:colOff>
      <xdr:row>46</xdr:row>
      <xdr:rowOff>42182</xdr:rowOff>
    </xdr:from>
    <xdr:to>
      <xdr:col>6</xdr:col>
      <xdr:colOff>151527</xdr:colOff>
      <xdr:row>46</xdr:row>
      <xdr:rowOff>166007</xdr:rowOff>
    </xdr:to>
    <xdr:sp macro="" textlink="">
      <xdr:nvSpPr>
        <xdr:cNvPr id="50" name="テキスト ボックス 49">
          <a:extLst>
            <a:ext uri="{FF2B5EF4-FFF2-40B4-BE49-F238E27FC236}">
              <a16:creationId xmlns:a16="http://schemas.microsoft.com/office/drawing/2014/main" id="{489EB609-D137-4CFF-A855-5B4CA822877D}"/>
            </a:ext>
          </a:extLst>
        </xdr:cNvPr>
        <xdr:cNvSpPr txBox="1"/>
      </xdr:nvSpPr>
      <xdr:spPr>
        <a:xfrm>
          <a:off x="5037852" y="790030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46</xdr:row>
      <xdr:rowOff>134031</xdr:rowOff>
    </xdr:from>
    <xdr:to>
      <xdr:col>6</xdr:col>
      <xdr:colOff>151527</xdr:colOff>
      <xdr:row>47</xdr:row>
      <xdr:rowOff>86406</xdr:rowOff>
    </xdr:to>
    <xdr:sp macro="" textlink="">
      <xdr:nvSpPr>
        <xdr:cNvPr id="52" name="テキスト ボックス 51">
          <a:extLst>
            <a:ext uri="{FF2B5EF4-FFF2-40B4-BE49-F238E27FC236}">
              <a16:creationId xmlns:a16="http://schemas.microsoft.com/office/drawing/2014/main" id="{EEDC0C0B-E6BA-4F27-9794-6D9897F99437}"/>
            </a:ext>
          </a:extLst>
        </xdr:cNvPr>
        <xdr:cNvSpPr txBox="1"/>
      </xdr:nvSpPr>
      <xdr:spPr>
        <a:xfrm>
          <a:off x="5037852" y="7992156"/>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47</xdr:row>
      <xdr:rowOff>34399</xdr:rowOff>
    </xdr:from>
    <xdr:to>
      <xdr:col>6</xdr:col>
      <xdr:colOff>151527</xdr:colOff>
      <xdr:row>47</xdr:row>
      <xdr:rowOff>158224</xdr:rowOff>
    </xdr:to>
    <xdr:sp macro="" textlink="">
      <xdr:nvSpPr>
        <xdr:cNvPr id="54" name="テキスト ボックス 53">
          <a:extLst>
            <a:ext uri="{FF2B5EF4-FFF2-40B4-BE49-F238E27FC236}">
              <a16:creationId xmlns:a16="http://schemas.microsoft.com/office/drawing/2014/main" id="{AC77517D-824E-4C72-AA5D-66A686385053}"/>
            </a:ext>
          </a:extLst>
        </xdr:cNvPr>
        <xdr:cNvSpPr txBox="1"/>
      </xdr:nvSpPr>
      <xdr:spPr>
        <a:xfrm>
          <a:off x="5037852" y="8063974"/>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47</xdr:row>
      <xdr:rowOff>106218</xdr:rowOff>
    </xdr:from>
    <xdr:to>
      <xdr:col>6</xdr:col>
      <xdr:colOff>151527</xdr:colOff>
      <xdr:row>48</xdr:row>
      <xdr:rowOff>58593</xdr:rowOff>
    </xdr:to>
    <xdr:sp macro="" textlink="">
      <xdr:nvSpPr>
        <xdr:cNvPr id="56" name="テキスト ボックス 55">
          <a:extLst>
            <a:ext uri="{FF2B5EF4-FFF2-40B4-BE49-F238E27FC236}">
              <a16:creationId xmlns:a16="http://schemas.microsoft.com/office/drawing/2014/main" id="{F87937C9-D75B-4FD9-B005-A842D63206A9}"/>
            </a:ext>
          </a:extLst>
        </xdr:cNvPr>
        <xdr:cNvSpPr txBox="1"/>
      </xdr:nvSpPr>
      <xdr:spPr>
        <a:xfrm>
          <a:off x="5037852" y="8135793"/>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49</xdr:row>
      <xdr:rowOff>29936</xdr:rowOff>
    </xdr:from>
    <xdr:to>
      <xdr:col>6</xdr:col>
      <xdr:colOff>151527</xdr:colOff>
      <xdr:row>49</xdr:row>
      <xdr:rowOff>153761</xdr:rowOff>
    </xdr:to>
    <xdr:sp macro="" textlink="">
      <xdr:nvSpPr>
        <xdr:cNvPr id="57" name="テキスト ボックス 56">
          <a:extLst>
            <a:ext uri="{FF2B5EF4-FFF2-40B4-BE49-F238E27FC236}">
              <a16:creationId xmlns:a16="http://schemas.microsoft.com/office/drawing/2014/main" id="{A5D2C50B-65CF-45D3-8A05-471A1171CCFA}"/>
            </a:ext>
          </a:extLst>
        </xdr:cNvPr>
        <xdr:cNvSpPr txBox="1"/>
      </xdr:nvSpPr>
      <xdr:spPr>
        <a:xfrm>
          <a:off x="5037852" y="84024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50</xdr:row>
      <xdr:rowOff>48306</xdr:rowOff>
    </xdr:from>
    <xdr:to>
      <xdr:col>6</xdr:col>
      <xdr:colOff>151527</xdr:colOff>
      <xdr:row>51</xdr:row>
      <xdr:rowOff>681</xdr:rowOff>
    </xdr:to>
    <xdr:sp macro="" textlink="">
      <xdr:nvSpPr>
        <xdr:cNvPr id="59" name="テキスト ボックス 58">
          <a:extLst>
            <a:ext uri="{FF2B5EF4-FFF2-40B4-BE49-F238E27FC236}">
              <a16:creationId xmlns:a16="http://schemas.microsoft.com/office/drawing/2014/main" id="{40F8488A-1F59-424D-8125-652784E1CFE4}"/>
            </a:ext>
          </a:extLst>
        </xdr:cNvPr>
        <xdr:cNvSpPr txBox="1"/>
      </xdr:nvSpPr>
      <xdr:spPr>
        <a:xfrm>
          <a:off x="5037852" y="859223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6</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50</xdr:row>
      <xdr:rowOff>120124</xdr:rowOff>
    </xdr:from>
    <xdr:to>
      <xdr:col>6</xdr:col>
      <xdr:colOff>151527</xdr:colOff>
      <xdr:row>51</xdr:row>
      <xdr:rowOff>72499</xdr:rowOff>
    </xdr:to>
    <xdr:sp macro="" textlink="">
      <xdr:nvSpPr>
        <xdr:cNvPr id="61" name="テキスト ボックス 60">
          <a:extLst>
            <a:ext uri="{FF2B5EF4-FFF2-40B4-BE49-F238E27FC236}">
              <a16:creationId xmlns:a16="http://schemas.microsoft.com/office/drawing/2014/main" id="{37CD0383-E162-447B-A6E4-B9B4BCA41F96}"/>
            </a:ext>
          </a:extLst>
        </xdr:cNvPr>
        <xdr:cNvSpPr txBox="1"/>
      </xdr:nvSpPr>
      <xdr:spPr>
        <a:xfrm>
          <a:off x="5037852" y="866404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7</a:t>
          </a:r>
          <a:endParaRPr kumimoji="1" lang="ja-JP" altLang="en-US" sz="800" b="0" i="0">
            <a:latin typeface="ＭＳ Ｐゴシック" panose="020B0600070205080204" pitchFamily="50" charset="-128"/>
          </a:endParaRPr>
        </a:p>
      </xdr:txBody>
    </xdr:sp>
    <xdr:clientData/>
  </xdr:twoCellAnchor>
  <xdr:twoCellAnchor>
    <xdr:from>
      <xdr:col>6</xdr:col>
      <xdr:colOff>528137</xdr:colOff>
      <xdr:row>50</xdr:row>
      <xdr:rowOff>100124</xdr:rowOff>
    </xdr:from>
    <xdr:to>
      <xdr:col>6</xdr:col>
      <xdr:colOff>943635</xdr:colOff>
      <xdr:row>52</xdr:row>
      <xdr:rowOff>42751</xdr:rowOff>
    </xdr:to>
    <xdr:sp macro="" textlink="">
      <xdr:nvSpPr>
        <xdr:cNvPr id="62" name="テキスト ボックス 61">
          <a:extLst>
            <a:ext uri="{FF2B5EF4-FFF2-40B4-BE49-F238E27FC236}">
              <a16:creationId xmlns:a16="http://schemas.microsoft.com/office/drawing/2014/main" id="{34563A67-6E3C-410F-ABE5-57123BBA1268}"/>
            </a:ext>
          </a:extLst>
        </xdr:cNvPr>
        <xdr:cNvSpPr txBox="1"/>
      </xdr:nvSpPr>
      <xdr:spPr>
        <a:xfrm>
          <a:off x="5528762" y="8644049"/>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34573</xdr:colOff>
      <xdr:row>64</xdr:row>
      <xdr:rowOff>97474</xdr:rowOff>
    </xdr:from>
    <xdr:to>
      <xdr:col>6</xdr:col>
      <xdr:colOff>422308</xdr:colOff>
      <xdr:row>67</xdr:row>
      <xdr:rowOff>81594</xdr:rowOff>
    </xdr:to>
    <xdr:sp macro="" textlink="">
      <xdr:nvSpPr>
        <xdr:cNvPr id="63" name="テキスト ボックス 62">
          <a:extLst>
            <a:ext uri="{FF2B5EF4-FFF2-40B4-BE49-F238E27FC236}">
              <a16:creationId xmlns:a16="http://schemas.microsoft.com/office/drawing/2014/main" id="{478C348E-B78F-4561-8E5D-ACD1E3C545D1}"/>
            </a:ext>
          </a:extLst>
        </xdr:cNvPr>
        <xdr:cNvSpPr txBox="1"/>
      </xdr:nvSpPr>
      <xdr:spPr>
        <a:xfrm>
          <a:off x="5035198" y="110416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330041</xdr:colOff>
      <xdr:row>62</xdr:row>
      <xdr:rowOff>3810</xdr:rowOff>
    </xdr:from>
    <xdr:to>
      <xdr:col>6</xdr:col>
      <xdr:colOff>368141</xdr:colOff>
      <xdr:row>70</xdr:row>
      <xdr:rowOff>3810</xdr:rowOff>
    </xdr:to>
    <xdr:sp macro="" textlink="">
      <xdr:nvSpPr>
        <xdr:cNvPr id="64" name="正方形/長方形 63">
          <a:extLst>
            <a:ext uri="{FF2B5EF4-FFF2-40B4-BE49-F238E27FC236}">
              <a16:creationId xmlns:a16="http://schemas.microsoft.com/office/drawing/2014/main" id="{6F229BD0-7A88-44E0-AF9D-246F7A70350A}"/>
            </a:ext>
          </a:extLst>
        </xdr:cNvPr>
        <xdr:cNvSpPr/>
      </xdr:nvSpPr>
      <xdr:spPr>
        <a:xfrm>
          <a:off x="5330666" y="10605135"/>
          <a:ext cx="3810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291941</xdr:colOff>
      <xdr:row>61</xdr:row>
      <xdr:rowOff>13335</xdr:rowOff>
    </xdr:from>
    <xdr:to>
      <xdr:col>6</xdr:col>
      <xdr:colOff>406241</xdr:colOff>
      <xdr:row>61</xdr:row>
      <xdr:rowOff>137160</xdr:rowOff>
    </xdr:to>
    <xdr:sp macro="" textlink="">
      <xdr:nvSpPr>
        <xdr:cNvPr id="65" name="テキスト ボックス 64">
          <a:extLst>
            <a:ext uri="{FF2B5EF4-FFF2-40B4-BE49-F238E27FC236}">
              <a16:creationId xmlns:a16="http://schemas.microsoft.com/office/drawing/2014/main" id="{E4648654-3978-4A8C-9ACB-1223990C85DB}"/>
            </a:ext>
          </a:extLst>
        </xdr:cNvPr>
        <xdr:cNvSpPr txBox="1"/>
      </xdr:nvSpPr>
      <xdr:spPr>
        <a:xfrm>
          <a:off x="5292566"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368141</xdr:colOff>
      <xdr:row>62</xdr:row>
      <xdr:rowOff>3810</xdr:rowOff>
    </xdr:from>
    <xdr:to>
      <xdr:col>6</xdr:col>
      <xdr:colOff>413861</xdr:colOff>
      <xdr:row>70</xdr:row>
      <xdr:rowOff>3810</xdr:rowOff>
    </xdr:to>
    <xdr:sp macro="" textlink="">
      <xdr:nvSpPr>
        <xdr:cNvPr id="66" name="正方形/長方形 65">
          <a:extLst>
            <a:ext uri="{FF2B5EF4-FFF2-40B4-BE49-F238E27FC236}">
              <a16:creationId xmlns:a16="http://schemas.microsoft.com/office/drawing/2014/main" id="{CA26A096-F59C-4539-B7EA-15699D3BCE93}"/>
            </a:ext>
          </a:extLst>
        </xdr:cNvPr>
        <xdr:cNvSpPr/>
      </xdr:nvSpPr>
      <xdr:spPr>
        <a:xfrm>
          <a:off x="5368766" y="10605135"/>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354806</xdr:colOff>
      <xdr:row>61</xdr:row>
      <xdr:rowOff>13335</xdr:rowOff>
    </xdr:from>
    <xdr:to>
      <xdr:col>6</xdr:col>
      <xdr:colOff>469106</xdr:colOff>
      <xdr:row>61</xdr:row>
      <xdr:rowOff>137160</xdr:rowOff>
    </xdr:to>
    <xdr:sp macro="" textlink="">
      <xdr:nvSpPr>
        <xdr:cNvPr id="67" name="テキスト ボックス 66">
          <a:extLst>
            <a:ext uri="{FF2B5EF4-FFF2-40B4-BE49-F238E27FC236}">
              <a16:creationId xmlns:a16="http://schemas.microsoft.com/office/drawing/2014/main" id="{426F99FE-5806-4D08-A769-078675C6FF18}"/>
            </a:ext>
          </a:extLst>
        </xdr:cNvPr>
        <xdr:cNvSpPr txBox="1"/>
      </xdr:nvSpPr>
      <xdr:spPr>
        <a:xfrm>
          <a:off x="5355431"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547211</xdr:colOff>
      <xdr:row>61</xdr:row>
      <xdr:rowOff>13335</xdr:rowOff>
    </xdr:from>
    <xdr:to>
      <xdr:col>6</xdr:col>
      <xdr:colOff>661511</xdr:colOff>
      <xdr:row>61</xdr:row>
      <xdr:rowOff>137160</xdr:rowOff>
    </xdr:to>
    <xdr:sp macro="" textlink="">
      <xdr:nvSpPr>
        <xdr:cNvPr id="68" name="テキスト ボックス 67">
          <a:extLst>
            <a:ext uri="{FF2B5EF4-FFF2-40B4-BE49-F238E27FC236}">
              <a16:creationId xmlns:a16="http://schemas.microsoft.com/office/drawing/2014/main" id="{7F354343-0176-4E10-A9D5-BB15068323EA}"/>
            </a:ext>
          </a:extLst>
        </xdr:cNvPr>
        <xdr:cNvSpPr txBox="1"/>
      </xdr:nvSpPr>
      <xdr:spPr>
        <a:xfrm>
          <a:off x="5547836"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794861</xdr:colOff>
      <xdr:row>62</xdr:row>
      <xdr:rowOff>3810</xdr:rowOff>
    </xdr:from>
    <xdr:to>
      <xdr:col>6</xdr:col>
      <xdr:colOff>840581</xdr:colOff>
      <xdr:row>70</xdr:row>
      <xdr:rowOff>3810</xdr:rowOff>
    </xdr:to>
    <xdr:sp macro="" textlink="">
      <xdr:nvSpPr>
        <xdr:cNvPr id="69" name="正方形/長方形 68">
          <a:extLst>
            <a:ext uri="{FF2B5EF4-FFF2-40B4-BE49-F238E27FC236}">
              <a16:creationId xmlns:a16="http://schemas.microsoft.com/office/drawing/2014/main" id="{1A37C68D-8467-4B4A-B8BA-81536C02C9F5}"/>
            </a:ext>
          </a:extLst>
        </xdr:cNvPr>
        <xdr:cNvSpPr/>
      </xdr:nvSpPr>
      <xdr:spPr>
        <a:xfrm>
          <a:off x="5795486" y="10605135"/>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760571</xdr:colOff>
      <xdr:row>61</xdr:row>
      <xdr:rowOff>13335</xdr:rowOff>
    </xdr:from>
    <xdr:to>
      <xdr:col>6</xdr:col>
      <xdr:colOff>874871</xdr:colOff>
      <xdr:row>61</xdr:row>
      <xdr:rowOff>137160</xdr:rowOff>
    </xdr:to>
    <xdr:sp macro="" textlink="">
      <xdr:nvSpPr>
        <xdr:cNvPr id="70" name="テキスト ボックス 69">
          <a:extLst>
            <a:ext uri="{FF2B5EF4-FFF2-40B4-BE49-F238E27FC236}">
              <a16:creationId xmlns:a16="http://schemas.microsoft.com/office/drawing/2014/main" id="{E0A0A7B7-DA5A-4F75-BE84-98817E9BADA5}"/>
            </a:ext>
          </a:extLst>
        </xdr:cNvPr>
        <xdr:cNvSpPr txBox="1"/>
      </xdr:nvSpPr>
      <xdr:spPr>
        <a:xfrm>
          <a:off x="5761196"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840581</xdr:colOff>
      <xdr:row>62</xdr:row>
      <xdr:rowOff>3810</xdr:rowOff>
    </xdr:from>
    <xdr:to>
      <xdr:col>6</xdr:col>
      <xdr:colOff>878681</xdr:colOff>
      <xdr:row>70</xdr:row>
      <xdr:rowOff>3810</xdr:rowOff>
    </xdr:to>
    <xdr:sp macro="" textlink="">
      <xdr:nvSpPr>
        <xdr:cNvPr id="71" name="正方形/長方形 70">
          <a:extLst>
            <a:ext uri="{FF2B5EF4-FFF2-40B4-BE49-F238E27FC236}">
              <a16:creationId xmlns:a16="http://schemas.microsoft.com/office/drawing/2014/main" id="{572E10E5-9B90-484B-9900-971348614636}"/>
            </a:ext>
          </a:extLst>
        </xdr:cNvPr>
        <xdr:cNvSpPr/>
      </xdr:nvSpPr>
      <xdr:spPr>
        <a:xfrm>
          <a:off x="5841206" y="10605135"/>
          <a:ext cx="3810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823436</xdr:colOff>
      <xdr:row>61</xdr:row>
      <xdr:rowOff>13335</xdr:rowOff>
    </xdr:from>
    <xdr:to>
      <xdr:col>6</xdr:col>
      <xdr:colOff>937736</xdr:colOff>
      <xdr:row>61</xdr:row>
      <xdr:rowOff>137160</xdr:rowOff>
    </xdr:to>
    <xdr:sp macro="" textlink="">
      <xdr:nvSpPr>
        <xdr:cNvPr id="72" name="テキスト ボックス 71">
          <a:extLst>
            <a:ext uri="{FF2B5EF4-FFF2-40B4-BE49-F238E27FC236}">
              <a16:creationId xmlns:a16="http://schemas.microsoft.com/office/drawing/2014/main" id="{25BC4948-F38A-47EB-B981-5C73924BD95B}"/>
            </a:ext>
          </a:extLst>
        </xdr:cNvPr>
        <xdr:cNvSpPr txBox="1"/>
      </xdr:nvSpPr>
      <xdr:spPr>
        <a:xfrm>
          <a:off x="5824061"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989613</xdr:colOff>
      <xdr:row>64</xdr:row>
      <xdr:rowOff>97474</xdr:rowOff>
    </xdr:from>
    <xdr:to>
      <xdr:col>7</xdr:col>
      <xdr:colOff>34323</xdr:colOff>
      <xdr:row>67</xdr:row>
      <xdr:rowOff>81594</xdr:rowOff>
    </xdr:to>
    <xdr:sp macro="" textlink="">
      <xdr:nvSpPr>
        <xdr:cNvPr id="73" name="テキスト ボックス 72">
          <a:extLst>
            <a:ext uri="{FF2B5EF4-FFF2-40B4-BE49-F238E27FC236}">
              <a16:creationId xmlns:a16="http://schemas.microsoft.com/office/drawing/2014/main" id="{479CAF89-37D1-4802-B796-CAF4074BB5F4}"/>
            </a:ext>
          </a:extLst>
        </xdr:cNvPr>
        <xdr:cNvSpPr txBox="1"/>
      </xdr:nvSpPr>
      <xdr:spPr>
        <a:xfrm>
          <a:off x="5990238" y="110416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72673</xdr:colOff>
      <xdr:row>81</xdr:row>
      <xdr:rowOff>97475</xdr:rowOff>
    </xdr:from>
    <xdr:to>
      <xdr:col>0</xdr:col>
      <xdr:colOff>460408</xdr:colOff>
      <xdr:row>84</xdr:row>
      <xdr:rowOff>81595</xdr:rowOff>
    </xdr:to>
    <xdr:sp macro="" textlink="">
      <xdr:nvSpPr>
        <xdr:cNvPr id="74" name="テキスト ボックス 73">
          <a:extLst>
            <a:ext uri="{FF2B5EF4-FFF2-40B4-BE49-F238E27FC236}">
              <a16:creationId xmlns:a16="http://schemas.microsoft.com/office/drawing/2014/main" id="{FC441374-C8BB-4468-8855-2914E6EC1C64}"/>
            </a:ext>
          </a:extLst>
        </xdr:cNvPr>
        <xdr:cNvSpPr txBox="1"/>
      </xdr:nvSpPr>
      <xdr:spPr>
        <a:xfrm>
          <a:off x="72673" y="13956350"/>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368141</xdr:colOff>
      <xdr:row>79</xdr:row>
      <xdr:rowOff>3811</xdr:rowOff>
    </xdr:from>
    <xdr:to>
      <xdr:col>0</xdr:col>
      <xdr:colOff>413861</xdr:colOff>
      <xdr:row>87</xdr:row>
      <xdr:rowOff>3811</xdr:rowOff>
    </xdr:to>
    <xdr:sp macro="" textlink="">
      <xdr:nvSpPr>
        <xdr:cNvPr id="75" name="正方形/長方形 74">
          <a:extLst>
            <a:ext uri="{FF2B5EF4-FFF2-40B4-BE49-F238E27FC236}">
              <a16:creationId xmlns:a16="http://schemas.microsoft.com/office/drawing/2014/main" id="{9C740F08-0E55-48C8-A560-22DC726E83AF}"/>
            </a:ext>
          </a:extLst>
        </xdr:cNvPr>
        <xdr:cNvSpPr/>
      </xdr:nvSpPr>
      <xdr:spPr>
        <a:xfrm>
          <a:off x="368141" y="13519786"/>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333851</xdr:colOff>
      <xdr:row>78</xdr:row>
      <xdr:rowOff>13336</xdr:rowOff>
    </xdr:from>
    <xdr:to>
      <xdr:col>0</xdr:col>
      <xdr:colOff>448151</xdr:colOff>
      <xdr:row>78</xdr:row>
      <xdr:rowOff>137161</xdr:rowOff>
    </xdr:to>
    <xdr:sp macro="" textlink="">
      <xdr:nvSpPr>
        <xdr:cNvPr id="76" name="テキスト ボックス 75">
          <a:extLst>
            <a:ext uri="{FF2B5EF4-FFF2-40B4-BE49-F238E27FC236}">
              <a16:creationId xmlns:a16="http://schemas.microsoft.com/office/drawing/2014/main" id="{FA3D2012-0719-49ED-9ACA-F0F294F14AFF}"/>
            </a:ext>
          </a:extLst>
        </xdr:cNvPr>
        <xdr:cNvSpPr txBox="1"/>
      </xdr:nvSpPr>
      <xdr:spPr>
        <a:xfrm>
          <a:off x="333851" y="1335786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547211</xdr:colOff>
      <xdr:row>78</xdr:row>
      <xdr:rowOff>13336</xdr:rowOff>
    </xdr:from>
    <xdr:to>
      <xdr:col>0</xdr:col>
      <xdr:colOff>661511</xdr:colOff>
      <xdr:row>78</xdr:row>
      <xdr:rowOff>137161</xdr:rowOff>
    </xdr:to>
    <xdr:sp macro="" textlink="">
      <xdr:nvSpPr>
        <xdr:cNvPr id="77" name="テキスト ボックス 76">
          <a:extLst>
            <a:ext uri="{FF2B5EF4-FFF2-40B4-BE49-F238E27FC236}">
              <a16:creationId xmlns:a16="http://schemas.microsoft.com/office/drawing/2014/main" id="{95B1763C-05E5-4FC1-A089-1E1E51476800}"/>
            </a:ext>
          </a:extLst>
        </xdr:cNvPr>
        <xdr:cNvSpPr txBox="1"/>
      </xdr:nvSpPr>
      <xdr:spPr>
        <a:xfrm>
          <a:off x="547211" y="1335786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794861</xdr:colOff>
      <xdr:row>79</xdr:row>
      <xdr:rowOff>3811</xdr:rowOff>
    </xdr:from>
    <xdr:to>
      <xdr:col>0</xdr:col>
      <xdr:colOff>840581</xdr:colOff>
      <xdr:row>87</xdr:row>
      <xdr:rowOff>3811</xdr:rowOff>
    </xdr:to>
    <xdr:sp macro="" textlink="">
      <xdr:nvSpPr>
        <xdr:cNvPr id="78" name="正方形/長方形 77">
          <a:extLst>
            <a:ext uri="{FF2B5EF4-FFF2-40B4-BE49-F238E27FC236}">
              <a16:creationId xmlns:a16="http://schemas.microsoft.com/office/drawing/2014/main" id="{535C8976-0B14-49EB-A457-0B0CF959F2FF}"/>
            </a:ext>
          </a:extLst>
        </xdr:cNvPr>
        <xdr:cNvSpPr/>
      </xdr:nvSpPr>
      <xdr:spPr>
        <a:xfrm>
          <a:off x="794861" y="13519786"/>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760571</xdr:colOff>
      <xdr:row>78</xdr:row>
      <xdr:rowOff>13336</xdr:rowOff>
    </xdr:from>
    <xdr:to>
      <xdr:col>0</xdr:col>
      <xdr:colOff>874871</xdr:colOff>
      <xdr:row>78</xdr:row>
      <xdr:rowOff>137161</xdr:rowOff>
    </xdr:to>
    <xdr:sp macro="" textlink="">
      <xdr:nvSpPr>
        <xdr:cNvPr id="79" name="テキスト ボックス 78">
          <a:extLst>
            <a:ext uri="{FF2B5EF4-FFF2-40B4-BE49-F238E27FC236}">
              <a16:creationId xmlns:a16="http://schemas.microsoft.com/office/drawing/2014/main" id="{64E6CBE1-BDB0-42B6-B61C-8D6B83822879}"/>
            </a:ext>
          </a:extLst>
        </xdr:cNvPr>
        <xdr:cNvSpPr txBox="1"/>
      </xdr:nvSpPr>
      <xdr:spPr>
        <a:xfrm>
          <a:off x="760571" y="1335786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951513</xdr:colOff>
      <xdr:row>81</xdr:row>
      <xdr:rowOff>97475</xdr:rowOff>
    </xdr:from>
    <xdr:to>
      <xdr:col>0</xdr:col>
      <xdr:colOff>1339248</xdr:colOff>
      <xdr:row>84</xdr:row>
      <xdr:rowOff>81595</xdr:rowOff>
    </xdr:to>
    <xdr:sp macro="" textlink="">
      <xdr:nvSpPr>
        <xdr:cNvPr id="80" name="テキスト ボックス 79">
          <a:extLst>
            <a:ext uri="{FF2B5EF4-FFF2-40B4-BE49-F238E27FC236}">
              <a16:creationId xmlns:a16="http://schemas.microsoft.com/office/drawing/2014/main" id="{CCEAE1A0-AE3D-419E-A037-3DCDF19B3CE2}"/>
            </a:ext>
          </a:extLst>
        </xdr:cNvPr>
        <xdr:cNvSpPr txBox="1"/>
      </xdr:nvSpPr>
      <xdr:spPr>
        <a:xfrm>
          <a:off x="951513" y="13956350"/>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53623</xdr:colOff>
      <xdr:row>98</xdr:row>
      <xdr:rowOff>97475</xdr:rowOff>
    </xdr:from>
    <xdr:to>
      <xdr:col>0</xdr:col>
      <xdr:colOff>441358</xdr:colOff>
      <xdr:row>101</xdr:row>
      <xdr:rowOff>81595</xdr:rowOff>
    </xdr:to>
    <xdr:sp macro="" textlink="">
      <xdr:nvSpPr>
        <xdr:cNvPr id="81" name="テキスト ボックス 80">
          <a:extLst>
            <a:ext uri="{FF2B5EF4-FFF2-40B4-BE49-F238E27FC236}">
              <a16:creationId xmlns:a16="http://schemas.microsoft.com/office/drawing/2014/main" id="{6C7F204E-271F-49BB-A532-6AAEC5DE40DD}"/>
            </a:ext>
          </a:extLst>
        </xdr:cNvPr>
        <xdr:cNvSpPr txBox="1"/>
      </xdr:nvSpPr>
      <xdr:spPr>
        <a:xfrm>
          <a:off x="53623" y="16871000"/>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349091</xdr:colOff>
      <xdr:row>96</xdr:row>
      <xdr:rowOff>3811</xdr:rowOff>
    </xdr:from>
    <xdr:to>
      <xdr:col>0</xdr:col>
      <xdr:colOff>387191</xdr:colOff>
      <xdr:row>104</xdr:row>
      <xdr:rowOff>3811</xdr:rowOff>
    </xdr:to>
    <xdr:sp macro="" textlink="">
      <xdr:nvSpPr>
        <xdr:cNvPr id="82" name="正方形/長方形 81">
          <a:extLst>
            <a:ext uri="{FF2B5EF4-FFF2-40B4-BE49-F238E27FC236}">
              <a16:creationId xmlns:a16="http://schemas.microsoft.com/office/drawing/2014/main" id="{A63EB172-C098-40D3-8EC7-A73D1022AB85}"/>
            </a:ext>
          </a:extLst>
        </xdr:cNvPr>
        <xdr:cNvSpPr/>
      </xdr:nvSpPr>
      <xdr:spPr>
        <a:xfrm>
          <a:off x="349091" y="16434436"/>
          <a:ext cx="3810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310991</xdr:colOff>
      <xdr:row>95</xdr:row>
      <xdr:rowOff>13336</xdr:rowOff>
    </xdr:from>
    <xdr:to>
      <xdr:col>0</xdr:col>
      <xdr:colOff>425291</xdr:colOff>
      <xdr:row>95</xdr:row>
      <xdr:rowOff>137161</xdr:rowOff>
    </xdr:to>
    <xdr:sp macro="" textlink="">
      <xdr:nvSpPr>
        <xdr:cNvPr id="83" name="テキスト ボックス 82">
          <a:extLst>
            <a:ext uri="{FF2B5EF4-FFF2-40B4-BE49-F238E27FC236}">
              <a16:creationId xmlns:a16="http://schemas.microsoft.com/office/drawing/2014/main" id="{16968DD5-20FB-4B3F-901F-5A98BEC50537}"/>
            </a:ext>
          </a:extLst>
        </xdr:cNvPr>
        <xdr:cNvSpPr txBox="1"/>
      </xdr:nvSpPr>
      <xdr:spPr>
        <a:xfrm>
          <a:off x="310991" y="162725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387191</xdr:colOff>
      <xdr:row>96</xdr:row>
      <xdr:rowOff>3811</xdr:rowOff>
    </xdr:from>
    <xdr:to>
      <xdr:col>0</xdr:col>
      <xdr:colOff>432911</xdr:colOff>
      <xdr:row>104</xdr:row>
      <xdr:rowOff>3811</xdr:rowOff>
    </xdr:to>
    <xdr:sp macro="" textlink="">
      <xdr:nvSpPr>
        <xdr:cNvPr id="84" name="正方形/長方形 83">
          <a:extLst>
            <a:ext uri="{FF2B5EF4-FFF2-40B4-BE49-F238E27FC236}">
              <a16:creationId xmlns:a16="http://schemas.microsoft.com/office/drawing/2014/main" id="{3DACCAA0-FA81-43FE-9C63-EE0E6E793B83}"/>
            </a:ext>
          </a:extLst>
        </xdr:cNvPr>
        <xdr:cNvSpPr/>
      </xdr:nvSpPr>
      <xdr:spPr>
        <a:xfrm>
          <a:off x="387191" y="16434436"/>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373856</xdr:colOff>
      <xdr:row>95</xdr:row>
      <xdr:rowOff>13336</xdr:rowOff>
    </xdr:from>
    <xdr:to>
      <xdr:col>0</xdr:col>
      <xdr:colOff>488156</xdr:colOff>
      <xdr:row>95</xdr:row>
      <xdr:rowOff>137161</xdr:rowOff>
    </xdr:to>
    <xdr:sp macro="" textlink="">
      <xdr:nvSpPr>
        <xdr:cNvPr id="85" name="テキスト ボックス 84">
          <a:extLst>
            <a:ext uri="{FF2B5EF4-FFF2-40B4-BE49-F238E27FC236}">
              <a16:creationId xmlns:a16="http://schemas.microsoft.com/office/drawing/2014/main" id="{E0129B61-8ED4-4170-8F95-263631C28EEF}"/>
            </a:ext>
          </a:extLst>
        </xdr:cNvPr>
        <xdr:cNvSpPr txBox="1"/>
      </xdr:nvSpPr>
      <xdr:spPr>
        <a:xfrm>
          <a:off x="373856" y="162725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566261</xdr:colOff>
      <xdr:row>95</xdr:row>
      <xdr:rowOff>13336</xdr:rowOff>
    </xdr:from>
    <xdr:to>
      <xdr:col>0</xdr:col>
      <xdr:colOff>680561</xdr:colOff>
      <xdr:row>95</xdr:row>
      <xdr:rowOff>137161</xdr:rowOff>
    </xdr:to>
    <xdr:sp macro="" textlink="">
      <xdr:nvSpPr>
        <xdr:cNvPr id="86" name="テキスト ボックス 85">
          <a:extLst>
            <a:ext uri="{FF2B5EF4-FFF2-40B4-BE49-F238E27FC236}">
              <a16:creationId xmlns:a16="http://schemas.microsoft.com/office/drawing/2014/main" id="{C4C61F92-3433-47C0-BF19-727D6A92D5CE}"/>
            </a:ext>
          </a:extLst>
        </xdr:cNvPr>
        <xdr:cNvSpPr txBox="1"/>
      </xdr:nvSpPr>
      <xdr:spPr>
        <a:xfrm>
          <a:off x="566261" y="162725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813911</xdr:colOff>
      <xdr:row>96</xdr:row>
      <xdr:rowOff>3811</xdr:rowOff>
    </xdr:from>
    <xdr:to>
      <xdr:col>0</xdr:col>
      <xdr:colOff>859631</xdr:colOff>
      <xdr:row>104</xdr:row>
      <xdr:rowOff>3811</xdr:rowOff>
    </xdr:to>
    <xdr:sp macro="" textlink="">
      <xdr:nvSpPr>
        <xdr:cNvPr id="87" name="正方形/長方形 86">
          <a:extLst>
            <a:ext uri="{FF2B5EF4-FFF2-40B4-BE49-F238E27FC236}">
              <a16:creationId xmlns:a16="http://schemas.microsoft.com/office/drawing/2014/main" id="{7F3FEDDF-BDCD-4BD4-91BF-EA83D780C0E0}"/>
            </a:ext>
          </a:extLst>
        </xdr:cNvPr>
        <xdr:cNvSpPr/>
      </xdr:nvSpPr>
      <xdr:spPr>
        <a:xfrm>
          <a:off x="813911" y="16434436"/>
          <a:ext cx="4572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779621</xdr:colOff>
      <xdr:row>95</xdr:row>
      <xdr:rowOff>13336</xdr:rowOff>
    </xdr:from>
    <xdr:to>
      <xdr:col>0</xdr:col>
      <xdr:colOff>893921</xdr:colOff>
      <xdr:row>95</xdr:row>
      <xdr:rowOff>137161</xdr:rowOff>
    </xdr:to>
    <xdr:sp macro="" textlink="">
      <xdr:nvSpPr>
        <xdr:cNvPr id="88" name="テキスト ボックス 87">
          <a:extLst>
            <a:ext uri="{FF2B5EF4-FFF2-40B4-BE49-F238E27FC236}">
              <a16:creationId xmlns:a16="http://schemas.microsoft.com/office/drawing/2014/main" id="{3EE088FC-1AB4-43C9-89A9-CB2FF4BAD25C}"/>
            </a:ext>
          </a:extLst>
        </xdr:cNvPr>
        <xdr:cNvSpPr txBox="1"/>
      </xdr:nvSpPr>
      <xdr:spPr>
        <a:xfrm>
          <a:off x="779621" y="162725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970563</xdr:colOff>
      <xdr:row>98</xdr:row>
      <xdr:rowOff>97475</xdr:rowOff>
    </xdr:from>
    <xdr:to>
      <xdr:col>1</xdr:col>
      <xdr:colOff>15273</xdr:colOff>
      <xdr:row>101</xdr:row>
      <xdr:rowOff>81595</xdr:rowOff>
    </xdr:to>
    <xdr:sp macro="" textlink="">
      <xdr:nvSpPr>
        <xdr:cNvPr id="89" name="テキスト ボックス 88">
          <a:extLst>
            <a:ext uri="{FF2B5EF4-FFF2-40B4-BE49-F238E27FC236}">
              <a16:creationId xmlns:a16="http://schemas.microsoft.com/office/drawing/2014/main" id="{8FCC7FB2-4265-48F5-973B-671BD2D738A1}"/>
            </a:ext>
          </a:extLst>
        </xdr:cNvPr>
        <xdr:cNvSpPr txBox="1"/>
      </xdr:nvSpPr>
      <xdr:spPr>
        <a:xfrm>
          <a:off x="970563" y="16871000"/>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528137</xdr:colOff>
      <xdr:row>77</xdr:row>
      <xdr:rowOff>135049</xdr:rowOff>
    </xdr:from>
    <xdr:to>
      <xdr:col>6</xdr:col>
      <xdr:colOff>943635</xdr:colOff>
      <xdr:row>79</xdr:row>
      <xdr:rowOff>77676</xdr:rowOff>
    </xdr:to>
    <xdr:sp macro="" textlink="">
      <xdr:nvSpPr>
        <xdr:cNvPr id="90" name="テキスト ボックス 89">
          <a:extLst>
            <a:ext uri="{FF2B5EF4-FFF2-40B4-BE49-F238E27FC236}">
              <a16:creationId xmlns:a16="http://schemas.microsoft.com/office/drawing/2014/main" id="{E6A0BCD8-857A-480A-A15D-83FBEC73C41F}"/>
            </a:ext>
          </a:extLst>
        </xdr:cNvPr>
        <xdr:cNvSpPr txBox="1"/>
      </xdr:nvSpPr>
      <xdr:spPr>
        <a:xfrm>
          <a:off x="5528762" y="1330812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37227</xdr:colOff>
      <xdr:row>79</xdr:row>
      <xdr:rowOff>160116</xdr:rowOff>
    </xdr:from>
    <xdr:to>
      <xdr:col>6</xdr:col>
      <xdr:colOff>151527</xdr:colOff>
      <xdr:row>80</xdr:row>
      <xdr:rowOff>112491</xdr:rowOff>
    </xdr:to>
    <xdr:sp macro="" textlink="">
      <xdr:nvSpPr>
        <xdr:cNvPr id="92" name="テキスト ボックス 91">
          <a:extLst>
            <a:ext uri="{FF2B5EF4-FFF2-40B4-BE49-F238E27FC236}">
              <a16:creationId xmlns:a16="http://schemas.microsoft.com/office/drawing/2014/main" id="{36A1BC8C-E969-4551-85DA-B7D833432FD1}"/>
            </a:ext>
          </a:extLst>
        </xdr:cNvPr>
        <xdr:cNvSpPr txBox="1"/>
      </xdr:nvSpPr>
      <xdr:spPr>
        <a:xfrm>
          <a:off x="5037852" y="1367609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80</xdr:row>
      <xdr:rowOff>60485</xdr:rowOff>
    </xdr:from>
    <xdr:to>
      <xdr:col>6</xdr:col>
      <xdr:colOff>151527</xdr:colOff>
      <xdr:row>81</xdr:row>
      <xdr:rowOff>12860</xdr:rowOff>
    </xdr:to>
    <xdr:sp macro="" textlink="">
      <xdr:nvSpPr>
        <xdr:cNvPr id="94" name="テキスト ボックス 93">
          <a:extLst>
            <a:ext uri="{FF2B5EF4-FFF2-40B4-BE49-F238E27FC236}">
              <a16:creationId xmlns:a16="http://schemas.microsoft.com/office/drawing/2014/main" id="{65313B9A-17EB-4559-83D1-C71CA1C0BB6F}"/>
            </a:ext>
          </a:extLst>
        </xdr:cNvPr>
        <xdr:cNvSpPr txBox="1"/>
      </xdr:nvSpPr>
      <xdr:spPr>
        <a:xfrm>
          <a:off x="5037852" y="13747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80</xdr:row>
      <xdr:rowOff>158401</xdr:rowOff>
    </xdr:from>
    <xdr:to>
      <xdr:col>6</xdr:col>
      <xdr:colOff>151527</xdr:colOff>
      <xdr:row>81</xdr:row>
      <xdr:rowOff>110776</xdr:rowOff>
    </xdr:to>
    <xdr:sp macro="" textlink="">
      <xdr:nvSpPr>
        <xdr:cNvPr id="96" name="テキスト ボックス 95">
          <a:extLst>
            <a:ext uri="{FF2B5EF4-FFF2-40B4-BE49-F238E27FC236}">
              <a16:creationId xmlns:a16="http://schemas.microsoft.com/office/drawing/2014/main" id="{3097D20D-9DA8-4526-96CA-6069849F904A}"/>
            </a:ext>
          </a:extLst>
        </xdr:cNvPr>
        <xdr:cNvSpPr txBox="1"/>
      </xdr:nvSpPr>
      <xdr:spPr>
        <a:xfrm>
          <a:off x="5037852" y="13845826"/>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82</xdr:row>
      <xdr:rowOff>162686</xdr:rowOff>
    </xdr:from>
    <xdr:to>
      <xdr:col>6</xdr:col>
      <xdr:colOff>151527</xdr:colOff>
      <xdr:row>83</xdr:row>
      <xdr:rowOff>115061</xdr:rowOff>
    </xdr:to>
    <xdr:sp macro="" textlink="">
      <xdr:nvSpPr>
        <xdr:cNvPr id="97" name="テキスト ボックス 96">
          <a:extLst>
            <a:ext uri="{FF2B5EF4-FFF2-40B4-BE49-F238E27FC236}">
              <a16:creationId xmlns:a16="http://schemas.microsoft.com/office/drawing/2014/main" id="{AFF01A4B-ADB7-414C-9AA3-6B70B4682E49}"/>
            </a:ext>
          </a:extLst>
        </xdr:cNvPr>
        <xdr:cNvSpPr txBox="1"/>
      </xdr:nvSpPr>
      <xdr:spPr>
        <a:xfrm>
          <a:off x="5037852" y="141930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84</xdr:row>
      <xdr:rowOff>58959</xdr:rowOff>
    </xdr:from>
    <xdr:to>
      <xdr:col>6</xdr:col>
      <xdr:colOff>151527</xdr:colOff>
      <xdr:row>85</xdr:row>
      <xdr:rowOff>11334</xdr:rowOff>
    </xdr:to>
    <xdr:sp macro="" textlink="">
      <xdr:nvSpPr>
        <xdr:cNvPr id="99" name="テキスト ボックス 98">
          <a:extLst>
            <a:ext uri="{FF2B5EF4-FFF2-40B4-BE49-F238E27FC236}">
              <a16:creationId xmlns:a16="http://schemas.microsoft.com/office/drawing/2014/main" id="{D6AD8F6D-9B1A-44CC-9C13-C9D8310205EE}"/>
            </a:ext>
          </a:extLst>
        </xdr:cNvPr>
        <xdr:cNvSpPr txBox="1"/>
      </xdr:nvSpPr>
      <xdr:spPr>
        <a:xfrm>
          <a:off x="5037852" y="14432184"/>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528137</xdr:colOff>
      <xdr:row>84</xdr:row>
      <xdr:rowOff>100122</xdr:rowOff>
    </xdr:from>
    <xdr:to>
      <xdr:col>6</xdr:col>
      <xdr:colOff>943635</xdr:colOff>
      <xdr:row>86</xdr:row>
      <xdr:rowOff>42749</xdr:rowOff>
    </xdr:to>
    <xdr:sp macro="" textlink="">
      <xdr:nvSpPr>
        <xdr:cNvPr id="100" name="テキスト ボックス 99">
          <a:extLst>
            <a:ext uri="{FF2B5EF4-FFF2-40B4-BE49-F238E27FC236}">
              <a16:creationId xmlns:a16="http://schemas.microsoft.com/office/drawing/2014/main" id="{126451BE-FB1B-4B84-9167-A4FE6A475F8C}"/>
            </a:ext>
          </a:extLst>
        </xdr:cNvPr>
        <xdr:cNvSpPr txBox="1"/>
      </xdr:nvSpPr>
      <xdr:spPr>
        <a:xfrm>
          <a:off x="5528762" y="14473347"/>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528137</xdr:colOff>
      <xdr:row>96</xdr:row>
      <xdr:rowOff>139811</xdr:rowOff>
    </xdr:from>
    <xdr:to>
      <xdr:col>6</xdr:col>
      <xdr:colOff>943635</xdr:colOff>
      <xdr:row>98</xdr:row>
      <xdr:rowOff>82438</xdr:rowOff>
    </xdr:to>
    <xdr:sp macro="" textlink="">
      <xdr:nvSpPr>
        <xdr:cNvPr id="101" name="テキスト ボックス 100">
          <a:extLst>
            <a:ext uri="{FF2B5EF4-FFF2-40B4-BE49-F238E27FC236}">
              <a16:creationId xmlns:a16="http://schemas.microsoft.com/office/drawing/2014/main" id="{8E9A72F4-8915-40A2-B170-DB10B3B10DF8}"/>
            </a:ext>
          </a:extLst>
        </xdr:cNvPr>
        <xdr:cNvSpPr txBox="1"/>
      </xdr:nvSpPr>
      <xdr:spPr>
        <a:xfrm>
          <a:off x="5528762" y="16570436"/>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37227</xdr:colOff>
      <xdr:row>99</xdr:row>
      <xdr:rowOff>4763</xdr:rowOff>
    </xdr:from>
    <xdr:to>
      <xdr:col>6</xdr:col>
      <xdr:colOff>151527</xdr:colOff>
      <xdr:row>99</xdr:row>
      <xdr:rowOff>128588</xdr:rowOff>
    </xdr:to>
    <xdr:sp macro="" textlink="">
      <xdr:nvSpPr>
        <xdr:cNvPr id="103" name="テキスト ボックス 102">
          <a:extLst>
            <a:ext uri="{FF2B5EF4-FFF2-40B4-BE49-F238E27FC236}">
              <a16:creationId xmlns:a16="http://schemas.microsoft.com/office/drawing/2014/main" id="{363AA49F-49E3-4484-BEC1-07F6C409944B}"/>
            </a:ext>
          </a:extLst>
        </xdr:cNvPr>
        <xdr:cNvSpPr txBox="1"/>
      </xdr:nvSpPr>
      <xdr:spPr>
        <a:xfrm>
          <a:off x="5037852" y="1694973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99</xdr:row>
      <xdr:rowOff>76581</xdr:rowOff>
    </xdr:from>
    <xdr:to>
      <xdr:col>6</xdr:col>
      <xdr:colOff>151527</xdr:colOff>
      <xdr:row>100</xdr:row>
      <xdr:rowOff>28956</xdr:rowOff>
    </xdr:to>
    <xdr:sp macro="" textlink="">
      <xdr:nvSpPr>
        <xdr:cNvPr id="105" name="テキスト ボックス 104">
          <a:extLst>
            <a:ext uri="{FF2B5EF4-FFF2-40B4-BE49-F238E27FC236}">
              <a16:creationId xmlns:a16="http://schemas.microsoft.com/office/drawing/2014/main" id="{77B84060-E26B-47CC-BC35-E5431C66F0EA}"/>
            </a:ext>
          </a:extLst>
        </xdr:cNvPr>
        <xdr:cNvSpPr txBox="1"/>
      </xdr:nvSpPr>
      <xdr:spPr>
        <a:xfrm>
          <a:off x="5037852" y="17021556"/>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528137</xdr:colOff>
      <xdr:row>99</xdr:row>
      <xdr:rowOff>95361</xdr:rowOff>
    </xdr:from>
    <xdr:to>
      <xdr:col>6</xdr:col>
      <xdr:colOff>943635</xdr:colOff>
      <xdr:row>101</xdr:row>
      <xdr:rowOff>37988</xdr:rowOff>
    </xdr:to>
    <xdr:sp macro="" textlink="">
      <xdr:nvSpPr>
        <xdr:cNvPr id="106" name="テキスト ボックス 105">
          <a:extLst>
            <a:ext uri="{FF2B5EF4-FFF2-40B4-BE49-F238E27FC236}">
              <a16:creationId xmlns:a16="http://schemas.microsoft.com/office/drawing/2014/main" id="{57CF7695-21C7-4768-A3A0-3BDF01275673}"/>
            </a:ext>
          </a:extLst>
        </xdr:cNvPr>
        <xdr:cNvSpPr txBox="1"/>
      </xdr:nvSpPr>
      <xdr:spPr>
        <a:xfrm>
          <a:off x="5528762" y="17040336"/>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528137</xdr:colOff>
      <xdr:row>111</xdr:row>
      <xdr:rowOff>158861</xdr:rowOff>
    </xdr:from>
    <xdr:to>
      <xdr:col>0</xdr:col>
      <xdr:colOff>943635</xdr:colOff>
      <xdr:row>113</xdr:row>
      <xdr:rowOff>101488</xdr:rowOff>
    </xdr:to>
    <xdr:sp macro="" textlink="">
      <xdr:nvSpPr>
        <xdr:cNvPr id="107" name="テキスト ボックス 106">
          <a:extLst>
            <a:ext uri="{FF2B5EF4-FFF2-40B4-BE49-F238E27FC236}">
              <a16:creationId xmlns:a16="http://schemas.microsoft.com/office/drawing/2014/main" id="{4204D647-4004-48F0-8A3E-EDAE79BC1878}"/>
            </a:ext>
          </a:extLst>
        </xdr:cNvPr>
        <xdr:cNvSpPr txBox="1"/>
      </xdr:nvSpPr>
      <xdr:spPr>
        <a:xfrm>
          <a:off x="528137" y="19161236"/>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37227</xdr:colOff>
      <xdr:row>114</xdr:row>
      <xdr:rowOff>23813</xdr:rowOff>
    </xdr:from>
    <xdr:to>
      <xdr:col>0</xdr:col>
      <xdr:colOff>151527</xdr:colOff>
      <xdr:row>114</xdr:row>
      <xdr:rowOff>147638</xdr:rowOff>
    </xdr:to>
    <xdr:sp macro="" textlink="">
      <xdr:nvSpPr>
        <xdr:cNvPr id="109" name="テキスト ボックス 108">
          <a:extLst>
            <a:ext uri="{FF2B5EF4-FFF2-40B4-BE49-F238E27FC236}">
              <a16:creationId xmlns:a16="http://schemas.microsoft.com/office/drawing/2014/main" id="{65A982DE-7D5B-44E4-93D2-1A349B0922C7}"/>
            </a:ext>
          </a:extLst>
        </xdr:cNvPr>
        <xdr:cNvSpPr txBox="1"/>
      </xdr:nvSpPr>
      <xdr:spPr>
        <a:xfrm>
          <a:off x="37227" y="1954053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114</xdr:row>
      <xdr:rowOff>100013</xdr:rowOff>
    </xdr:from>
    <xdr:to>
      <xdr:col>0</xdr:col>
      <xdr:colOff>151527</xdr:colOff>
      <xdr:row>115</xdr:row>
      <xdr:rowOff>52388</xdr:rowOff>
    </xdr:to>
    <xdr:sp macro="" textlink="">
      <xdr:nvSpPr>
        <xdr:cNvPr id="111" name="テキスト ボックス 110">
          <a:extLst>
            <a:ext uri="{FF2B5EF4-FFF2-40B4-BE49-F238E27FC236}">
              <a16:creationId xmlns:a16="http://schemas.microsoft.com/office/drawing/2014/main" id="{1FBD4087-C442-45BD-814C-2C1E49A759F8}"/>
            </a:ext>
          </a:extLst>
        </xdr:cNvPr>
        <xdr:cNvSpPr txBox="1"/>
      </xdr:nvSpPr>
      <xdr:spPr>
        <a:xfrm>
          <a:off x="37227" y="1961673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116</xdr:row>
      <xdr:rowOff>100013</xdr:rowOff>
    </xdr:from>
    <xdr:to>
      <xdr:col>0</xdr:col>
      <xdr:colOff>151527</xdr:colOff>
      <xdr:row>117</xdr:row>
      <xdr:rowOff>52388</xdr:rowOff>
    </xdr:to>
    <xdr:sp macro="" textlink="">
      <xdr:nvSpPr>
        <xdr:cNvPr id="113" name="テキスト ボックス 112">
          <a:extLst>
            <a:ext uri="{FF2B5EF4-FFF2-40B4-BE49-F238E27FC236}">
              <a16:creationId xmlns:a16="http://schemas.microsoft.com/office/drawing/2014/main" id="{B97165EA-6E2C-460D-B3B5-D2FD53FF2F1A}"/>
            </a:ext>
          </a:extLst>
        </xdr:cNvPr>
        <xdr:cNvSpPr txBox="1"/>
      </xdr:nvSpPr>
      <xdr:spPr>
        <a:xfrm>
          <a:off x="37227" y="1995963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528137</xdr:colOff>
      <xdr:row>118</xdr:row>
      <xdr:rowOff>76311</xdr:rowOff>
    </xdr:from>
    <xdr:to>
      <xdr:col>0</xdr:col>
      <xdr:colOff>943635</xdr:colOff>
      <xdr:row>120</xdr:row>
      <xdr:rowOff>18938</xdr:rowOff>
    </xdr:to>
    <xdr:sp macro="" textlink="">
      <xdr:nvSpPr>
        <xdr:cNvPr id="114" name="テキスト ボックス 113">
          <a:extLst>
            <a:ext uri="{FF2B5EF4-FFF2-40B4-BE49-F238E27FC236}">
              <a16:creationId xmlns:a16="http://schemas.microsoft.com/office/drawing/2014/main" id="{222D8B71-3A09-4A93-B2BC-A1FF0937273B}"/>
            </a:ext>
          </a:extLst>
        </xdr:cNvPr>
        <xdr:cNvSpPr txBox="1"/>
      </xdr:nvSpPr>
      <xdr:spPr>
        <a:xfrm>
          <a:off x="528137" y="20278836"/>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528137</xdr:colOff>
      <xdr:row>128</xdr:row>
      <xdr:rowOff>135049</xdr:rowOff>
    </xdr:from>
    <xdr:to>
      <xdr:col>0</xdr:col>
      <xdr:colOff>943635</xdr:colOff>
      <xdr:row>130</xdr:row>
      <xdr:rowOff>77676</xdr:rowOff>
    </xdr:to>
    <xdr:sp macro="" textlink="">
      <xdr:nvSpPr>
        <xdr:cNvPr id="115" name="テキスト ボックス 114">
          <a:extLst>
            <a:ext uri="{FF2B5EF4-FFF2-40B4-BE49-F238E27FC236}">
              <a16:creationId xmlns:a16="http://schemas.microsoft.com/office/drawing/2014/main" id="{95DC0488-8F1D-4A5F-A054-4080B7A817E4}"/>
            </a:ext>
          </a:extLst>
        </xdr:cNvPr>
        <xdr:cNvSpPr txBox="1"/>
      </xdr:nvSpPr>
      <xdr:spPr>
        <a:xfrm>
          <a:off x="528137" y="2205207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37227</xdr:colOff>
      <xdr:row>130</xdr:row>
      <xdr:rowOff>160054</xdr:rowOff>
    </xdr:from>
    <xdr:to>
      <xdr:col>0</xdr:col>
      <xdr:colOff>151527</xdr:colOff>
      <xdr:row>131</xdr:row>
      <xdr:rowOff>112429</xdr:rowOff>
    </xdr:to>
    <xdr:sp macro="" textlink="">
      <xdr:nvSpPr>
        <xdr:cNvPr id="117" name="テキスト ボックス 116">
          <a:extLst>
            <a:ext uri="{FF2B5EF4-FFF2-40B4-BE49-F238E27FC236}">
              <a16:creationId xmlns:a16="http://schemas.microsoft.com/office/drawing/2014/main" id="{45BB0F4A-A7C4-4769-B9BC-04E899670543}"/>
            </a:ext>
          </a:extLst>
        </xdr:cNvPr>
        <xdr:cNvSpPr txBox="1"/>
      </xdr:nvSpPr>
      <xdr:spPr>
        <a:xfrm>
          <a:off x="37227" y="2241997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131</xdr:row>
      <xdr:rowOff>60423</xdr:rowOff>
    </xdr:from>
    <xdr:to>
      <xdr:col>0</xdr:col>
      <xdr:colOff>151527</xdr:colOff>
      <xdr:row>132</xdr:row>
      <xdr:rowOff>12798</xdr:rowOff>
    </xdr:to>
    <xdr:sp macro="" textlink="">
      <xdr:nvSpPr>
        <xdr:cNvPr id="119" name="テキスト ボックス 118">
          <a:extLst>
            <a:ext uri="{FF2B5EF4-FFF2-40B4-BE49-F238E27FC236}">
              <a16:creationId xmlns:a16="http://schemas.microsoft.com/office/drawing/2014/main" id="{31DB1FB9-1D34-4654-86B0-5125F71B8020}"/>
            </a:ext>
          </a:extLst>
        </xdr:cNvPr>
        <xdr:cNvSpPr txBox="1"/>
      </xdr:nvSpPr>
      <xdr:spPr>
        <a:xfrm>
          <a:off x="37227" y="2249179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131</xdr:row>
      <xdr:rowOff>156992</xdr:rowOff>
    </xdr:from>
    <xdr:to>
      <xdr:col>0</xdr:col>
      <xdr:colOff>151527</xdr:colOff>
      <xdr:row>132</xdr:row>
      <xdr:rowOff>109367</xdr:rowOff>
    </xdr:to>
    <xdr:sp macro="" textlink="">
      <xdr:nvSpPr>
        <xdr:cNvPr id="121" name="テキスト ボックス 120">
          <a:extLst>
            <a:ext uri="{FF2B5EF4-FFF2-40B4-BE49-F238E27FC236}">
              <a16:creationId xmlns:a16="http://schemas.microsoft.com/office/drawing/2014/main" id="{6133E319-2148-4F90-80B5-232412FBD682}"/>
            </a:ext>
          </a:extLst>
        </xdr:cNvPr>
        <xdr:cNvSpPr txBox="1"/>
      </xdr:nvSpPr>
      <xdr:spPr>
        <a:xfrm>
          <a:off x="37227" y="2258836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133</xdr:row>
      <xdr:rowOff>43712</xdr:rowOff>
    </xdr:from>
    <xdr:to>
      <xdr:col>0</xdr:col>
      <xdr:colOff>151527</xdr:colOff>
      <xdr:row>133</xdr:row>
      <xdr:rowOff>167537</xdr:rowOff>
    </xdr:to>
    <xdr:sp macro="" textlink="">
      <xdr:nvSpPr>
        <xdr:cNvPr id="123" name="テキスト ボックス 122">
          <a:extLst>
            <a:ext uri="{FF2B5EF4-FFF2-40B4-BE49-F238E27FC236}">
              <a16:creationId xmlns:a16="http://schemas.microsoft.com/office/drawing/2014/main" id="{66B99E96-8CB6-455F-ACF3-A8F349E2ACBD}"/>
            </a:ext>
          </a:extLst>
        </xdr:cNvPr>
        <xdr:cNvSpPr txBox="1"/>
      </xdr:nvSpPr>
      <xdr:spPr>
        <a:xfrm>
          <a:off x="37227" y="2281798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136</xdr:row>
      <xdr:rowOff>26873</xdr:rowOff>
    </xdr:from>
    <xdr:to>
      <xdr:col>0</xdr:col>
      <xdr:colOff>151527</xdr:colOff>
      <xdr:row>136</xdr:row>
      <xdr:rowOff>150698</xdr:rowOff>
    </xdr:to>
    <xdr:sp macro="" textlink="">
      <xdr:nvSpPr>
        <xdr:cNvPr id="125" name="テキスト ボックス 124">
          <a:extLst>
            <a:ext uri="{FF2B5EF4-FFF2-40B4-BE49-F238E27FC236}">
              <a16:creationId xmlns:a16="http://schemas.microsoft.com/office/drawing/2014/main" id="{2409B53D-8EC2-4D31-BB8D-6B0FBE35FCAA}"/>
            </a:ext>
          </a:extLst>
        </xdr:cNvPr>
        <xdr:cNvSpPr txBox="1"/>
      </xdr:nvSpPr>
      <xdr:spPr>
        <a:xfrm>
          <a:off x="37227" y="2331549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528137</xdr:colOff>
      <xdr:row>111</xdr:row>
      <xdr:rowOff>135049</xdr:rowOff>
    </xdr:from>
    <xdr:to>
      <xdr:col>6</xdr:col>
      <xdr:colOff>943635</xdr:colOff>
      <xdr:row>113</xdr:row>
      <xdr:rowOff>77676</xdr:rowOff>
    </xdr:to>
    <xdr:sp macro="" textlink="">
      <xdr:nvSpPr>
        <xdr:cNvPr id="126" name="テキスト ボックス 125">
          <a:extLst>
            <a:ext uri="{FF2B5EF4-FFF2-40B4-BE49-F238E27FC236}">
              <a16:creationId xmlns:a16="http://schemas.microsoft.com/office/drawing/2014/main" id="{F685E0DB-73F2-45EC-B105-20C444B4CC70}"/>
            </a:ext>
          </a:extLst>
        </xdr:cNvPr>
        <xdr:cNvSpPr txBox="1"/>
      </xdr:nvSpPr>
      <xdr:spPr>
        <a:xfrm>
          <a:off x="5528762" y="1913742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37227</xdr:colOff>
      <xdr:row>113</xdr:row>
      <xdr:rowOff>157384</xdr:rowOff>
    </xdr:from>
    <xdr:to>
      <xdr:col>6</xdr:col>
      <xdr:colOff>151527</xdr:colOff>
      <xdr:row>114</xdr:row>
      <xdr:rowOff>109759</xdr:rowOff>
    </xdr:to>
    <xdr:sp macro="" textlink="">
      <xdr:nvSpPr>
        <xdr:cNvPr id="128" name="テキスト ボックス 127">
          <a:extLst>
            <a:ext uri="{FF2B5EF4-FFF2-40B4-BE49-F238E27FC236}">
              <a16:creationId xmlns:a16="http://schemas.microsoft.com/office/drawing/2014/main" id="{5E38FDD1-792C-4B59-AA03-BDEB60FC53DD}"/>
            </a:ext>
          </a:extLst>
        </xdr:cNvPr>
        <xdr:cNvSpPr txBox="1"/>
      </xdr:nvSpPr>
      <xdr:spPr>
        <a:xfrm>
          <a:off x="5037852" y="1950265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114</xdr:row>
      <xdr:rowOff>57753</xdr:rowOff>
    </xdr:from>
    <xdr:to>
      <xdr:col>6</xdr:col>
      <xdr:colOff>151527</xdr:colOff>
      <xdr:row>115</xdr:row>
      <xdr:rowOff>10128</xdr:rowOff>
    </xdr:to>
    <xdr:sp macro="" textlink="">
      <xdr:nvSpPr>
        <xdr:cNvPr id="130" name="テキスト ボックス 129">
          <a:extLst>
            <a:ext uri="{FF2B5EF4-FFF2-40B4-BE49-F238E27FC236}">
              <a16:creationId xmlns:a16="http://schemas.microsoft.com/office/drawing/2014/main" id="{A001D02D-2B65-4060-BEEB-3EF6985F96F4}"/>
            </a:ext>
          </a:extLst>
        </xdr:cNvPr>
        <xdr:cNvSpPr txBox="1"/>
      </xdr:nvSpPr>
      <xdr:spPr>
        <a:xfrm>
          <a:off x="5037852" y="1957447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114</xdr:row>
      <xdr:rowOff>129572</xdr:rowOff>
    </xdr:from>
    <xdr:to>
      <xdr:col>6</xdr:col>
      <xdr:colOff>151527</xdr:colOff>
      <xdr:row>115</xdr:row>
      <xdr:rowOff>81947</xdr:rowOff>
    </xdr:to>
    <xdr:sp macro="" textlink="">
      <xdr:nvSpPr>
        <xdr:cNvPr id="132" name="テキスト ボックス 131">
          <a:extLst>
            <a:ext uri="{FF2B5EF4-FFF2-40B4-BE49-F238E27FC236}">
              <a16:creationId xmlns:a16="http://schemas.microsoft.com/office/drawing/2014/main" id="{41F5C6D4-B3FD-4BDE-869F-9CE81E29AB9C}"/>
            </a:ext>
          </a:extLst>
        </xdr:cNvPr>
        <xdr:cNvSpPr txBox="1"/>
      </xdr:nvSpPr>
      <xdr:spPr>
        <a:xfrm>
          <a:off x="5037852" y="1964629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115</xdr:row>
      <xdr:rowOff>148414</xdr:rowOff>
    </xdr:from>
    <xdr:to>
      <xdr:col>6</xdr:col>
      <xdr:colOff>151527</xdr:colOff>
      <xdr:row>116</xdr:row>
      <xdr:rowOff>100789</xdr:rowOff>
    </xdr:to>
    <xdr:sp macro="" textlink="">
      <xdr:nvSpPr>
        <xdr:cNvPr id="133" name="テキスト ボックス 132">
          <a:extLst>
            <a:ext uri="{FF2B5EF4-FFF2-40B4-BE49-F238E27FC236}">
              <a16:creationId xmlns:a16="http://schemas.microsoft.com/office/drawing/2014/main" id="{71328901-ED61-4AEF-8B0A-9F9EF6748B51}"/>
            </a:ext>
          </a:extLst>
        </xdr:cNvPr>
        <xdr:cNvSpPr txBox="1"/>
      </xdr:nvSpPr>
      <xdr:spPr>
        <a:xfrm>
          <a:off x="5037852" y="1983658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117</xdr:row>
      <xdr:rowOff>29794</xdr:rowOff>
    </xdr:from>
    <xdr:to>
      <xdr:col>6</xdr:col>
      <xdr:colOff>151527</xdr:colOff>
      <xdr:row>117</xdr:row>
      <xdr:rowOff>153619</xdr:rowOff>
    </xdr:to>
    <xdr:sp macro="" textlink="">
      <xdr:nvSpPr>
        <xdr:cNvPr id="135" name="テキスト ボックス 134">
          <a:extLst>
            <a:ext uri="{FF2B5EF4-FFF2-40B4-BE49-F238E27FC236}">
              <a16:creationId xmlns:a16="http://schemas.microsoft.com/office/drawing/2014/main" id="{099162E5-A1CF-4AF6-B36A-6AB73D17F7A2}"/>
            </a:ext>
          </a:extLst>
        </xdr:cNvPr>
        <xdr:cNvSpPr txBox="1"/>
      </xdr:nvSpPr>
      <xdr:spPr>
        <a:xfrm>
          <a:off x="5037852" y="2006086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118</xdr:row>
      <xdr:rowOff>7865</xdr:rowOff>
    </xdr:from>
    <xdr:to>
      <xdr:col>6</xdr:col>
      <xdr:colOff>151527</xdr:colOff>
      <xdr:row>118</xdr:row>
      <xdr:rowOff>131690</xdr:rowOff>
    </xdr:to>
    <xdr:sp macro="" textlink="">
      <xdr:nvSpPr>
        <xdr:cNvPr id="137" name="テキスト ボックス 136">
          <a:extLst>
            <a:ext uri="{FF2B5EF4-FFF2-40B4-BE49-F238E27FC236}">
              <a16:creationId xmlns:a16="http://schemas.microsoft.com/office/drawing/2014/main" id="{5D256397-60B0-4175-9BE7-BA77836D07D3}"/>
            </a:ext>
          </a:extLst>
        </xdr:cNvPr>
        <xdr:cNvSpPr txBox="1"/>
      </xdr:nvSpPr>
      <xdr:spPr>
        <a:xfrm>
          <a:off x="5037852" y="2021039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6</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119</xdr:row>
      <xdr:rowOff>160376</xdr:rowOff>
    </xdr:from>
    <xdr:to>
      <xdr:col>6</xdr:col>
      <xdr:colOff>151527</xdr:colOff>
      <xdr:row>120</xdr:row>
      <xdr:rowOff>112751</xdr:rowOff>
    </xdr:to>
    <xdr:sp macro="" textlink="">
      <xdr:nvSpPr>
        <xdr:cNvPr id="139" name="テキスト ボックス 138">
          <a:extLst>
            <a:ext uri="{FF2B5EF4-FFF2-40B4-BE49-F238E27FC236}">
              <a16:creationId xmlns:a16="http://schemas.microsoft.com/office/drawing/2014/main" id="{51B576A8-91B8-40A2-A00A-4D45C09B6543}"/>
            </a:ext>
          </a:extLst>
        </xdr:cNvPr>
        <xdr:cNvSpPr txBox="1"/>
      </xdr:nvSpPr>
      <xdr:spPr>
        <a:xfrm>
          <a:off x="5037852" y="2053435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7</a:t>
          </a:r>
          <a:endParaRPr kumimoji="1" lang="ja-JP" altLang="en-US" sz="800" b="0" i="0">
            <a:latin typeface="ＭＳ Ｐゴシック" panose="020B0600070205080204" pitchFamily="50" charset="-128"/>
          </a:endParaRPr>
        </a:p>
      </xdr:txBody>
    </xdr:sp>
    <xdr:clientData/>
  </xdr:twoCellAnchor>
  <xdr:twoCellAnchor>
    <xdr:from>
      <xdr:col>6</xdr:col>
      <xdr:colOff>6712</xdr:colOff>
      <xdr:row>132</xdr:row>
      <xdr:rowOff>97475</xdr:rowOff>
    </xdr:from>
    <xdr:to>
      <xdr:col>6</xdr:col>
      <xdr:colOff>394447</xdr:colOff>
      <xdr:row>135</xdr:row>
      <xdr:rowOff>81595</xdr:rowOff>
    </xdr:to>
    <xdr:sp macro="" textlink="">
      <xdr:nvSpPr>
        <xdr:cNvPr id="140" name="テキスト ボックス 139">
          <a:extLst>
            <a:ext uri="{FF2B5EF4-FFF2-40B4-BE49-F238E27FC236}">
              <a16:creationId xmlns:a16="http://schemas.microsoft.com/office/drawing/2014/main" id="{33F770D7-AB05-4E17-98CE-996A0682918C}"/>
            </a:ext>
          </a:extLst>
        </xdr:cNvPr>
        <xdr:cNvSpPr txBox="1"/>
      </xdr:nvSpPr>
      <xdr:spPr>
        <a:xfrm>
          <a:off x="5007337" y="22700300"/>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302180</xdr:colOff>
      <xdr:row>130</xdr:row>
      <xdr:rowOff>3811</xdr:rowOff>
    </xdr:from>
    <xdr:to>
      <xdr:col>6</xdr:col>
      <xdr:colOff>309719</xdr:colOff>
      <xdr:row>138</xdr:row>
      <xdr:rowOff>3811</xdr:rowOff>
    </xdr:to>
    <xdr:sp macro="" textlink="">
      <xdr:nvSpPr>
        <xdr:cNvPr id="141" name="正方形/長方形 140">
          <a:extLst>
            <a:ext uri="{FF2B5EF4-FFF2-40B4-BE49-F238E27FC236}">
              <a16:creationId xmlns:a16="http://schemas.microsoft.com/office/drawing/2014/main" id="{E0624646-49B5-4563-8DD1-5702380E3876}"/>
            </a:ext>
          </a:extLst>
        </xdr:cNvPr>
        <xdr:cNvSpPr/>
      </xdr:nvSpPr>
      <xdr:spPr>
        <a:xfrm>
          <a:off x="5302805" y="22263736"/>
          <a:ext cx="7539"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248800</xdr:colOff>
      <xdr:row>129</xdr:row>
      <xdr:rowOff>13336</xdr:rowOff>
    </xdr:from>
    <xdr:to>
      <xdr:col>6</xdr:col>
      <xdr:colOff>363100</xdr:colOff>
      <xdr:row>129</xdr:row>
      <xdr:rowOff>137161</xdr:rowOff>
    </xdr:to>
    <xdr:sp macro="" textlink="">
      <xdr:nvSpPr>
        <xdr:cNvPr id="142" name="テキスト ボックス 141">
          <a:extLst>
            <a:ext uri="{FF2B5EF4-FFF2-40B4-BE49-F238E27FC236}">
              <a16:creationId xmlns:a16="http://schemas.microsoft.com/office/drawing/2014/main" id="{606FCEFB-B1CA-436A-BD80-0C21E6FAFD40}"/>
            </a:ext>
          </a:extLst>
        </xdr:cNvPr>
        <xdr:cNvSpPr txBox="1"/>
      </xdr:nvSpPr>
      <xdr:spPr>
        <a:xfrm>
          <a:off x="5249425"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311665</xdr:colOff>
      <xdr:row>129</xdr:row>
      <xdr:rowOff>13336</xdr:rowOff>
    </xdr:from>
    <xdr:to>
      <xdr:col>6</xdr:col>
      <xdr:colOff>425965</xdr:colOff>
      <xdr:row>129</xdr:row>
      <xdr:rowOff>137161</xdr:rowOff>
    </xdr:to>
    <xdr:sp macro="" textlink="">
      <xdr:nvSpPr>
        <xdr:cNvPr id="143" name="テキスト ボックス 142">
          <a:extLst>
            <a:ext uri="{FF2B5EF4-FFF2-40B4-BE49-F238E27FC236}">
              <a16:creationId xmlns:a16="http://schemas.microsoft.com/office/drawing/2014/main" id="{8B5467B8-BC0D-4BDC-A7AB-121723A7241B}"/>
            </a:ext>
          </a:extLst>
        </xdr:cNvPr>
        <xdr:cNvSpPr txBox="1"/>
      </xdr:nvSpPr>
      <xdr:spPr>
        <a:xfrm>
          <a:off x="5312290"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372542</xdr:colOff>
      <xdr:row>130</xdr:row>
      <xdr:rowOff>3811</xdr:rowOff>
    </xdr:from>
    <xdr:to>
      <xdr:col>6</xdr:col>
      <xdr:colOff>435366</xdr:colOff>
      <xdr:row>138</xdr:row>
      <xdr:rowOff>3811</xdr:rowOff>
    </xdr:to>
    <xdr:sp macro="" textlink="">
      <xdr:nvSpPr>
        <xdr:cNvPr id="144" name="正方形/長方形 143">
          <a:extLst>
            <a:ext uri="{FF2B5EF4-FFF2-40B4-BE49-F238E27FC236}">
              <a16:creationId xmlns:a16="http://schemas.microsoft.com/office/drawing/2014/main" id="{2B6A3437-1103-43B8-AF7B-9D0262D0CD76}"/>
            </a:ext>
          </a:extLst>
        </xdr:cNvPr>
        <xdr:cNvSpPr/>
      </xdr:nvSpPr>
      <xdr:spPr>
        <a:xfrm>
          <a:off x="5373167" y="22263736"/>
          <a:ext cx="62824" cy="1371600"/>
        </a:xfrm>
        <a:prstGeom prst="rect">
          <a:avLst/>
        </a:prstGeom>
        <a:blipFill>
          <a:blip xmlns:r="http://schemas.openxmlformats.org/officeDocument/2006/relationships" r:embed="rId2"/>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374530</xdr:colOff>
      <xdr:row>129</xdr:row>
      <xdr:rowOff>13336</xdr:rowOff>
    </xdr:from>
    <xdr:to>
      <xdr:col>6</xdr:col>
      <xdr:colOff>488830</xdr:colOff>
      <xdr:row>129</xdr:row>
      <xdr:rowOff>137161</xdr:rowOff>
    </xdr:to>
    <xdr:sp macro="" textlink="">
      <xdr:nvSpPr>
        <xdr:cNvPr id="145" name="テキスト ボックス 144">
          <a:extLst>
            <a:ext uri="{FF2B5EF4-FFF2-40B4-BE49-F238E27FC236}">
              <a16:creationId xmlns:a16="http://schemas.microsoft.com/office/drawing/2014/main" id="{D89E8B5F-C5A9-4670-AA8D-548DC47CA1C7}"/>
            </a:ext>
          </a:extLst>
        </xdr:cNvPr>
        <xdr:cNvSpPr txBox="1"/>
      </xdr:nvSpPr>
      <xdr:spPr>
        <a:xfrm>
          <a:off x="5375155"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437395</xdr:colOff>
      <xdr:row>129</xdr:row>
      <xdr:rowOff>13336</xdr:rowOff>
    </xdr:from>
    <xdr:to>
      <xdr:col>6</xdr:col>
      <xdr:colOff>551695</xdr:colOff>
      <xdr:row>129</xdr:row>
      <xdr:rowOff>137161</xdr:rowOff>
    </xdr:to>
    <xdr:sp macro="" textlink="">
      <xdr:nvSpPr>
        <xdr:cNvPr id="146" name="テキスト ボックス 145">
          <a:extLst>
            <a:ext uri="{FF2B5EF4-FFF2-40B4-BE49-F238E27FC236}">
              <a16:creationId xmlns:a16="http://schemas.microsoft.com/office/drawing/2014/main" id="{A1D330DC-0331-44D8-A878-33C1318D0469}"/>
            </a:ext>
          </a:extLst>
        </xdr:cNvPr>
        <xdr:cNvSpPr txBox="1"/>
      </xdr:nvSpPr>
      <xdr:spPr>
        <a:xfrm>
          <a:off x="5438020"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498189</xdr:colOff>
      <xdr:row>130</xdr:row>
      <xdr:rowOff>3811</xdr:rowOff>
    </xdr:from>
    <xdr:to>
      <xdr:col>6</xdr:col>
      <xdr:colOff>592424</xdr:colOff>
      <xdr:row>138</xdr:row>
      <xdr:rowOff>3811</xdr:rowOff>
    </xdr:to>
    <xdr:sp macro="" textlink="">
      <xdr:nvSpPr>
        <xdr:cNvPr id="147" name="正方形/長方形 146">
          <a:extLst>
            <a:ext uri="{FF2B5EF4-FFF2-40B4-BE49-F238E27FC236}">
              <a16:creationId xmlns:a16="http://schemas.microsoft.com/office/drawing/2014/main" id="{D814FAB0-4A06-4F22-A79D-A390E45A9453}"/>
            </a:ext>
          </a:extLst>
        </xdr:cNvPr>
        <xdr:cNvSpPr/>
      </xdr:nvSpPr>
      <xdr:spPr>
        <a:xfrm>
          <a:off x="5498814" y="22263736"/>
          <a:ext cx="94235" cy="1371600"/>
        </a:xfrm>
        <a:prstGeom prst="rect">
          <a:avLst/>
        </a:prstGeom>
        <a:blipFill>
          <a:blip xmlns:r="http://schemas.openxmlformats.org/officeDocument/2006/relationships" r:embed="rId3"/>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500261</xdr:colOff>
      <xdr:row>129</xdr:row>
      <xdr:rowOff>13336</xdr:rowOff>
    </xdr:from>
    <xdr:to>
      <xdr:col>6</xdr:col>
      <xdr:colOff>614561</xdr:colOff>
      <xdr:row>129</xdr:row>
      <xdr:rowOff>137161</xdr:rowOff>
    </xdr:to>
    <xdr:sp macro="" textlink="">
      <xdr:nvSpPr>
        <xdr:cNvPr id="148" name="テキスト ボックス 147">
          <a:extLst>
            <a:ext uri="{FF2B5EF4-FFF2-40B4-BE49-F238E27FC236}">
              <a16:creationId xmlns:a16="http://schemas.microsoft.com/office/drawing/2014/main" id="{C1998AD7-F7AF-42F4-BCBA-0F6543AA76A8}"/>
            </a:ext>
          </a:extLst>
        </xdr:cNvPr>
        <xdr:cNvSpPr txBox="1"/>
      </xdr:nvSpPr>
      <xdr:spPr>
        <a:xfrm>
          <a:off x="5500886"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592424</xdr:colOff>
      <xdr:row>130</xdr:row>
      <xdr:rowOff>3811</xdr:rowOff>
    </xdr:from>
    <xdr:to>
      <xdr:col>6</xdr:col>
      <xdr:colOff>906541</xdr:colOff>
      <xdr:row>138</xdr:row>
      <xdr:rowOff>3811</xdr:rowOff>
    </xdr:to>
    <xdr:sp macro="" textlink="">
      <xdr:nvSpPr>
        <xdr:cNvPr id="149" name="正方形/長方形 148">
          <a:extLst>
            <a:ext uri="{FF2B5EF4-FFF2-40B4-BE49-F238E27FC236}">
              <a16:creationId xmlns:a16="http://schemas.microsoft.com/office/drawing/2014/main" id="{B832BF4E-506C-482F-B06A-0FC88ED6FE02}"/>
            </a:ext>
          </a:extLst>
        </xdr:cNvPr>
        <xdr:cNvSpPr/>
      </xdr:nvSpPr>
      <xdr:spPr>
        <a:xfrm>
          <a:off x="5593049" y="22263736"/>
          <a:ext cx="314117" cy="1371600"/>
        </a:xfrm>
        <a:prstGeom prst="rect">
          <a:avLst/>
        </a:prstGeom>
        <a:pattFill prst="weave">
          <a:fgClr>
            <a:srgbClr xmlns:mc="http://schemas.openxmlformats.org/markup-compatibility/2006" xmlns:a14="http://schemas.microsoft.com/office/drawing/2010/main" val="800000" mc:Ignorable="a14" a14:legacySpreadsheetColorIndex="16"/>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800000" mc:Ignorable="a14" a14:legacySpreadsheetColorIndex="16"/>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692333</xdr:colOff>
      <xdr:row>129</xdr:row>
      <xdr:rowOff>13336</xdr:rowOff>
    </xdr:from>
    <xdr:to>
      <xdr:col>6</xdr:col>
      <xdr:colOff>806633</xdr:colOff>
      <xdr:row>129</xdr:row>
      <xdr:rowOff>137161</xdr:rowOff>
    </xdr:to>
    <xdr:sp macro="" textlink="">
      <xdr:nvSpPr>
        <xdr:cNvPr id="150" name="テキスト ボックス 149">
          <a:extLst>
            <a:ext uri="{FF2B5EF4-FFF2-40B4-BE49-F238E27FC236}">
              <a16:creationId xmlns:a16="http://schemas.microsoft.com/office/drawing/2014/main" id="{C390E382-D191-4EB0-8DB5-EADE357FA4C3}"/>
            </a:ext>
          </a:extLst>
        </xdr:cNvPr>
        <xdr:cNvSpPr txBox="1"/>
      </xdr:nvSpPr>
      <xdr:spPr>
        <a:xfrm>
          <a:off x="5692958" y="2210181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6</a:t>
          </a:r>
          <a:endParaRPr kumimoji="1" lang="ja-JP" altLang="en-US" sz="800" b="0" i="0">
            <a:latin typeface="ＭＳ Ｐゴシック" panose="020B060007020508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0</xdr:colOff>
      <xdr:row>5</xdr:row>
      <xdr:rowOff>0</xdr:rowOff>
    </xdr:from>
    <xdr:to>
      <xdr:col>19</xdr:col>
      <xdr:colOff>0</xdr:colOff>
      <xdr:row>5</xdr:row>
      <xdr:rowOff>0</xdr:rowOff>
    </xdr:to>
    <xdr:sp macro="" textlink="">
      <xdr:nvSpPr>
        <xdr:cNvPr id="2" name="Line 1">
          <a:extLst>
            <a:ext uri="{FF2B5EF4-FFF2-40B4-BE49-F238E27FC236}">
              <a16:creationId xmlns:a16="http://schemas.microsoft.com/office/drawing/2014/main" id="{B4A9FA20-8EC0-468E-94DC-B925EB78028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 name="Line 2">
          <a:extLst>
            <a:ext uri="{FF2B5EF4-FFF2-40B4-BE49-F238E27FC236}">
              <a16:creationId xmlns:a16="http://schemas.microsoft.com/office/drawing/2014/main" id="{BBFA5B9A-49CE-4ED4-8A06-E3D8555C608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211</xdr:col>
      <xdr:colOff>0</xdr:colOff>
      <xdr:row>5</xdr:row>
      <xdr:rowOff>0</xdr:rowOff>
    </xdr:from>
    <xdr:to>
      <xdr:col>211</xdr:col>
      <xdr:colOff>0</xdr:colOff>
      <xdr:row>5</xdr:row>
      <xdr:rowOff>0</xdr:rowOff>
    </xdr:to>
    <xdr:sp macro="" textlink="">
      <xdr:nvSpPr>
        <xdr:cNvPr id="4" name="Line 4">
          <a:extLst>
            <a:ext uri="{FF2B5EF4-FFF2-40B4-BE49-F238E27FC236}">
              <a16:creationId xmlns:a16="http://schemas.microsoft.com/office/drawing/2014/main" id="{68233B9E-8314-4082-AEB4-B795EE8BEAC7}"/>
            </a:ext>
          </a:extLst>
        </xdr:cNvPr>
        <xdr:cNvSpPr>
          <a:spLocks noChangeShapeType="1"/>
        </xdr:cNvSpPr>
      </xdr:nvSpPr>
      <xdr:spPr bwMode="auto">
        <a:xfrm flipH="1">
          <a:off x="93640275" y="15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 name="Line 5">
          <a:extLst>
            <a:ext uri="{FF2B5EF4-FFF2-40B4-BE49-F238E27FC236}">
              <a16:creationId xmlns:a16="http://schemas.microsoft.com/office/drawing/2014/main" id="{20F4FBE8-7909-428A-A338-82C4F61BB99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6" name="Line 6">
          <a:extLst>
            <a:ext uri="{FF2B5EF4-FFF2-40B4-BE49-F238E27FC236}">
              <a16:creationId xmlns:a16="http://schemas.microsoft.com/office/drawing/2014/main" id="{317B48DD-D9DF-4CB1-BA69-F1834A568BA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7" name="Line 7">
          <a:extLst>
            <a:ext uri="{FF2B5EF4-FFF2-40B4-BE49-F238E27FC236}">
              <a16:creationId xmlns:a16="http://schemas.microsoft.com/office/drawing/2014/main" id="{096286F3-81C9-4F0E-86C0-7BB6C363198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8" name="Line 8">
          <a:extLst>
            <a:ext uri="{FF2B5EF4-FFF2-40B4-BE49-F238E27FC236}">
              <a16:creationId xmlns:a16="http://schemas.microsoft.com/office/drawing/2014/main" id="{AFACB25D-4D60-45C5-930A-C3DFE77F225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9" name="Line 9">
          <a:extLst>
            <a:ext uri="{FF2B5EF4-FFF2-40B4-BE49-F238E27FC236}">
              <a16:creationId xmlns:a16="http://schemas.microsoft.com/office/drawing/2014/main" id="{1E214258-6C92-4815-A64A-6DBB1147534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0" name="Line 10">
          <a:extLst>
            <a:ext uri="{FF2B5EF4-FFF2-40B4-BE49-F238E27FC236}">
              <a16:creationId xmlns:a16="http://schemas.microsoft.com/office/drawing/2014/main" id="{985D2E89-B42D-4EC7-AC31-B1813288EFC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1" name="Line 11">
          <a:extLst>
            <a:ext uri="{FF2B5EF4-FFF2-40B4-BE49-F238E27FC236}">
              <a16:creationId xmlns:a16="http://schemas.microsoft.com/office/drawing/2014/main" id="{10419F02-6410-4C71-94EF-3089178437D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2" name="Line 12">
          <a:extLst>
            <a:ext uri="{FF2B5EF4-FFF2-40B4-BE49-F238E27FC236}">
              <a16:creationId xmlns:a16="http://schemas.microsoft.com/office/drawing/2014/main" id="{57EADAE0-A130-41B2-85E3-39BC506634C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3" name="Line 13">
          <a:extLst>
            <a:ext uri="{FF2B5EF4-FFF2-40B4-BE49-F238E27FC236}">
              <a16:creationId xmlns:a16="http://schemas.microsoft.com/office/drawing/2014/main" id="{1E706A45-9165-486D-B2B8-7B00AD3F485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4" name="Line 14">
          <a:extLst>
            <a:ext uri="{FF2B5EF4-FFF2-40B4-BE49-F238E27FC236}">
              <a16:creationId xmlns:a16="http://schemas.microsoft.com/office/drawing/2014/main" id="{F42F646F-294C-4A28-9CA7-1FD07384AA9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5" name="Line 15">
          <a:extLst>
            <a:ext uri="{FF2B5EF4-FFF2-40B4-BE49-F238E27FC236}">
              <a16:creationId xmlns:a16="http://schemas.microsoft.com/office/drawing/2014/main" id="{84994048-05F0-4C6B-9566-C0A2E37250C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6" name="Line 16">
          <a:extLst>
            <a:ext uri="{FF2B5EF4-FFF2-40B4-BE49-F238E27FC236}">
              <a16:creationId xmlns:a16="http://schemas.microsoft.com/office/drawing/2014/main" id="{AFA2F45D-3738-4552-9C83-10C8A934EAE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7" name="Line 17">
          <a:extLst>
            <a:ext uri="{FF2B5EF4-FFF2-40B4-BE49-F238E27FC236}">
              <a16:creationId xmlns:a16="http://schemas.microsoft.com/office/drawing/2014/main" id="{25E17C1E-0436-4F8B-AFD4-3145667D31A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8" name="Line 18">
          <a:extLst>
            <a:ext uri="{FF2B5EF4-FFF2-40B4-BE49-F238E27FC236}">
              <a16:creationId xmlns:a16="http://schemas.microsoft.com/office/drawing/2014/main" id="{AA6D833F-4A0B-4967-8785-5D79C0044E0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9" name="Line 19">
          <a:extLst>
            <a:ext uri="{FF2B5EF4-FFF2-40B4-BE49-F238E27FC236}">
              <a16:creationId xmlns:a16="http://schemas.microsoft.com/office/drawing/2014/main" id="{822258BA-1855-46AF-B6D4-4A31843FDBD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0" name="Line 20">
          <a:extLst>
            <a:ext uri="{FF2B5EF4-FFF2-40B4-BE49-F238E27FC236}">
              <a16:creationId xmlns:a16="http://schemas.microsoft.com/office/drawing/2014/main" id="{89C0B2AB-7057-48A1-8CC4-84B5727FFC7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1" name="Line 21">
          <a:extLst>
            <a:ext uri="{FF2B5EF4-FFF2-40B4-BE49-F238E27FC236}">
              <a16:creationId xmlns:a16="http://schemas.microsoft.com/office/drawing/2014/main" id="{EBA1FDC2-095D-40C7-BE14-A48488F1A51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2" name="Line 22">
          <a:extLst>
            <a:ext uri="{FF2B5EF4-FFF2-40B4-BE49-F238E27FC236}">
              <a16:creationId xmlns:a16="http://schemas.microsoft.com/office/drawing/2014/main" id="{80825276-3AB0-4E43-B31F-6B78412FC08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3" name="Line 23">
          <a:extLst>
            <a:ext uri="{FF2B5EF4-FFF2-40B4-BE49-F238E27FC236}">
              <a16:creationId xmlns:a16="http://schemas.microsoft.com/office/drawing/2014/main" id="{F46FD58E-0EC2-4B03-AF55-ABBB9562BA2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4" name="Line 24">
          <a:extLst>
            <a:ext uri="{FF2B5EF4-FFF2-40B4-BE49-F238E27FC236}">
              <a16:creationId xmlns:a16="http://schemas.microsoft.com/office/drawing/2014/main" id="{43B23625-CE25-40E8-844A-83E5B3C4024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5" name="Line 25">
          <a:extLst>
            <a:ext uri="{FF2B5EF4-FFF2-40B4-BE49-F238E27FC236}">
              <a16:creationId xmlns:a16="http://schemas.microsoft.com/office/drawing/2014/main" id="{8EFFE994-DF5A-4E94-8EC5-18FC4C3AC7B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6" name="Line 26">
          <a:extLst>
            <a:ext uri="{FF2B5EF4-FFF2-40B4-BE49-F238E27FC236}">
              <a16:creationId xmlns:a16="http://schemas.microsoft.com/office/drawing/2014/main" id="{A922A9AF-35B8-4E55-8B70-D0941359BD1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7" name="Line 27">
          <a:extLst>
            <a:ext uri="{FF2B5EF4-FFF2-40B4-BE49-F238E27FC236}">
              <a16:creationId xmlns:a16="http://schemas.microsoft.com/office/drawing/2014/main" id="{F4013C1A-754E-4B8F-9A37-F62E01FC7E2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8" name="Line 28">
          <a:extLst>
            <a:ext uri="{FF2B5EF4-FFF2-40B4-BE49-F238E27FC236}">
              <a16:creationId xmlns:a16="http://schemas.microsoft.com/office/drawing/2014/main" id="{5A8ADC85-16A6-4434-B2C7-8CBD686BBAB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9" name="Line 29">
          <a:extLst>
            <a:ext uri="{FF2B5EF4-FFF2-40B4-BE49-F238E27FC236}">
              <a16:creationId xmlns:a16="http://schemas.microsoft.com/office/drawing/2014/main" id="{8E38C22D-4B5D-4F61-8A1B-C2D46E935C1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0" name="Line 30">
          <a:extLst>
            <a:ext uri="{FF2B5EF4-FFF2-40B4-BE49-F238E27FC236}">
              <a16:creationId xmlns:a16="http://schemas.microsoft.com/office/drawing/2014/main" id="{A6E8F43B-C8D0-4508-8E49-97000E0224E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1" name="Line 31">
          <a:extLst>
            <a:ext uri="{FF2B5EF4-FFF2-40B4-BE49-F238E27FC236}">
              <a16:creationId xmlns:a16="http://schemas.microsoft.com/office/drawing/2014/main" id="{F923F893-2F3E-47CC-987C-7A793677FC4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2" name="Line 32">
          <a:extLst>
            <a:ext uri="{FF2B5EF4-FFF2-40B4-BE49-F238E27FC236}">
              <a16:creationId xmlns:a16="http://schemas.microsoft.com/office/drawing/2014/main" id="{CC08DCE2-514E-419F-8311-6476DAF61FF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3" name="Line 33">
          <a:extLst>
            <a:ext uri="{FF2B5EF4-FFF2-40B4-BE49-F238E27FC236}">
              <a16:creationId xmlns:a16="http://schemas.microsoft.com/office/drawing/2014/main" id="{BA0336FD-7CA8-4690-9BB0-91C0488FE75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4" name="Line 34">
          <a:extLst>
            <a:ext uri="{FF2B5EF4-FFF2-40B4-BE49-F238E27FC236}">
              <a16:creationId xmlns:a16="http://schemas.microsoft.com/office/drawing/2014/main" id="{C4332BE7-A116-4261-80A0-67627C01E2E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5" name="Line 35">
          <a:extLst>
            <a:ext uri="{FF2B5EF4-FFF2-40B4-BE49-F238E27FC236}">
              <a16:creationId xmlns:a16="http://schemas.microsoft.com/office/drawing/2014/main" id="{E3D15179-68F1-424B-A91B-19A31EFB9F7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6" name="Line 36">
          <a:extLst>
            <a:ext uri="{FF2B5EF4-FFF2-40B4-BE49-F238E27FC236}">
              <a16:creationId xmlns:a16="http://schemas.microsoft.com/office/drawing/2014/main" id="{6D902CCF-59C0-4261-B8FB-13018022532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7" name="Line 37">
          <a:extLst>
            <a:ext uri="{FF2B5EF4-FFF2-40B4-BE49-F238E27FC236}">
              <a16:creationId xmlns:a16="http://schemas.microsoft.com/office/drawing/2014/main" id="{1C62D433-AA85-4945-85E8-C59711BDA7C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8" name="Line 38">
          <a:extLst>
            <a:ext uri="{FF2B5EF4-FFF2-40B4-BE49-F238E27FC236}">
              <a16:creationId xmlns:a16="http://schemas.microsoft.com/office/drawing/2014/main" id="{626B98BD-1D01-4409-A0E8-00ABBF441EE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9" name="Line 39">
          <a:extLst>
            <a:ext uri="{FF2B5EF4-FFF2-40B4-BE49-F238E27FC236}">
              <a16:creationId xmlns:a16="http://schemas.microsoft.com/office/drawing/2014/main" id="{BBD42143-6A4F-487E-AAEA-2950001A6A5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0" name="Line 40">
          <a:extLst>
            <a:ext uri="{FF2B5EF4-FFF2-40B4-BE49-F238E27FC236}">
              <a16:creationId xmlns:a16="http://schemas.microsoft.com/office/drawing/2014/main" id="{910E74E8-1028-4913-8BB1-890AE744003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1" name="Line 41">
          <a:extLst>
            <a:ext uri="{FF2B5EF4-FFF2-40B4-BE49-F238E27FC236}">
              <a16:creationId xmlns:a16="http://schemas.microsoft.com/office/drawing/2014/main" id="{3381729A-33DE-41C0-B6C6-FB286C413C4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2" name="Line 42">
          <a:extLst>
            <a:ext uri="{FF2B5EF4-FFF2-40B4-BE49-F238E27FC236}">
              <a16:creationId xmlns:a16="http://schemas.microsoft.com/office/drawing/2014/main" id="{469E1B9F-90BE-49F8-AAF2-421B1E898E7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3" name="Line 43">
          <a:extLst>
            <a:ext uri="{FF2B5EF4-FFF2-40B4-BE49-F238E27FC236}">
              <a16:creationId xmlns:a16="http://schemas.microsoft.com/office/drawing/2014/main" id="{A479BEE2-C6BE-41DF-BE29-0CAB4B62DB0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4" name="Line 44">
          <a:extLst>
            <a:ext uri="{FF2B5EF4-FFF2-40B4-BE49-F238E27FC236}">
              <a16:creationId xmlns:a16="http://schemas.microsoft.com/office/drawing/2014/main" id="{366F7E55-E000-4E7E-A57E-45ACA29278C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5" name="Line 45">
          <a:extLst>
            <a:ext uri="{FF2B5EF4-FFF2-40B4-BE49-F238E27FC236}">
              <a16:creationId xmlns:a16="http://schemas.microsoft.com/office/drawing/2014/main" id="{192936DD-A2E3-4837-AB42-3B3EB945712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6" name="Line 46">
          <a:extLst>
            <a:ext uri="{FF2B5EF4-FFF2-40B4-BE49-F238E27FC236}">
              <a16:creationId xmlns:a16="http://schemas.microsoft.com/office/drawing/2014/main" id="{FFF056B5-B9F6-4349-B6F7-E27C7CD4DB1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7" name="Line 47">
          <a:extLst>
            <a:ext uri="{FF2B5EF4-FFF2-40B4-BE49-F238E27FC236}">
              <a16:creationId xmlns:a16="http://schemas.microsoft.com/office/drawing/2014/main" id="{E7DBC97A-ECAC-42A4-A723-ABF2FC25D42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8" name="Line 48">
          <a:extLst>
            <a:ext uri="{FF2B5EF4-FFF2-40B4-BE49-F238E27FC236}">
              <a16:creationId xmlns:a16="http://schemas.microsoft.com/office/drawing/2014/main" id="{9B7D4AC6-7E79-4223-9FE6-774111C0CE3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9" name="Line 49">
          <a:extLst>
            <a:ext uri="{FF2B5EF4-FFF2-40B4-BE49-F238E27FC236}">
              <a16:creationId xmlns:a16="http://schemas.microsoft.com/office/drawing/2014/main" id="{D4D8BDBF-0464-4908-9BAA-3989EE43F04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0" name="Line 50">
          <a:extLst>
            <a:ext uri="{FF2B5EF4-FFF2-40B4-BE49-F238E27FC236}">
              <a16:creationId xmlns:a16="http://schemas.microsoft.com/office/drawing/2014/main" id="{04FA4A77-45AA-459F-A70E-B2AFD8E0FCD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1" name="Line 1">
          <a:extLst>
            <a:ext uri="{FF2B5EF4-FFF2-40B4-BE49-F238E27FC236}">
              <a16:creationId xmlns:a16="http://schemas.microsoft.com/office/drawing/2014/main" id="{5C657D09-3998-4980-9C87-36F9E767209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2" name="Line 2">
          <a:extLst>
            <a:ext uri="{FF2B5EF4-FFF2-40B4-BE49-F238E27FC236}">
              <a16:creationId xmlns:a16="http://schemas.microsoft.com/office/drawing/2014/main" id="{DFC5FAE4-14A8-49EF-A78B-2C457795EB8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3" name="Line 5">
          <a:extLst>
            <a:ext uri="{FF2B5EF4-FFF2-40B4-BE49-F238E27FC236}">
              <a16:creationId xmlns:a16="http://schemas.microsoft.com/office/drawing/2014/main" id="{3F852B08-B853-44EB-80F1-B669947DC60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4" name="Line 6">
          <a:extLst>
            <a:ext uri="{FF2B5EF4-FFF2-40B4-BE49-F238E27FC236}">
              <a16:creationId xmlns:a16="http://schemas.microsoft.com/office/drawing/2014/main" id="{982E936D-4826-44F0-A98E-32C547E8B5D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5" name="Line 7">
          <a:extLst>
            <a:ext uri="{FF2B5EF4-FFF2-40B4-BE49-F238E27FC236}">
              <a16:creationId xmlns:a16="http://schemas.microsoft.com/office/drawing/2014/main" id="{293AD93D-219B-4B94-AF97-0E30AF2845E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6" name="Line 8">
          <a:extLst>
            <a:ext uri="{FF2B5EF4-FFF2-40B4-BE49-F238E27FC236}">
              <a16:creationId xmlns:a16="http://schemas.microsoft.com/office/drawing/2014/main" id="{6371C418-F0E6-4EF2-B4C6-7D60ABEC3A5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7" name="Line 9">
          <a:extLst>
            <a:ext uri="{FF2B5EF4-FFF2-40B4-BE49-F238E27FC236}">
              <a16:creationId xmlns:a16="http://schemas.microsoft.com/office/drawing/2014/main" id="{D76D4D5C-831C-4D47-A21B-1C5D134F8C2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8" name="Line 10">
          <a:extLst>
            <a:ext uri="{FF2B5EF4-FFF2-40B4-BE49-F238E27FC236}">
              <a16:creationId xmlns:a16="http://schemas.microsoft.com/office/drawing/2014/main" id="{5CBC0393-976C-458F-9978-7930956F95D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9" name="Line 11">
          <a:extLst>
            <a:ext uri="{FF2B5EF4-FFF2-40B4-BE49-F238E27FC236}">
              <a16:creationId xmlns:a16="http://schemas.microsoft.com/office/drawing/2014/main" id="{407438E7-1304-41BA-811A-A1945F0AC7E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0" name="Line 12">
          <a:extLst>
            <a:ext uri="{FF2B5EF4-FFF2-40B4-BE49-F238E27FC236}">
              <a16:creationId xmlns:a16="http://schemas.microsoft.com/office/drawing/2014/main" id="{DC381720-AE92-4BC2-8A08-C96B72BAA30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1" name="Line 13">
          <a:extLst>
            <a:ext uri="{FF2B5EF4-FFF2-40B4-BE49-F238E27FC236}">
              <a16:creationId xmlns:a16="http://schemas.microsoft.com/office/drawing/2014/main" id="{EB8C8724-ED0E-489B-9B59-F58DC8E285E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2" name="Line 14">
          <a:extLst>
            <a:ext uri="{FF2B5EF4-FFF2-40B4-BE49-F238E27FC236}">
              <a16:creationId xmlns:a16="http://schemas.microsoft.com/office/drawing/2014/main" id="{3B7E9EDB-6C32-464B-A553-79BFC72116B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3" name="Line 15">
          <a:extLst>
            <a:ext uri="{FF2B5EF4-FFF2-40B4-BE49-F238E27FC236}">
              <a16:creationId xmlns:a16="http://schemas.microsoft.com/office/drawing/2014/main" id="{7943ACAF-A192-4C2A-A9FE-454258783D8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4" name="Line 16">
          <a:extLst>
            <a:ext uri="{FF2B5EF4-FFF2-40B4-BE49-F238E27FC236}">
              <a16:creationId xmlns:a16="http://schemas.microsoft.com/office/drawing/2014/main" id="{83EE2A74-EA32-4A89-BA2D-3E1AE470ACF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5" name="Line 17">
          <a:extLst>
            <a:ext uri="{FF2B5EF4-FFF2-40B4-BE49-F238E27FC236}">
              <a16:creationId xmlns:a16="http://schemas.microsoft.com/office/drawing/2014/main" id="{82E0718C-D4DE-427C-8945-A4CB1CBC8AF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6" name="Line 18">
          <a:extLst>
            <a:ext uri="{FF2B5EF4-FFF2-40B4-BE49-F238E27FC236}">
              <a16:creationId xmlns:a16="http://schemas.microsoft.com/office/drawing/2014/main" id="{8F758BA3-253B-4872-B35D-B6F85BC9BF7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7" name="Line 19">
          <a:extLst>
            <a:ext uri="{FF2B5EF4-FFF2-40B4-BE49-F238E27FC236}">
              <a16:creationId xmlns:a16="http://schemas.microsoft.com/office/drawing/2014/main" id="{37B1766D-B98F-4249-853A-DF5E9800DC2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8" name="Line 20">
          <a:extLst>
            <a:ext uri="{FF2B5EF4-FFF2-40B4-BE49-F238E27FC236}">
              <a16:creationId xmlns:a16="http://schemas.microsoft.com/office/drawing/2014/main" id="{8B107494-D573-49C5-8BDE-4782330930B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9" name="Line 21">
          <a:extLst>
            <a:ext uri="{FF2B5EF4-FFF2-40B4-BE49-F238E27FC236}">
              <a16:creationId xmlns:a16="http://schemas.microsoft.com/office/drawing/2014/main" id="{2E1F1D02-5A90-4544-84C3-0E35488C9C0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0" name="Line 22">
          <a:extLst>
            <a:ext uri="{FF2B5EF4-FFF2-40B4-BE49-F238E27FC236}">
              <a16:creationId xmlns:a16="http://schemas.microsoft.com/office/drawing/2014/main" id="{44D7A5E9-AC45-4DF9-9D2C-60CFE8DE783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1" name="Line 23">
          <a:extLst>
            <a:ext uri="{FF2B5EF4-FFF2-40B4-BE49-F238E27FC236}">
              <a16:creationId xmlns:a16="http://schemas.microsoft.com/office/drawing/2014/main" id="{CE0E883B-F8BE-46FD-BED6-E41691E1307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2" name="Line 24">
          <a:extLst>
            <a:ext uri="{FF2B5EF4-FFF2-40B4-BE49-F238E27FC236}">
              <a16:creationId xmlns:a16="http://schemas.microsoft.com/office/drawing/2014/main" id="{9A5CFC92-109A-4CB3-8821-38BB93DF38B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3" name="Line 25">
          <a:extLst>
            <a:ext uri="{FF2B5EF4-FFF2-40B4-BE49-F238E27FC236}">
              <a16:creationId xmlns:a16="http://schemas.microsoft.com/office/drawing/2014/main" id="{B99554A0-AEEF-4595-9408-D01FF790AA5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4" name="Line 26">
          <a:extLst>
            <a:ext uri="{FF2B5EF4-FFF2-40B4-BE49-F238E27FC236}">
              <a16:creationId xmlns:a16="http://schemas.microsoft.com/office/drawing/2014/main" id="{66BAB69E-ADF6-4891-8BA5-847D74A7837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5" name="Line 27">
          <a:extLst>
            <a:ext uri="{FF2B5EF4-FFF2-40B4-BE49-F238E27FC236}">
              <a16:creationId xmlns:a16="http://schemas.microsoft.com/office/drawing/2014/main" id="{F00195BF-ED0A-4B6E-A475-DC2872050EE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6" name="Line 28">
          <a:extLst>
            <a:ext uri="{FF2B5EF4-FFF2-40B4-BE49-F238E27FC236}">
              <a16:creationId xmlns:a16="http://schemas.microsoft.com/office/drawing/2014/main" id="{F446BACD-7194-41BF-9CC8-1633131D25F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7" name="Line 29">
          <a:extLst>
            <a:ext uri="{FF2B5EF4-FFF2-40B4-BE49-F238E27FC236}">
              <a16:creationId xmlns:a16="http://schemas.microsoft.com/office/drawing/2014/main" id="{5A9522F2-A331-4436-9072-36DCB86B328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8" name="Line 30">
          <a:extLst>
            <a:ext uri="{FF2B5EF4-FFF2-40B4-BE49-F238E27FC236}">
              <a16:creationId xmlns:a16="http://schemas.microsoft.com/office/drawing/2014/main" id="{1B07DBB2-D9D7-4CE3-B8FB-37A20EB7FDF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9" name="Line 31">
          <a:extLst>
            <a:ext uri="{FF2B5EF4-FFF2-40B4-BE49-F238E27FC236}">
              <a16:creationId xmlns:a16="http://schemas.microsoft.com/office/drawing/2014/main" id="{FBB0D830-F1B0-4719-B646-5F4BF4A5AD3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0" name="Line 32">
          <a:extLst>
            <a:ext uri="{FF2B5EF4-FFF2-40B4-BE49-F238E27FC236}">
              <a16:creationId xmlns:a16="http://schemas.microsoft.com/office/drawing/2014/main" id="{B8CB1C12-CF65-4228-AE37-1CEEB4E3FB0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1" name="Line 33">
          <a:extLst>
            <a:ext uri="{FF2B5EF4-FFF2-40B4-BE49-F238E27FC236}">
              <a16:creationId xmlns:a16="http://schemas.microsoft.com/office/drawing/2014/main" id="{2E2D01F8-DED7-4386-B3CD-2D932BAADCB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2" name="Line 34">
          <a:extLst>
            <a:ext uri="{FF2B5EF4-FFF2-40B4-BE49-F238E27FC236}">
              <a16:creationId xmlns:a16="http://schemas.microsoft.com/office/drawing/2014/main" id="{37BBC537-AAD4-4666-A99D-C67131F6CE9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3" name="Line 35">
          <a:extLst>
            <a:ext uri="{FF2B5EF4-FFF2-40B4-BE49-F238E27FC236}">
              <a16:creationId xmlns:a16="http://schemas.microsoft.com/office/drawing/2014/main" id="{240B6432-8179-46F7-972A-5847EFD764D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4" name="Line 36">
          <a:extLst>
            <a:ext uri="{FF2B5EF4-FFF2-40B4-BE49-F238E27FC236}">
              <a16:creationId xmlns:a16="http://schemas.microsoft.com/office/drawing/2014/main" id="{477F559E-0BA1-4C7D-8E67-5AFA04F7C37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5" name="Line 37">
          <a:extLst>
            <a:ext uri="{FF2B5EF4-FFF2-40B4-BE49-F238E27FC236}">
              <a16:creationId xmlns:a16="http://schemas.microsoft.com/office/drawing/2014/main" id="{52478DAD-5A52-439D-BA64-6339622E47E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6" name="Line 38">
          <a:extLst>
            <a:ext uri="{FF2B5EF4-FFF2-40B4-BE49-F238E27FC236}">
              <a16:creationId xmlns:a16="http://schemas.microsoft.com/office/drawing/2014/main" id="{5AEAAF25-1F21-41B0-A9D4-E06CF28CE58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7" name="Line 39">
          <a:extLst>
            <a:ext uri="{FF2B5EF4-FFF2-40B4-BE49-F238E27FC236}">
              <a16:creationId xmlns:a16="http://schemas.microsoft.com/office/drawing/2014/main" id="{4887E353-E361-4275-9D4C-7F23AB8EC3E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8" name="Line 40">
          <a:extLst>
            <a:ext uri="{FF2B5EF4-FFF2-40B4-BE49-F238E27FC236}">
              <a16:creationId xmlns:a16="http://schemas.microsoft.com/office/drawing/2014/main" id="{6A452163-33C8-4438-8B9A-7E4A434625A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9" name="Line 41">
          <a:extLst>
            <a:ext uri="{FF2B5EF4-FFF2-40B4-BE49-F238E27FC236}">
              <a16:creationId xmlns:a16="http://schemas.microsoft.com/office/drawing/2014/main" id="{81B2E18C-279D-4299-85C7-0CEFB60BCEB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0" name="Line 42">
          <a:extLst>
            <a:ext uri="{FF2B5EF4-FFF2-40B4-BE49-F238E27FC236}">
              <a16:creationId xmlns:a16="http://schemas.microsoft.com/office/drawing/2014/main" id="{5DC4037D-FF46-45D0-8714-CE4D37CFAB9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1" name="Line 43">
          <a:extLst>
            <a:ext uri="{FF2B5EF4-FFF2-40B4-BE49-F238E27FC236}">
              <a16:creationId xmlns:a16="http://schemas.microsoft.com/office/drawing/2014/main" id="{74D8EC3C-5F16-4865-9601-34243A6EB3E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2" name="Line 44">
          <a:extLst>
            <a:ext uri="{FF2B5EF4-FFF2-40B4-BE49-F238E27FC236}">
              <a16:creationId xmlns:a16="http://schemas.microsoft.com/office/drawing/2014/main" id="{68AAE373-EC56-4601-AC9F-032858A67C8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3" name="Line 45">
          <a:extLst>
            <a:ext uri="{FF2B5EF4-FFF2-40B4-BE49-F238E27FC236}">
              <a16:creationId xmlns:a16="http://schemas.microsoft.com/office/drawing/2014/main" id="{D112102B-AB47-4797-9DCF-0FBBD36A893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4" name="Line 46">
          <a:extLst>
            <a:ext uri="{FF2B5EF4-FFF2-40B4-BE49-F238E27FC236}">
              <a16:creationId xmlns:a16="http://schemas.microsoft.com/office/drawing/2014/main" id="{9A1DA9F7-8BF4-46AF-818E-33FF334A0D5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5" name="Line 47">
          <a:extLst>
            <a:ext uri="{FF2B5EF4-FFF2-40B4-BE49-F238E27FC236}">
              <a16:creationId xmlns:a16="http://schemas.microsoft.com/office/drawing/2014/main" id="{2FF68AAF-66EA-4D35-BCBC-B8763231D48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6" name="Line 48">
          <a:extLst>
            <a:ext uri="{FF2B5EF4-FFF2-40B4-BE49-F238E27FC236}">
              <a16:creationId xmlns:a16="http://schemas.microsoft.com/office/drawing/2014/main" id="{F6415168-F963-4B3B-92BF-884622E472A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7" name="Line 49">
          <a:extLst>
            <a:ext uri="{FF2B5EF4-FFF2-40B4-BE49-F238E27FC236}">
              <a16:creationId xmlns:a16="http://schemas.microsoft.com/office/drawing/2014/main" id="{AA61AEA3-FFAC-4223-97E1-234FD87AE34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8" name="Line 50">
          <a:extLst>
            <a:ext uri="{FF2B5EF4-FFF2-40B4-BE49-F238E27FC236}">
              <a16:creationId xmlns:a16="http://schemas.microsoft.com/office/drawing/2014/main" id="{DEE28FD8-21A6-49B5-AAD2-AE99C38992D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99" name="Line 1">
          <a:extLst>
            <a:ext uri="{FF2B5EF4-FFF2-40B4-BE49-F238E27FC236}">
              <a16:creationId xmlns:a16="http://schemas.microsoft.com/office/drawing/2014/main" id="{23E60875-EDD7-4CC6-B2EB-5737E6F3118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0" name="Line 2">
          <a:extLst>
            <a:ext uri="{FF2B5EF4-FFF2-40B4-BE49-F238E27FC236}">
              <a16:creationId xmlns:a16="http://schemas.microsoft.com/office/drawing/2014/main" id="{9158775F-F34E-4CB6-A4D8-DB9C8DBD01B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1" name="Line 5">
          <a:extLst>
            <a:ext uri="{FF2B5EF4-FFF2-40B4-BE49-F238E27FC236}">
              <a16:creationId xmlns:a16="http://schemas.microsoft.com/office/drawing/2014/main" id="{8099F42F-301A-4EBE-A73E-0943362BF56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2" name="Line 6">
          <a:extLst>
            <a:ext uri="{FF2B5EF4-FFF2-40B4-BE49-F238E27FC236}">
              <a16:creationId xmlns:a16="http://schemas.microsoft.com/office/drawing/2014/main" id="{B21C01CF-51DD-49F2-9BA6-D88CF926A37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3" name="Line 7">
          <a:extLst>
            <a:ext uri="{FF2B5EF4-FFF2-40B4-BE49-F238E27FC236}">
              <a16:creationId xmlns:a16="http://schemas.microsoft.com/office/drawing/2014/main" id="{DFF8EEC0-AC0B-4102-9291-15C20C89094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4" name="Line 8">
          <a:extLst>
            <a:ext uri="{FF2B5EF4-FFF2-40B4-BE49-F238E27FC236}">
              <a16:creationId xmlns:a16="http://schemas.microsoft.com/office/drawing/2014/main" id="{BF3B562B-BE3E-43D6-993B-1F08B8CBD52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5" name="Line 9">
          <a:extLst>
            <a:ext uri="{FF2B5EF4-FFF2-40B4-BE49-F238E27FC236}">
              <a16:creationId xmlns:a16="http://schemas.microsoft.com/office/drawing/2014/main" id="{AA638378-337D-48F2-B1A4-F560D202F22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6" name="Line 10">
          <a:extLst>
            <a:ext uri="{FF2B5EF4-FFF2-40B4-BE49-F238E27FC236}">
              <a16:creationId xmlns:a16="http://schemas.microsoft.com/office/drawing/2014/main" id="{7397A010-53B6-44E3-AC5D-296002D0B18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7" name="Line 11">
          <a:extLst>
            <a:ext uri="{FF2B5EF4-FFF2-40B4-BE49-F238E27FC236}">
              <a16:creationId xmlns:a16="http://schemas.microsoft.com/office/drawing/2014/main" id="{0E06E471-767B-466A-A48B-FF87FB5EA70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8" name="Line 12">
          <a:extLst>
            <a:ext uri="{FF2B5EF4-FFF2-40B4-BE49-F238E27FC236}">
              <a16:creationId xmlns:a16="http://schemas.microsoft.com/office/drawing/2014/main" id="{8BA7AABB-76C0-4535-A05A-DCCE3BDD9B2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9" name="Line 13">
          <a:extLst>
            <a:ext uri="{FF2B5EF4-FFF2-40B4-BE49-F238E27FC236}">
              <a16:creationId xmlns:a16="http://schemas.microsoft.com/office/drawing/2014/main" id="{80FEA3FB-5D7B-49DC-8336-4203CBE103F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0" name="Line 14">
          <a:extLst>
            <a:ext uri="{FF2B5EF4-FFF2-40B4-BE49-F238E27FC236}">
              <a16:creationId xmlns:a16="http://schemas.microsoft.com/office/drawing/2014/main" id="{31FABFF3-F174-463B-83FA-D43510E8A3A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1" name="Line 15">
          <a:extLst>
            <a:ext uri="{FF2B5EF4-FFF2-40B4-BE49-F238E27FC236}">
              <a16:creationId xmlns:a16="http://schemas.microsoft.com/office/drawing/2014/main" id="{BE38C624-B8BB-4B84-A7CC-A4D0F850D2E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2" name="Line 16">
          <a:extLst>
            <a:ext uri="{FF2B5EF4-FFF2-40B4-BE49-F238E27FC236}">
              <a16:creationId xmlns:a16="http://schemas.microsoft.com/office/drawing/2014/main" id="{6AD42AC6-1FF7-42DE-B9C7-D6A3B5DD433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3" name="Line 17">
          <a:extLst>
            <a:ext uri="{FF2B5EF4-FFF2-40B4-BE49-F238E27FC236}">
              <a16:creationId xmlns:a16="http://schemas.microsoft.com/office/drawing/2014/main" id="{271D6488-6FF3-463C-B379-731393A84D5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4" name="Line 18">
          <a:extLst>
            <a:ext uri="{FF2B5EF4-FFF2-40B4-BE49-F238E27FC236}">
              <a16:creationId xmlns:a16="http://schemas.microsoft.com/office/drawing/2014/main" id="{F41F3F1D-7284-4040-87C3-1202922B47D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5" name="Line 19">
          <a:extLst>
            <a:ext uri="{FF2B5EF4-FFF2-40B4-BE49-F238E27FC236}">
              <a16:creationId xmlns:a16="http://schemas.microsoft.com/office/drawing/2014/main" id="{1A20A71E-7947-4651-A5DB-001BD4A5E63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6" name="Line 20">
          <a:extLst>
            <a:ext uri="{FF2B5EF4-FFF2-40B4-BE49-F238E27FC236}">
              <a16:creationId xmlns:a16="http://schemas.microsoft.com/office/drawing/2014/main" id="{5D085B73-0BA1-4774-8E7D-AAAC0264E28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7" name="Line 21">
          <a:extLst>
            <a:ext uri="{FF2B5EF4-FFF2-40B4-BE49-F238E27FC236}">
              <a16:creationId xmlns:a16="http://schemas.microsoft.com/office/drawing/2014/main" id="{9640469E-35CF-4902-9A89-CD6C9841B23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8" name="Line 22">
          <a:extLst>
            <a:ext uri="{FF2B5EF4-FFF2-40B4-BE49-F238E27FC236}">
              <a16:creationId xmlns:a16="http://schemas.microsoft.com/office/drawing/2014/main" id="{D990134C-7F78-48D7-A25E-B8BEDF380D2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9" name="Line 23">
          <a:extLst>
            <a:ext uri="{FF2B5EF4-FFF2-40B4-BE49-F238E27FC236}">
              <a16:creationId xmlns:a16="http://schemas.microsoft.com/office/drawing/2014/main" id="{9038AB68-010B-4547-8C93-337A5721346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0" name="Line 24">
          <a:extLst>
            <a:ext uri="{FF2B5EF4-FFF2-40B4-BE49-F238E27FC236}">
              <a16:creationId xmlns:a16="http://schemas.microsoft.com/office/drawing/2014/main" id="{F592F224-4F02-401D-9D48-D7F0258385F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1" name="Line 25">
          <a:extLst>
            <a:ext uri="{FF2B5EF4-FFF2-40B4-BE49-F238E27FC236}">
              <a16:creationId xmlns:a16="http://schemas.microsoft.com/office/drawing/2014/main" id="{C867576A-1179-42E7-832D-7C58481D67B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2" name="Line 26">
          <a:extLst>
            <a:ext uri="{FF2B5EF4-FFF2-40B4-BE49-F238E27FC236}">
              <a16:creationId xmlns:a16="http://schemas.microsoft.com/office/drawing/2014/main" id="{F0682B41-1FF5-4B80-9180-C2516F57A7D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3" name="Line 27">
          <a:extLst>
            <a:ext uri="{FF2B5EF4-FFF2-40B4-BE49-F238E27FC236}">
              <a16:creationId xmlns:a16="http://schemas.microsoft.com/office/drawing/2014/main" id="{84E3B1F1-758E-4554-8955-42EF18317C9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4" name="Line 28">
          <a:extLst>
            <a:ext uri="{FF2B5EF4-FFF2-40B4-BE49-F238E27FC236}">
              <a16:creationId xmlns:a16="http://schemas.microsoft.com/office/drawing/2014/main" id="{62B21667-9B3D-4B75-8B20-DCFB22F8C20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5" name="Line 29">
          <a:extLst>
            <a:ext uri="{FF2B5EF4-FFF2-40B4-BE49-F238E27FC236}">
              <a16:creationId xmlns:a16="http://schemas.microsoft.com/office/drawing/2014/main" id="{5D00453A-D936-42E7-9EBF-70654D37BC5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6" name="Line 30">
          <a:extLst>
            <a:ext uri="{FF2B5EF4-FFF2-40B4-BE49-F238E27FC236}">
              <a16:creationId xmlns:a16="http://schemas.microsoft.com/office/drawing/2014/main" id="{242856B0-DA58-4DCD-9800-7C31D342B9B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7" name="Line 31">
          <a:extLst>
            <a:ext uri="{FF2B5EF4-FFF2-40B4-BE49-F238E27FC236}">
              <a16:creationId xmlns:a16="http://schemas.microsoft.com/office/drawing/2014/main" id="{5106862F-556F-40F9-96FD-4CC585A786B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8" name="Line 32">
          <a:extLst>
            <a:ext uri="{FF2B5EF4-FFF2-40B4-BE49-F238E27FC236}">
              <a16:creationId xmlns:a16="http://schemas.microsoft.com/office/drawing/2014/main" id="{2A198CBE-F631-46A6-8854-DCB32FEE19A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9" name="Line 33">
          <a:extLst>
            <a:ext uri="{FF2B5EF4-FFF2-40B4-BE49-F238E27FC236}">
              <a16:creationId xmlns:a16="http://schemas.microsoft.com/office/drawing/2014/main" id="{7599D632-2645-41AC-8982-4D0A6AACD9A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0" name="Line 34">
          <a:extLst>
            <a:ext uri="{FF2B5EF4-FFF2-40B4-BE49-F238E27FC236}">
              <a16:creationId xmlns:a16="http://schemas.microsoft.com/office/drawing/2014/main" id="{CC682F01-2609-4143-94CF-F92A884505B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1" name="Line 35">
          <a:extLst>
            <a:ext uri="{FF2B5EF4-FFF2-40B4-BE49-F238E27FC236}">
              <a16:creationId xmlns:a16="http://schemas.microsoft.com/office/drawing/2014/main" id="{12857853-D479-43CB-A81B-2AE6BBE5BEA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2" name="Line 36">
          <a:extLst>
            <a:ext uri="{FF2B5EF4-FFF2-40B4-BE49-F238E27FC236}">
              <a16:creationId xmlns:a16="http://schemas.microsoft.com/office/drawing/2014/main" id="{DF80C349-B663-4E52-9A12-D7320DB2921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3" name="Line 37">
          <a:extLst>
            <a:ext uri="{FF2B5EF4-FFF2-40B4-BE49-F238E27FC236}">
              <a16:creationId xmlns:a16="http://schemas.microsoft.com/office/drawing/2014/main" id="{49D5B393-3BF2-4CEA-A1EE-A6DB810E57C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4" name="Line 38">
          <a:extLst>
            <a:ext uri="{FF2B5EF4-FFF2-40B4-BE49-F238E27FC236}">
              <a16:creationId xmlns:a16="http://schemas.microsoft.com/office/drawing/2014/main" id="{41A88366-0F4A-4179-A3E4-8119EDF8ACA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5" name="Line 39">
          <a:extLst>
            <a:ext uri="{FF2B5EF4-FFF2-40B4-BE49-F238E27FC236}">
              <a16:creationId xmlns:a16="http://schemas.microsoft.com/office/drawing/2014/main" id="{AA8F38C4-60FC-4153-BE2E-A32C5E15877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6" name="Line 40">
          <a:extLst>
            <a:ext uri="{FF2B5EF4-FFF2-40B4-BE49-F238E27FC236}">
              <a16:creationId xmlns:a16="http://schemas.microsoft.com/office/drawing/2014/main" id="{29B668A0-E57C-4533-8E60-A46F34DB9D0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7" name="Line 41">
          <a:extLst>
            <a:ext uri="{FF2B5EF4-FFF2-40B4-BE49-F238E27FC236}">
              <a16:creationId xmlns:a16="http://schemas.microsoft.com/office/drawing/2014/main" id="{64B4BBFB-4505-4388-8A2D-0418D9971F3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8" name="Line 42">
          <a:extLst>
            <a:ext uri="{FF2B5EF4-FFF2-40B4-BE49-F238E27FC236}">
              <a16:creationId xmlns:a16="http://schemas.microsoft.com/office/drawing/2014/main" id="{F1F43F43-AFEA-4A2E-B173-E22EF4ED924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9" name="Line 43">
          <a:extLst>
            <a:ext uri="{FF2B5EF4-FFF2-40B4-BE49-F238E27FC236}">
              <a16:creationId xmlns:a16="http://schemas.microsoft.com/office/drawing/2014/main" id="{0D35DA55-8783-4F40-82CF-20B0125D77F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0" name="Line 44">
          <a:extLst>
            <a:ext uri="{FF2B5EF4-FFF2-40B4-BE49-F238E27FC236}">
              <a16:creationId xmlns:a16="http://schemas.microsoft.com/office/drawing/2014/main" id="{252F74A6-5242-47F5-B725-B03B2796294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1" name="Line 45">
          <a:extLst>
            <a:ext uri="{FF2B5EF4-FFF2-40B4-BE49-F238E27FC236}">
              <a16:creationId xmlns:a16="http://schemas.microsoft.com/office/drawing/2014/main" id="{08B10DDD-30B6-47BA-9703-677C3DC8D8C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2" name="Line 46">
          <a:extLst>
            <a:ext uri="{FF2B5EF4-FFF2-40B4-BE49-F238E27FC236}">
              <a16:creationId xmlns:a16="http://schemas.microsoft.com/office/drawing/2014/main" id="{2A0A919C-241A-49A2-9969-A097BD00F6A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3" name="Line 47">
          <a:extLst>
            <a:ext uri="{FF2B5EF4-FFF2-40B4-BE49-F238E27FC236}">
              <a16:creationId xmlns:a16="http://schemas.microsoft.com/office/drawing/2014/main" id="{27E9B983-842A-4C9C-B5D1-DF4EEE4B8DA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4" name="Line 48">
          <a:extLst>
            <a:ext uri="{FF2B5EF4-FFF2-40B4-BE49-F238E27FC236}">
              <a16:creationId xmlns:a16="http://schemas.microsoft.com/office/drawing/2014/main" id="{2BB7AFAE-D545-4B5D-B773-9CCF4FD9405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5" name="Line 49">
          <a:extLst>
            <a:ext uri="{FF2B5EF4-FFF2-40B4-BE49-F238E27FC236}">
              <a16:creationId xmlns:a16="http://schemas.microsoft.com/office/drawing/2014/main" id="{72123962-B04B-4932-8608-17D654F7484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6" name="Line 50">
          <a:extLst>
            <a:ext uri="{FF2B5EF4-FFF2-40B4-BE49-F238E27FC236}">
              <a16:creationId xmlns:a16="http://schemas.microsoft.com/office/drawing/2014/main" id="{27574EFD-4591-45C8-9A74-EB55FDADCC9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7" name="Line 1">
          <a:extLst>
            <a:ext uri="{FF2B5EF4-FFF2-40B4-BE49-F238E27FC236}">
              <a16:creationId xmlns:a16="http://schemas.microsoft.com/office/drawing/2014/main" id="{FA765985-833D-46CA-853F-D2E75AA9822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8" name="Line 2">
          <a:extLst>
            <a:ext uri="{FF2B5EF4-FFF2-40B4-BE49-F238E27FC236}">
              <a16:creationId xmlns:a16="http://schemas.microsoft.com/office/drawing/2014/main" id="{99AD8919-9253-4765-8966-19C24D5A74C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9" name="Line 5">
          <a:extLst>
            <a:ext uri="{FF2B5EF4-FFF2-40B4-BE49-F238E27FC236}">
              <a16:creationId xmlns:a16="http://schemas.microsoft.com/office/drawing/2014/main" id="{D4FBCB2D-740D-498A-970E-38418B46AE8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0" name="Line 6">
          <a:extLst>
            <a:ext uri="{FF2B5EF4-FFF2-40B4-BE49-F238E27FC236}">
              <a16:creationId xmlns:a16="http://schemas.microsoft.com/office/drawing/2014/main" id="{99692856-0C42-40B6-BBFC-D25A4324105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1" name="Line 7">
          <a:extLst>
            <a:ext uri="{FF2B5EF4-FFF2-40B4-BE49-F238E27FC236}">
              <a16:creationId xmlns:a16="http://schemas.microsoft.com/office/drawing/2014/main" id="{658AB92B-BA2D-46C6-8D83-6224A02BDE1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2" name="Line 8">
          <a:extLst>
            <a:ext uri="{FF2B5EF4-FFF2-40B4-BE49-F238E27FC236}">
              <a16:creationId xmlns:a16="http://schemas.microsoft.com/office/drawing/2014/main" id="{06BCDD34-AC11-4688-AC9B-80B44AA6004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3" name="Line 9">
          <a:extLst>
            <a:ext uri="{FF2B5EF4-FFF2-40B4-BE49-F238E27FC236}">
              <a16:creationId xmlns:a16="http://schemas.microsoft.com/office/drawing/2014/main" id="{A56AEBA8-B7E4-467B-B6EA-1676F2858CC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4" name="Line 10">
          <a:extLst>
            <a:ext uri="{FF2B5EF4-FFF2-40B4-BE49-F238E27FC236}">
              <a16:creationId xmlns:a16="http://schemas.microsoft.com/office/drawing/2014/main" id="{8CC39527-6F9D-4C85-8115-C97814A1846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5" name="Line 11">
          <a:extLst>
            <a:ext uri="{FF2B5EF4-FFF2-40B4-BE49-F238E27FC236}">
              <a16:creationId xmlns:a16="http://schemas.microsoft.com/office/drawing/2014/main" id="{46B1212E-0442-4CB0-BF42-CC98083DE92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6" name="Line 12">
          <a:extLst>
            <a:ext uri="{FF2B5EF4-FFF2-40B4-BE49-F238E27FC236}">
              <a16:creationId xmlns:a16="http://schemas.microsoft.com/office/drawing/2014/main" id="{3379A947-BFD3-49CE-A364-B58B7663707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7" name="Line 13">
          <a:extLst>
            <a:ext uri="{FF2B5EF4-FFF2-40B4-BE49-F238E27FC236}">
              <a16:creationId xmlns:a16="http://schemas.microsoft.com/office/drawing/2014/main" id="{CA244C3F-09FE-4C8D-ABB5-B01182CD7D7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8" name="Line 14">
          <a:extLst>
            <a:ext uri="{FF2B5EF4-FFF2-40B4-BE49-F238E27FC236}">
              <a16:creationId xmlns:a16="http://schemas.microsoft.com/office/drawing/2014/main" id="{7662E73D-DBCC-425B-9C3D-8E0789CDBB3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9" name="Line 15">
          <a:extLst>
            <a:ext uri="{FF2B5EF4-FFF2-40B4-BE49-F238E27FC236}">
              <a16:creationId xmlns:a16="http://schemas.microsoft.com/office/drawing/2014/main" id="{FA5E01D6-88F9-41A3-A87F-468CCD40728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0" name="Line 16">
          <a:extLst>
            <a:ext uri="{FF2B5EF4-FFF2-40B4-BE49-F238E27FC236}">
              <a16:creationId xmlns:a16="http://schemas.microsoft.com/office/drawing/2014/main" id="{31F94C9D-15E0-4D08-BBF9-9D845562B65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1" name="Line 17">
          <a:extLst>
            <a:ext uri="{FF2B5EF4-FFF2-40B4-BE49-F238E27FC236}">
              <a16:creationId xmlns:a16="http://schemas.microsoft.com/office/drawing/2014/main" id="{9009975D-69C8-414F-8D1D-A9FBBFB62D5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2" name="Line 18">
          <a:extLst>
            <a:ext uri="{FF2B5EF4-FFF2-40B4-BE49-F238E27FC236}">
              <a16:creationId xmlns:a16="http://schemas.microsoft.com/office/drawing/2014/main" id="{45D5129C-46B2-4F0C-AC5B-66677A0227B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3" name="Line 19">
          <a:extLst>
            <a:ext uri="{FF2B5EF4-FFF2-40B4-BE49-F238E27FC236}">
              <a16:creationId xmlns:a16="http://schemas.microsoft.com/office/drawing/2014/main" id="{F093DF1B-45BF-4758-82B4-B88E395AB8A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4" name="Line 20">
          <a:extLst>
            <a:ext uri="{FF2B5EF4-FFF2-40B4-BE49-F238E27FC236}">
              <a16:creationId xmlns:a16="http://schemas.microsoft.com/office/drawing/2014/main" id="{525922E1-4504-4A3D-B2FD-AF57B68099B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5" name="Line 21">
          <a:extLst>
            <a:ext uri="{FF2B5EF4-FFF2-40B4-BE49-F238E27FC236}">
              <a16:creationId xmlns:a16="http://schemas.microsoft.com/office/drawing/2014/main" id="{7DBC5AF9-8FC9-4868-9BB5-E6B3B79D71E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6" name="Line 22">
          <a:extLst>
            <a:ext uri="{FF2B5EF4-FFF2-40B4-BE49-F238E27FC236}">
              <a16:creationId xmlns:a16="http://schemas.microsoft.com/office/drawing/2014/main" id="{3559B854-80A4-493B-833F-FF73BE0E0F5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7" name="Line 23">
          <a:extLst>
            <a:ext uri="{FF2B5EF4-FFF2-40B4-BE49-F238E27FC236}">
              <a16:creationId xmlns:a16="http://schemas.microsoft.com/office/drawing/2014/main" id="{D58DA5A6-D6C1-42F2-8B58-CA0A22F1FF7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8" name="Line 24">
          <a:extLst>
            <a:ext uri="{FF2B5EF4-FFF2-40B4-BE49-F238E27FC236}">
              <a16:creationId xmlns:a16="http://schemas.microsoft.com/office/drawing/2014/main" id="{C9FE232D-F127-4B7F-BCA0-5EB36B5A421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9" name="Line 25">
          <a:extLst>
            <a:ext uri="{FF2B5EF4-FFF2-40B4-BE49-F238E27FC236}">
              <a16:creationId xmlns:a16="http://schemas.microsoft.com/office/drawing/2014/main" id="{98255C51-FC9D-436C-94C6-48B836BD519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0" name="Line 26">
          <a:extLst>
            <a:ext uri="{FF2B5EF4-FFF2-40B4-BE49-F238E27FC236}">
              <a16:creationId xmlns:a16="http://schemas.microsoft.com/office/drawing/2014/main" id="{D206C3AB-E74D-4859-AA10-D39C54628B2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1" name="Line 27">
          <a:extLst>
            <a:ext uri="{FF2B5EF4-FFF2-40B4-BE49-F238E27FC236}">
              <a16:creationId xmlns:a16="http://schemas.microsoft.com/office/drawing/2014/main" id="{E734A108-0350-424B-8C65-AEAE7EAB273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2" name="Line 28">
          <a:extLst>
            <a:ext uri="{FF2B5EF4-FFF2-40B4-BE49-F238E27FC236}">
              <a16:creationId xmlns:a16="http://schemas.microsoft.com/office/drawing/2014/main" id="{86018059-617D-47EF-BBC6-86133B51E48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3" name="Line 29">
          <a:extLst>
            <a:ext uri="{FF2B5EF4-FFF2-40B4-BE49-F238E27FC236}">
              <a16:creationId xmlns:a16="http://schemas.microsoft.com/office/drawing/2014/main" id="{A0C27EDC-D37C-4058-BBA8-D5C696DB98F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4" name="Line 30">
          <a:extLst>
            <a:ext uri="{FF2B5EF4-FFF2-40B4-BE49-F238E27FC236}">
              <a16:creationId xmlns:a16="http://schemas.microsoft.com/office/drawing/2014/main" id="{2F997159-2142-4F10-A8FF-901E6230ED7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5" name="Line 31">
          <a:extLst>
            <a:ext uri="{FF2B5EF4-FFF2-40B4-BE49-F238E27FC236}">
              <a16:creationId xmlns:a16="http://schemas.microsoft.com/office/drawing/2014/main" id="{EA6F987B-1143-4A86-A49A-88F9A91C533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6" name="Line 32">
          <a:extLst>
            <a:ext uri="{FF2B5EF4-FFF2-40B4-BE49-F238E27FC236}">
              <a16:creationId xmlns:a16="http://schemas.microsoft.com/office/drawing/2014/main" id="{BB842E60-7714-415F-93E9-7E7E4FB5E47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7" name="Line 33">
          <a:extLst>
            <a:ext uri="{FF2B5EF4-FFF2-40B4-BE49-F238E27FC236}">
              <a16:creationId xmlns:a16="http://schemas.microsoft.com/office/drawing/2014/main" id="{4E808201-D370-4DCC-8B2E-3CAAC3BEE75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8" name="Line 34">
          <a:extLst>
            <a:ext uri="{FF2B5EF4-FFF2-40B4-BE49-F238E27FC236}">
              <a16:creationId xmlns:a16="http://schemas.microsoft.com/office/drawing/2014/main" id="{84758573-EBCE-4963-9D8D-E06E0B8B43F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9" name="Line 35">
          <a:extLst>
            <a:ext uri="{FF2B5EF4-FFF2-40B4-BE49-F238E27FC236}">
              <a16:creationId xmlns:a16="http://schemas.microsoft.com/office/drawing/2014/main" id="{8DC2F3DC-EB9A-4572-A3DF-4ACAD99379E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0" name="Line 36">
          <a:extLst>
            <a:ext uri="{FF2B5EF4-FFF2-40B4-BE49-F238E27FC236}">
              <a16:creationId xmlns:a16="http://schemas.microsoft.com/office/drawing/2014/main" id="{86A1025E-4F55-442E-AF77-4F914BCFAF7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1" name="Line 37">
          <a:extLst>
            <a:ext uri="{FF2B5EF4-FFF2-40B4-BE49-F238E27FC236}">
              <a16:creationId xmlns:a16="http://schemas.microsoft.com/office/drawing/2014/main" id="{1D715BD6-4D37-40D0-98E8-7C6FE29EEEE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2" name="Line 38">
          <a:extLst>
            <a:ext uri="{FF2B5EF4-FFF2-40B4-BE49-F238E27FC236}">
              <a16:creationId xmlns:a16="http://schemas.microsoft.com/office/drawing/2014/main" id="{AC69B578-1E82-48D4-9404-C4F52CF1F06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3" name="Line 39">
          <a:extLst>
            <a:ext uri="{FF2B5EF4-FFF2-40B4-BE49-F238E27FC236}">
              <a16:creationId xmlns:a16="http://schemas.microsoft.com/office/drawing/2014/main" id="{672286C0-55D8-4D82-824D-D49BF6AEA28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4" name="Line 40">
          <a:extLst>
            <a:ext uri="{FF2B5EF4-FFF2-40B4-BE49-F238E27FC236}">
              <a16:creationId xmlns:a16="http://schemas.microsoft.com/office/drawing/2014/main" id="{C6616092-5246-4E6F-A368-9FF2FD99449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5" name="Line 41">
          <a:extLst>
            <a:ext uri="{FF2B5EF4-FFF2-40B4-BE49-F238E27FC236}">
              <a16:creationId xmlns:a16="http://schemas.microsoft.com/office/drawing/2014/main" id="{BF324DBC-1673-4879-9721-D0A0B23ADD5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6" name="Line 42">
          <a:extLst>
            <a:ext uri="{FF2B5EF4-FFF2-40B4-BE49-F238E27FC236}">
              <a16:creationId xmlns:a16="http://schemas.microsoft.com/office/drawing/2014/main" id="{7F693357-65A1-4C79-94F9-3EFA1A3D109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7" name="Line 43">
          <a:extLst>
            <a:ext uri="{FF2B5EF4-FFF2-40B4-BE49-F238E27FC236}">
              <a16:creationId xmlns:a16="http://schemas.microsoft.com/office/drawing/2014/main" id="{E2C9D363-8548-4220-ACD2-EDF0580A054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8" name="Line 44">
          <a:extLst>
            <a:ext uri="{FF2B5EF4-FFF2-40B4-BE49-F238E27FC236}">
              <a16:creationId xmlns:a16="http://schemas.microsoft.com/office/drawing/2014/main" id="{81F29454-3A66-407F-AEB1-D3079BB7AF2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9" name="Line 45">
          <a:extLst>
            <a:ext uri="{FF2B5EF4-FFF2-40B4-BE49-F238E27FC236}">
              <a16:creationId xmlns:a16="http://schemas.microsoft.com/office/drawing/2014/main" id="{8E227BB3-C138-4863-9B11-97A3FFF8EBE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0" name="Line 46">
          <a:extLst>
            <a:ext uri="{FF2B5EF4-FFF2-40B4-BE49-F238E27FC236}">
              <a16:creationId xmlns:a16="http://schemas.microsoft.com/office/drawing/2014/main" id="{CDA64D42-D155-4FC8-886B-4AD95F8A7C7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1" name="Line 47">
          <a:extLst>
            <a:ext uri="{FF2B5EF4-FFF2-40B4-BE49-F238E27FC236}">
              <a16:creationId xmlns:a16="http://schemas.microsoft.com/office/drawing/2014/main" id="{BB37AB97-9D5F-47EE-B4D0-52CD1D35A31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2" name="Line 48">
          <a:extLst>
            <a:ext uri="{FF2B5EF4-FFF2-40B4-BE49-F238E27FC236}">
              <a16:creationId xmlns:a16="http://schemas.microsoft.com/office/drawing/2014/main" id="{19CDF85E-064A-42DB-8A1D-9B278EF2A5A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3" name="Line 49">
          <a:extLst>
            <a:ext uri="{FF2B5EF4-FFF2-40B4-BE49-F238E27FC236}">
              <a16:creationId xmlns:a16="http://schemas.microsoft.com/office/drawing/2014/main" id="{167B085D-0531-49D3-B007-D70BA53A013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4" name="Line 50">
          <a:extLst>
            <a:ext uri="{FF2B5EF4-FFF2-40B4-BE49-F238E27FC236}">
              <a16:creationId xmlns:a16="http://schemas.microsoft.com/office/drawing/2014/main" id="{B5B5D537-C3BE-48F8-812D-3DC82945998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5" name="Line 1">
          <a:extLst>
            <a:ext uri="{FF2B5EF4-FFF2-40B4-BE49-F238E27FC236}">
              <a16:creationId xmlns:a16="http://schemas.microsoft.com/office/drawing/2014/main" id="{3F402CD4-F89A-43AA-9239-BAACF053459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6" name="Line 2">
          <a:extLst>
            <a:ext uri="{FF2B5EF4-FFF2-40B4-BE49-F238E27FC236}">
              <a16:creationId xmlns:a16="http://schemas.microsoft.com/office/drawing/2014/main" id="{FBD6D7FE-27A6-4F46-902E-7C9EEFA9E59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7" name="Line 5">
          <a:extLst>
            <a:ext uri="{FF2B5EF4-FFF2-40B4-BE49-F238E27FC236}">
              <a16:creationId xmlns:a16="http://schemas.microsoft.com/office/drawing/2014/main" id="{D5D78AF1-EA69-4093-B522-9B9CC5688AF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8" name="Line 6">
          <a:extLst>
            <a:ext uri="{FF2B5EF4-FFF2-40B4-BE49-F238E27FC236}">
              <a16:creationId xmlns:a16="http://schemas.microsoft.com/office/drawing/2014/main" id="{6DD66E71-8DF9-4A5E-9B60-0FFE48ECF7B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9" name="Line 7">
          <a:extLst>
            <a:ext uri="{FF2B5EF4-FFF2-40B4-BE49-F238E27FC236}">
              <a16:creationId xmlns:a16="http://schemas.microsoft.com/office/drawing/2014/main" id="{A6499D2C-6B41-4DD4-898D-E4E006F12CA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0" name="Line 8">
          <a:extLst>
            <a:ext uri="{FF2B5EF4-FFF2-40B4-BE49-F238E27FC236}">
              <a16:creationId xmlns:a16="http://schemas.microsoft.com/office/drawing/2014/main" id="{88DE64ED-DDEC-42CD-AAB8-16E61CB7B40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1" name="Line 9">
          <a:extLst>
            <a:ext uri="{FF2B5EF4-FFF2-40B4-BE49-F238E27FC236}">
              <a16:creationId xmlns:a16="http://schemas.microsoft.com/office/drawing/2014/main" id="{5EA139FA-4D36-425F-A9E0-CE5B6E5B44D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2" name="Line 10">
          <a:extLst>
            <a:ext uri="{FF2B5EF4-FFF2-40B4-BE49-F238E27FC236}">
              <a16:creationId xmlns:a16="http://schemas.microsoft.com/office/drawing/2014/main" id="{F5C9B0DB-3CC0-466D-9F25-98A905E8733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3" name="Line 11">
          <a:extLst>
            <a:ext uri="{FF2B5EF4-FFF2-40B4-BE49-F238E27FC236}">
              <a16:creationId xmlns:a16="http://schemas.microsoft.com/office/drawing/2014/main" id="{C977E19D-C22C-4E77-8FDE-23B1FC51AE1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4" name="Line 12">
          <a:extLst>
            <a:ext uri="{FF2B5EF4-FFF2-40B4-BE49-F238E27FC236}">
              <a16:creationId xmlns:a16="http://schemas.microsoft.com/office/drawing/2014/main" id="{5440A0A0-8EE7-4738-BC99-835ED211DAA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5" name="Line 13">
          <a:extLst>
            <a:ext uri="{FF2B5EF4-FFF2-40B4-BE49-F238E27FC236}">
              <a16:creationId xmlns:a16="http://schemas.microsoft.com/office/drawing/2014/main" id="{5F74608D-C3F9-409B-BC67-2F7258A3261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6" name="Line 14">
          <a:extLst>
            <a:ext uri="{FF2B5EF4-FFF2-40B4-BE49-F238E27FC236}">
              <a16:creationId xmlns:a16="http://schemas.microsoft.com/office/drawing/2014/main" id="{50EB938F-E01B-4221-9D49-0093F66EE9F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7" name="Line 15">
          <a:extLst>
            <a:ext uri="{FF2B5EF4-FFF2-40B4-BE49-F238E27FC236}">
              <a16:creationId xmlns:a16="http://schemas.microsoft.com/office/drawing/2014/main" id="{FE333854-37A8-453A-A788-640EC0FC0EF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8" name="Line 16">
          <a:extLst>
            <a:ext uri="{FF2B5EF4-FFF2-40B4-BE49-F238E27FC236}">
              <a16:creationId xmlns:a16="http://schemas.microsoft.com/office/drawing/2014/main" id="{A6D1F9F1-21ED-418C-BF7F-4019297B23E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9" name="Line 17">
          <a:extLst>
            <a:ext uri="{FF2B5EF4-FFF2-40B4-BE49-F238E27FC236}">
              <a16:creationId xmlns:a16="http://schemas.microsoft.com/office/drawing/2014/main" id="{44746833-E089-4156-9B19-78C5E2AC4BE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0" name="Line 18">
          <a:extLst>
            <a:ext uri="{FF2B5EF4-FFF2-40B4-BE49-F238E27FC236}">
              <a16:creationId xmlns:a16="http://schemas.microsoft.com/office/drawing/2014/main" id="{0DE753BC-D31A-498E-BCCE-802C074F00E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1" name="Line 19">
          <a:extLst>
            <a:ext uri="{FF2B5EF4-FFF2-40B4-BE49-F238E27FC236}">
              <a16:creationId xmlns:a16="http://schemas.microsoft.com/office/drawing/2014/main" id="{703248D8-0510-4B41-87FA-C24BDB53E0E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2" name="Line 20">
          <a:extLst>
            <a:ext uri="{FF2B5EF4-FFF2-40B4-BE49-F238E27FC236}">
              <a16:creationId xmlns:a16="http://schemas.microsoft.com/office/drawing/2014/main" id="{1D633F30-8BDB-4703-9834-E722E17439E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3" name="Line 21">
          <a:extLst>
            <a:ext uri="{FF2B5EF4-FFF2-40B4-BE49-F238E27FC236}">
              <a16:creationId xmlns:a16="http://schemas.microsoft.com/office/drawing/2014/main" id="{77A27281-64EC-4BD1-AB9B-02EC81220CB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4" name="Line 22">
          <a:extLst>
            <a:ext uri="{FF2B5EF4-FFF2-40B4-BE49-F238E27FC236}">
              <a16:creationId xmlns:a16="http://schemas.microsoft.com/office/drawing/2014/main" id="{58BA5A88-D8AF-4C5C-85B9-0396A27C1C1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5" name="Line 23">
          <a:extLst>
            <a:ext uri="{FF2B5EF4-FFF2-40B4-BE49-F238E27FC236}">
              <a16:creationId xmlns:a16="http://schemas.microsoft.com/office/drawing/2014/main" id="{5753A4E8-C45D-4CFB-B9A7-9056DC01CE6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6" name="Line 24">
          <a:extLst>
            <a:ext uri="{FF2B5EF4-FFF2-40B4-BE49-F238E27FC236}">
              <a16:creationId xmlns:a16="http://schemas.microsoft.com/office/drawing/2014/main" id="{8CC60FF7-8AE3-4302-B192-B724E9D66BA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7" name="Line 25">
          <a:extLst>
            <a:ext uri="{FF2B5EF4-FFF2-40B4-BE49-F238E27FC236}">
              <a16:creationId xmlns:a16="http://schemas.microsoft.com/office/drawing/2014/main" id="{C1417546-098D-4FC5-A151-67BEC481B94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8" name="Line 26">
          <a:extLst>
            <a:ext uri="{FF2B5EF4-FFF2-40B4-BE49-F238E27FC236}">
              <a16:creationId xmlns:a16="http://schemas.microsoft.com/office/drawing/2014/main" id="{9F3C9AF4-BCBE-4880-AA27-AC7812F5009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9" name="Line 27">
          <a:extLst>
            <a:ext uri="{FF2B5EF4-FFF2-40B4-BE49-F238E27FC236}">
              <a16:creationId xmlns:a16="http://schemas.microsoft.com/office/drawing/2014/main" id="{7228A7CD-5669-4A88-998F-0F39373A7BF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0" name="Line 28">
          <a:extLst>
            <a:ext uri="{FF2B5EF4-FFF2-40B4-BE49-F238E27FC236}">
              <a16:creationId xmlns:a16="http://schemas.microsoft.com/office/drawing/2014/main" id="{467BA495-0F83-4FDD-81C0-CDB82017CAA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1" name="Line 29">
          <a:extLst>
            <a:ext uri="{FF2B5EF4-FFF2-40B4-BE49-F238E27FC236}">
              <a16:creationId xmlns:a16="http://schemas.microsoft.com/office/drawing/2014/main" id="{2D596930-6308-442A-A1E0-B30F6ACAA56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2" name="Line 30">
          <a:extLst>
            <a:ext uri="{FF2B5EF4-FFF2-40B4-BE49-F238E27FC236}">
              <a16:creationId xmlns:a16="http://schemas.microsoft.com/office/drawing/2014/main" id="{EB6210B5-8B36-4350-B82B-0830A7B8C61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3" name="Line 31">
          <a:extLst>
            <a:ext uri="{FF2B5EF4-FFF2-40B4-BE49-F238E27FC236}">
              <a16:creationId xmlns:a16="http://schemas.microsoft.com/office/drawing/2014/main" id="{34919467-86DD-406E-A14E-C9FACC5D1E8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4" name="Line 32">
          <a:extLst>
            <a:ext uri="{FF2B5EF4-FFF2-40B4-BE49-F238E27FC236}">
              <a16:creationId xmlns:a16="http://schemas.microsoft.com/office/drawing/2014/main" id="{D4B6DFDC-52E2-4A28-9E2D-21C31A26C99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5" name="Line 33">
          <a:extLst>
            <a:ext uri="{FF2B5EF4-FFF2-40B4-BE49-F238E27FC236}">
              <a16:creationId xmlns:a16="http://schemas.microsoft.com/office/drawing/2014/main" id="{1D35C64C-091C-413D-91D6-EC022A522BD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6" name="Line 34">
          <a:extLst>
            <a:ext uri="{FF2B5EF4-FFF2-40B4-BE49-F238E27FC236}">
              <a16:creationId xmlns:a16="http://schemas.microsoft.com/office/drawing/2014/main" id="{0A82EAAA-5FA6-41A6-BF25-AC295212714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7" name="Line 35">
          <a:extLst>
            <a:ext uri="{FF2B5EF4-FFF2-40B4-BE49-F238E27FC236}">
              <a16:creationId xmlns:a16="http://schemas.microsoft.com/office/drawing/2014/main" id="{8DD13B9F-7085-4FAA-8661-66664FFF824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8" name="Line 36">
          <a:extLst>
            <a:ext uri="{FF2B5EF4-FFF2-40B4-BE49-F238E27FC236}">
              <a16:creationId xmlns:a16="http://schemas.microsoft.com/office/drawing/2014/main" id="{4B7976AD-8175-47D2-BFA1-76346177CA0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9" name="Line 37">
          <a:extLst>
            <a:ext uri="{FF2B5EF4-FFF2-40B4-BE49-F238E27FC236}">
              <a16:creationId xmlns:a16="http://schemas.microsoft.com/office/drawing/2014/main" id="{167C76B3-2250-4728-8C3B-D03BB6B1B51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0" name="Line 38">
          <a:extLst>
            <a:ext uri="{FF2B5EF4-FFF2-40B4-BE49-F238E27FC236}">
              <a16:creationId xmlns:a16="http://schemas.microsoft.com/office/drawing/2014/main" id="{5F7415D3-A121-4DDE-B4C3-8E2E4AB2D85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1" name="Line 39">
          <a:extLst>
            <a:ext uri="{FF2B5EF4-FFF2-40B4-BE49-F238E27FC236}">
              <a16:creationId xmlns:a16="http://schemas.microsoft.com/office/drawing/2014/main" id="{22FBA324-8F98-4FE7-A02F-45A49DE302E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2" name="Line 40">
          <a:extLst>
            <a:ext uri="{FF2B5EF4-FFF2-40B4-BE49-F238E27FC236}">
              <a16:creationId xmlns:a16="http://schemas.microsoft.com/office/drawing/2014/main" id="{2CC1DD35-ACBF-407D-855F-52301E76E7A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3" name="Line 41">
          <a:extLst>
            <a:ext uri="{FF2B5EF4-FFF2-40B4-BE49-F238E27FC236}">
              <a16:creationId xmlns:a16="http://schemas.microsoft.com/office/drawing/2014/main" id="{AA858C57-5F4D-421A-B54D-27877BE0049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4" name="Line 42">
          <a:extLst>
            <a:ext uri="{FF2B5EF4-FFF2-40B4-BE49-F238E27FC236}">
              <a16:creationId xmlns:a16="http://schemas.microsoft.com/office/drawing/2014/main" id="{C114EE56-3743-4424-BCA2-85EE6B28ED8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5" name="Line 43">
          <a:extLst>
            <a:ext uri="{FF2B5EF4-FFF2-40B4-BE49-F238E27FC236}">
              <a16:creationId xmlns:a16="http://schemas.microsoft.com/office/drawing/2014/main" id="{0297E9D1-7C30-4D65-A68E-508EBB29877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6" name="Line 44">
          <a:extLst>
            <a:ext uri="{FF2B5EF4-FFF2-40B4-BE49-F238E27FC236}">
              <a16:creationId xmlns:a16="http://schemas.microsoft.com/office/drawing/2014/main" id="{ABCC98E3-2859-421A-8BE5-C694E02C1D9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7" name="Line 45">
          <a:extLst>
            <a:ext uri="{FF2B5EF4-FFF2-40B4-BE49-F238E27FC236}">
              <a16:creationId xmlns:a16="http://schemas.microsoft.com/office/drawing/2014/main" id="{47E385ED-37EF-4CF0-B9EC-5D00D950BCF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8" name="Line 46">
          <a:extLst>
            <a:ext uri="{FF2B5EF4-FFF2-40B4-BE49-F238E27FC236}">
              <a16:creationId xmlns:a16="http://schemas.microsoft.com/office/drawing/2014/main" id="{72F308A4-3857-4A65-9EAC-D995D2E75E1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9" name="Line 47">
          <a:extLst>
            <a:ext uri="{FF2B5EF4-FFF2-40B4-BE49-F238E27FC236}">
              <a16:creationId xmlns:a16="http://schemas.microsoft.com/office/drawing/2014/main" id="{AC03B72D-DB05-4018-8178-DA255305725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0" name="Line 48">
          <a:extLst>
            <a:ext uri="{FF2B5EF4-FFF2-40B4-BE49-F238E27FC236}">
              <a16:creationId xmlns:a16="http://schemas.microsoft.com/office/drawing/2014/main" id="{E4F81746-8005-4478-B4A8-DB3539EEE33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1" name="Line 49">
          <a:extLst>
            <a:ext uri="{FF2B5EF4-FFF2-40B4-BE49-F238E27FC236}">
              <a16:creationId xmlns:a16="http://schemas.microsoft.com/office/drawing/2014/main" id="{E13E546A-8778-4DC6-A549-3827D88316D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2" name="Line 50">
          <a:extLst>
            <a:ext uri="{FF2B5EF4-FFF2-40B4-BE49-F238E27FC236}">
              <a16:creationId xmlns:a16="http://schemas.microsoft.com/office/drawing/2014/main" id="{CBC49400-683B-4F31-903A-B8732F3E6C8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3" name="Line 1">
          <a:extLst>
            <a:ext uri="{FF2B5EF4-FFF2-40B4-BE49-F238E27FC236}">
              <a16:creationId xmlns:a16="http://schemas.microsoft.com/office/drawing/2014/main" id="{5C3FDE1E-B565-484E-8D0A-4DC517F99DB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4" name="Line 2">
          <a:extLst>
            <a:ext uri="{FF2B5EF4-FFF2-40B4-BE49-F238E27FC236}">
              <a16:creationId xmlns:a16="http://schemas.microsoft.com/office/drawing/2014/main" id="{032D4A44-E185-4659-9949-3B5051AD9A0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5" name="Line 5">
          <a:extLst>
            <a:ext uri="{FF2B5EF4-FFF2-40B4-BE49-F238E27FC236}">
              <a16:creationId xmlns:a16="http://schemas.microsoft.com/office/drawing/2014/main" id="{7EC5B9D0-AEE9-4990-ADD0-A1428E94B74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6" name="Line 6">
          <a:extLst>
            <a:ext uri="{FF2B5EF4-FFF2-40B4-BE49-F238E27FC236}">
              <a16:creationId xmlns:a16="http://schemas.microsoft.com/office/drawing/2014/main" id="{6F126641-965D-410B-BE66-E509D28B38E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7" name="Line 7">
          <a:extLst>
            <a:ext uri="{FF2B5EF4-FFF2-40B4-BE49-F238E27FC236}">
              <a16:creationId xmlns:a16="http://schemas.microsoft.com/office/drawing/2014/main" id="{6311E41E-CF50-49E8-B910-3C16B580F37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8" name="Line 8">
          <a:extLst>
            <a:ext uri="{FF2B5EF4-FFF2-40B4-BE49-F238E27FC236}">
              <a16:creationId xmlns:a16="http://schemas.microsoft.com/office/drawing/2014/main" id="{0E1714C3-E4B6-4A0B-BAA5-C6A38F8E899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9" name="Line 9">
          <a:extLst>
            <a:ext uri="{FF2B5EF4-FFF2-40B4-BE49-F238E27FC236}">
              <a16:creationId xmlns:a16="http://schemas.microsoft.com/office/drawing/2014/main" id="{0FAF03FB-4B67-421A-BDC0-3707390F037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0" name="Line 10">
          <a:extLst>
            <a:ext uri="{FF2B5EF4-FFF2-40B4-BE49-F238E27FC236}">
              <a16:creationId xmlns:a16="http://schemas.microsoft.com/office/drawing/2014/main" id="{6F02A715-DB08-42EF-8598-0F91D28E363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1" name="Line 11">
          <a:extLst>
            <a:ext uri="{FF2B5EF4-FFF2-40B4-BE49-F238E27FC236}">
              <a16:creationId xmlns:a16="http://schemas.microsoft.com/office/drawing/2014/main" id="{B16B72A2-827A-4932-A1F2-F95A58D341D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2" name="Line 12">
          <a:extLst>
            <a:ext uri="{FF2B5EF4-FFF2-40B4-BE49-F238E27FC236}">
              <a16:creationId xmlns:a16="http://schemas.microsoft.com/office/drawing/2014/main" id="{C73813DE-3414-4E1A-A4E9-FBD7DCE388B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3" name="Line 13">
          <a:extLst>
            <a:ext uri="{FF2B5EF4-FFF2-40B4-BE49-F238E27FC236}">
              <a16:creationId xmlns:a16="http://schemas.microsoft.com/office/drawing/2014/main" id="{7FA3C813-DB3F-494A-A5DE-3C81D728171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4" name="Line 14">
          <a:extLst>
            <a:ext uri="{FF2B5EF4-FFF2-40B4-BE49-F238E27FC236}">
              <a16:creationId xmlns:a16="http://schemas.microsoft.com/office/drawing/2014/main" id="{AB8BCE02-80DB-4425-8A7A-78371B0CAF2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5" name="Line 15">
          <a:extLst>
            <a:ext uri="{FF2B5EF4-FFF2-40B4-BE49-F238E27FC236}">
              <a16:creationId xmlns:a16="http://schemas.microsoft.com/office/drawing/2014/main" id="{482E80D7-218F-4075-B2CE-8C6F720CC21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6" name="Line 16">
          <a:extLst>
            <a:ext uri="{FF2B5EF4-FFF2-40B4-BE49-F238E27FC236}">
              <a16:creationId xmlns:a16="http://schemas.microsoft.com/office/drawing/2014/main" id="{5AA5BFAC-C6D6-456C-832F-5116B6B2385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7" name="Line 17">
          <a:extLst>
            <a:ext uri="{FF2B5EF4-FFF2-40B4-BE49-F238E27FC236}">
              <a16:creationId xmlns:a16="http://schemas.microsoft.com/office/drawing/2014/main" id="{6B7C245B-7698-4982-BDEE-1C99EB7364E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8" name="Line 18">
          <a:extLst>
            <a:ext uri="{FF2B5EF4-FFF2-40B4-BE49-F238E27FC236}">
              <a16:creationId xmlns:a16="http://schemas.microsoft.com/office/drawing/2014/main" id="{0F560988-B458-409C-A102-4B59E467F45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9" name="Line 19">
          <a:extLst>
            <a:ext uri="{FF2B5EF4-FFF2-40B4-BE49-F238E27FC236}">
              <a16:creationId xmlns:a16="http://schemas.microsoft.com/office/drawing/2014/main" id="{BF417FD8-6BC2-47E8-8637-B72FB9DB7AA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0" name="Line 20">
          <a:extLst>
            <a:ext uri="{FF2B5EF4-FFF2-40B4-BE49-F238E27FC236}">
              <a16:creationId xmlns:a16="http://schemas.microsoft.com/office/drawing/2014/main" id="{17D3BB30-DD6B-4A22-926C-F73E8AA677F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1" name="Line 21">
          <a:extLst>
            <a:ext uri="{FF2B5EF4-FFF2-40B4-BE49-F238E27FC236}">
              <a16:creationId xmlns:a16="http://schemas.microsoft.com/office/drawing/2014/main" id="{3E5357A7-9959-4E30-9151-A3445D581C8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2" name="Line 22">
          <a:extLst>
            <a:ext uri="{FF2B5EF4-FFF2-40B4-BE49-F238E27FC236}">
              <a16:creationId xmlns:a16="http://schemas.microsoft.com/office/drawing/2014/main" id="{18D6A8D1-3CD3-4D15-B8ED-4263B2FC331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3" name="Line 23">
          <a:extLst>
            <a:ext uri="{FF2B5EF4-FFF2-40B4-BE49-F238E27FC236}">
              <a16:creationId xmlns:a16="http://schemas.microsoft.com/office/drawing/2014/main" id="{932C2481-4CCD-4300-A6DD-AF24B6B20C5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4" name="Line 24">
          <a:extLst>
            <a:ext uri="{FF2B5EF4-FFF2-40B4-BE49-F238E27FC236}">
              <a16:creationId xmlns:a16="http://schemas.microsoft.com/office/drawing/2014/main" id="{5C2B37E2-5EAC-43C8-9692-0A41EE42681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5" name="Line 25">
          <a:extLst>
            <a:ext uri="{FF2B5EF4-FFF2-40B4-BE49-F238E27FC236}">
              <a16:creationId xmlns:a16="http://schemas.microsoft.com/office/drawing/2014/main" id="{CF41EFFF-15B8-4B7B-9D2A-5E47108DDFB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6" name="Line 26">
          <a:extLst>
            <a:ext uri="{FF2B5EF4-FFF2-40B4-BE49-F238E27FC236}">
              <a16:creationId xmlns:a16="http://schemas.microsoft.com/office/drawing/2014/main" id="{F660E779-2E91-4D50-8F6A-9D5FE492281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7" name="Line 27">
          <a:extLst>
            <a:ext uri="{FF2B5EF4-FFF2-40B4-BE49-F238E27FC236}">
              <a16:creationId xmlns:a16="http://schemas.microsoft.com/office/drawing/2014/main" id="{88132A5F-EE15-45EF-9D17-2F8848519B1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8" name="Line 28">
          <a:extLst>
            <a:ext uri="{FF2B5EF4-FFF2-40B4-BE49-F238E27FC236}">
              <a16:creationId xmlns:a16="http://schemas.microsoft.com/office/drawing/2014/main" id="{63FFF982-B554-4F94-A9F8-629C17685A1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9" name="Line 29">
          <a:extLst>
            <a:ext uri="{FF2B5EF4-FFF2-40B4-BE49-F238E27FC236}">
              <a16:creationId xmlns:a16="http://schemas.microsoft.com/office/drawing/2014/main" id="{7E5363AB-E57B-4CEE-AB4C-E40F6ACF3EE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0" name="Line 30">
          <a:extLst>
            <a:ext uri="{FF2B5EF4-FFF2-40B4-BE49-F238E27FC236}">
              <a16:creationId xmlns:a16="http://schemas.microsoft.com/office/drawing/2014/main" id="{3DE1073A-E118-423C-923F-DA83717EFB4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1" name="Line 31">
          <a:extLst>
            <a:ext uri="{FF2B5EF4-FFF2-40B4-BE49-F238E27FC236}">
              <a16:creationId xmlns:a16="http://schemas.microsoft.com/office/drawing/2014/main" id="{BADF8175-914B-4899-97BA-9522B980E25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2" name="Line 32">
          <a:extLst>
            <a:ext uri="{FF2B5EF4-FFF2-40B4-BE49-F238E27FC236}">
              <a16:creationId xmlns:a16="http://schemas.microsoft.com/office/drawing/2014/main" id="{F14C20F4-6315-4C35-8AD1-0D233040411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3" name="Line 33">
          <a:extLst>
            <a:ext uri="{FF2B5EF4-FFF2-40B4-BE49-F238E27FC236}">
              <a16:creationId xmlns:a16="http://schemas.microsoft.com/office/drawing/2014/main" id="{3B35419B-5D83-4038-9EF7-B6497A77F2F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4" name="Line 34">
          <a:extLst>
            <a:ext uri="{FF2B5EF4-FFF2-40B4-BE49-F238E27FC236}">
              <a16:creationId xmlns:a16="http://schemas.microsoft.com/office/drawing/2014/main" id="{AB41F738-86A3-4CE0-894E-6ED30CAC98A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5" name="Line 35">
          <a:extLst>
            <a:ext uri="{FF2B5EF4-FFF2-40B4-BE49-F238E27FC236}">
              <a16:creationId xmlns:a16="http://schemas.microsoft.com/office/drawing/2014/main" id="{6FD44641-2696-4D19-9CD7-056AF565EF7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6" name="Line 36">
          <a:extLst>
            <a:ext uri="{FF2B5EF4-FFF2-40B4-BE49-F238E27FC236}">
              <a16:creationId xmlns:a16="http://schemas.microsoft.com/office/drawing/2014/main" id="{A36BF47C-BB3B-416C-887C-B49FDBB1D56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7" name="Line 37">
          <a:extLst>
            <a:ext uri="{FF2B5EF4-FFF2-40B4-BE49-F238E27FC236}">
              <a16:creationId xmlns:a16="http://schemas.microsoft.com/office/drawing/2014/main" id="{1555FA01-B61F-4C2B-8C78-042BA2DE19D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8" name="Line 38">
          <a:extLst>
            <a:ext uri="{FF2B5EF4-FFF2-40B4-BE49-F238E27FC236}">
              <a16:creationId xmlns:a16="http://schemas.microsoft.com/office/drawing/2014/main" id="{97167199-3423-41F5-9969-72662A12472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9" name="Line 39">
          <a:extLst>
            <a:ext uri="{FF2B5EF4-FFF2-40B4-BE49-F238E27FC236}">
              <a16:creationId xmlns:a16="http://schemas.microsoft.com/office/drawing/2014/main" id="{C34AA2E9-118E-4C63-9465-7B68553460A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0" name="Line 40">
          <a:extLst>
            <a:ext uri="{FF2B5EF4-FFF2-40B4-BE49-F238E27FC236}">
              <a16:creationId xmlns:a16="http://schemas.microsoft.com/office/drawing/2014/main" id="{30D78A66-73A0-4963-9FC0-CCD455E91F2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1" name="Line 41">
          <a:extLst>
            <a:ext uri="{FF2B5EF4-FFF2-40B4-BE49-F238E27FC236}">
              <a16:creationId xmlns:a16="http://schemas.microsoft.com/office/drawing/2014/main" id="{96474EBE-B134-4F78-A621-2D4D20CB19F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2" name="Line 42">
          <a:extLst>
            <a:ext uri="{FF2B5EF4-FFF2-40B4-BE49-F238E27FC236}">
              <a16:creationId xmlns:a16="http://schemas.microsoft.com/office/drawing/2014/main" id="{0059E70E-F2A7-4E24-89DF-E50AB07AF17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3" name="Line 43">
          <a:extLst>
            <a:ext uri="{FF2B5EF4-FFF2-40B4-BE49-F238E27FC236}">
              <a16:creationId xmlns:a16="http://schemas.microsoft.com/office/drawing/2014/main" id="{1741D9DA-1247-458B-A844-8AFD7F08E67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4" name="Line 44">
          <a:extLst>
            <a:ext uri="{FF2B5EF4-FFF2-40B4-BE49-F238E27FC236}">
              <a16:creationId xmlns:a16="http://schemas.microsoft.com/office/drawing/2014/main" id="{3D4DF2D1-5BEF-4390-8060-9F8E60D78DE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5" name="Line 45">
          <a:extLst>
            <a:ext uri="{FF2B5EF4-FFF2-40B4-BE49-F238E27FC236}">
              <a16:creationId xmlns:a16="http://schemas.microsoft.com/office/drawing/2014/main" id="{23AAD92C-F970-46E9-AF9C-8FF7A5D9D8D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6" name="Line 46">
          <a:extLst>
            <a:ext uri="{FF2B5EF4-FFF2-40B4-BE49-F238E27FC236}">
              <a16:creationId xmlns:a16="http://schemas.microsoft.com/office/drawing/2014/main" id="{1DD2D264-8DD2-4E5A-9F6F-0B411EF86D6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7" name="Line 47">
          <a:extLst>
            <a:ext uri="{FF2B5EF4-FFF2-40B4-BE49-F238E27FC236}">
              <a16:creationId xmlns:a16="http://schemas.microsoft.com/office/drawing/2014/main" id="{4DDE66E7-9382-4911-BE58-3F73B950019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8" name="Line 48">
          <a:extLst>
            <a:ext uri="{FF2B5EF4-FFF2-40B4-BE49-F238E27FC236}">
              <a16:creationId xmlns:a16="http://schemas.microsoft.com/office/drawing/2014/main" id="{F8F10F5D-E821-43DE-AD7F-049F30DFB24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9" name="Line 49">
          <a:extLst>
            <a:ext uri="{FF2B5EF4-FFF2-40B4-BE49-F238E27FC236}">
              <a16:creationId xmlns:a16="http://schemas.microsoft.com/office/drawing/2014/main" id="{61927CD1-B1B3-497A-8C01-0A9110212D6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90" name="Line 50">
          <a:extLst>
            <a:ext uri="{FF2B5EF4-FFF2-40B4-BE49-F238E27FC236}">
              <a16:creationId xmlns:a16="http://schemas.microsoft.com/office/drawing/2014/main" id="{572C4398-4E4A-40CC-88B5-C0D40205493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0</xdr:colOff>
      <xdr:row>5</xdr:row>
      <xdr:rowOff>0</xdr:rowOff>
    </xdr:from>
    <xdr:to>
      <xdr:col>19</xdr:col>
      <xdr:colOff>0</xdr:colOff>
      <xdr:row>5</xdr:row>
      <xdr:rowOff>0</xdr:rowOff>
    </xdr:to>
    <xdr:sp macro="" textlink="">
      <xdr:nvSpPr>
        <xdr:cNvPr id="2" name="Line 1">
          <a:extLst>
            <a:ext uri="{FF2B5EF4-FFF2-40B4-BE49-F238E27FC236}">
              <a16:creationId xmlns:a16="http://schemas.microsoft.com/office/drawing/2014/main" id="{318838A4-DA0E-4B23-B219-BC954FDCF8C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 name="Line 2">
          <a:extLst>
            <a:ext uri="{FF2B5EF4-FFF2-40B4-BE49-F238E27FC236}">
              <a16:creationId xmlns:a16="http://schemas.microsoft.com/office/drawing/2014/main" id="{C556DAA3-E7F1-4BBD-B3B2-BE1F2954BE2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211</xdr:col>
      <xdr:colOff>0</xdr:colOff>
      <xdr:row>5</xdr:row>
      <xdr:rowOff>0</xdr:rowOff>
    </xdr:from>
    <xdr:to>
      <xdr:col>211</xdr:col>
      <xdr:colOff>0</xdr:colOff>
      <xdr:row>5</xdr:row>
      <xdr:rowOff>0</xdr:rowOff>
    </xdr:to>
    <xdr:sp macro="" textlink="">
      <xdr:nvSpPr>
        <xdr:cNvPr id="4" name="Line 4">
          <a:extLst>
            <a:ext uri="{FF2B5EF4-FFF2-40B4-BE49-F238E27FC236}">
              <a16:creationId xmlns:a16="http://schemas.microsoft.com/office/drawing/2014/main" id="{26089635-CB6B-4E02-8AD5-E03E3196C2D9}"/>
            </a:ext>
          </a:extLst>
        </xdr:cNvPr>
        <xdr:cNvSpPr>
          <a:spLocks noChangeShapeType="1"/>
        </xdr:cNvSpPr>
      </xdr:nvSpPr>
      <xdr:spPr bwMode="auto">
        <a:xfrm flipH="1">
          <a:off x="93640275" y="15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 name="Line 5">
          <a:extLst>
            <a:ext uri="{FF2B5EF4-FFF2-40B4-BE49-F238E27FC236}">
              <a16:creationId xmlns:a16="http://schemas.microsoft.com/office/drawing/2014/main" id="{12C20CE6-8350-4572-96A2-B98F3E6A931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6" name="Line 6">
          <a:extLst>
            <a:ext uri="{FF2B5EF4-FFF2-40B4-BE49-F238E27FC236}">
              <a16:creationId xmlns:a16="http://schemas.microsoft.com/office/drawing/2014/main" id="{0652D93D-CFF9-4410-9336-1B12F7B252E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7" name="Line 7">
          <a:extLst>
            <a:ext uri="{FF2B5EF4-FFF2-40B4-BE49-F238E27FC236}">
              <a16:creationId xmlns:a16="http://schemas.microsoft.com/office/drawing/2014/main" id="{4242D064-D169-4F2A-B9DC-81597F36B13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8" name="Line 8">
          <a:extLst>
            <a:ext uri="{FF2B5EF4-FFF2-40B4-BE49-F238E27FC236}">
              <a16:creationId xmlns:a16="http://schemas.microsoft.com/office/drawing/2014/main" id="{D251ECBC-6121-4ED7-9B85-6A541ABA322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9" name="Line 9">
          <a:extLst>
            <a:ext uri="{FF2B5EF4-FFF2-40B4-BE49-F238E27FC236}">
              <a16:creationId xmlns:a16="http://schemas.microsoft.com/office/drawing/2014/main" id="{29A62865-F3CF-46ED-A3E6-B8ED921F7C3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0" name="Line 10">
          <a:extLst>
            <a:ext uri="{FF2B5EF4-FFF2-40B4-BE49-F238E27FC236}">
              <a16:creationId xmlns:a16="http://schemas.microsoft.com/office/drawing/2014/main" id="{7C0D7E20-D124-4660-8DC2-54F395114DF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1" name="Line 11">
          <a:extLst>
            <a:ext uri="{FF2B5EF4-FFF2-40B4-BE49-F238E27FC236}">
              <a16:creationId xmlns:a16="http://schemas.microsoft.com/office/drawing/2014/main" id="{525F7CD8-6B14-4328-B546-0A5BDC06541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2" name="Line 12">
          <a:extLst>
            <a:ext uri="{FF2B5EF4-FFF2-40B4-BE49-F238E27FC236}">
              <a16:creationId xmlns:a16="http://schemas.microsoft.com/office/drawing/2014/main" id="{71270F17-FA69-4FD2-AD94-1798B2DEF7F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3" name="Line 13">
          <a:extLst>
            <a:ext uri="{FF2B5EF4-FFF2-40B4-BE49-F238E27FC236}">
              <a16:creationId xmlns:a16="http://schemas.microsoft.com/office/drawing/2014/main" id="{11E5C51A-9F8D-4FC1-89E2-B23F46030DE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4" name="Line 14">
          <a:extLst>
            <a:ext uri="{FF2B5EF4-FFF2-40B4-BE49-F238E27FC236}">
              <a16:creationId xmlns:a16="http://schemas.microsoft.com/office/drawing/2014/main" id="{2FD4F127-B616-431B-B886-38699303B72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5" name="Line 15">
          <a:extLst>
            <a:ext uri="{FF2B5EF4-FFF2-40B4-BE49-F238E27FC236}">
              <a16:creationId xmlns:a16="http://schemas.microsoft.com/office/drawing/2014/main" id="{AC58F37F-19F0-45A1-B9C1-BA29A105286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6" name="Line 16">
          <a:extLst>
            <a:ext uri="{FF2B5EF4-FFF2-40B4-BE49-F238E27FC236}">
              <a16:creationId xmlns:a16="http://schemas.microsoft.com/office/drawing/2014/main" id="{B7B8F506-D149-4ACF-B9F0-D657879F9FC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7" name="Line 17">
          <a:extLst>
            <a:ext uri="{FF2B5EF4-FFF2-40B4-BE49-F238E27FC236}">
              <a16:creationId xmlns:a16="http://schemas.microsoft.com/office/drawing/2014/main" id="{329D7BF6-AB17-4370-9A54-4537B4394F4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8" name="Line 18">
          <a:extLst>
            <a:ext uri="{FF2B5EF4-FFF2-40B4-BE49-F238E27FC236}">
              <a16:creationId xmlns:a16="http://schemas.microsoft.com/office/drawing/2014/main" id="{8BE1028F-D120-43B4-99E5-F75F03CBDC0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9" name="Line 19">
          <a:extLst>
            <a:ext uri="{FF2B5EF4-FFF2-40B4-BE49-F238E27FC236}">
              <a16:creationId xmlns:a16="http://schemas.microsoft.com/office/drawing/2014/main" id="{459E82D8-C4B4-446C-BF7A-40B02FDF851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0" name="Line 20">
          <a:extLst>
            <a:ext uri="{FF2B5EF4-FFF2-40B4-BE49-F238E27FC236}">
              <a16:creationId xmlns:a16="http://schemas.microsoft.com/office/drawing/2014/main" id="{AAAE93AC-9C96-4348-A136-EDEBC0CE5C6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1" name="Line 21">
          <a:extLst>
            <a:ext uri="{FF2B5EF4-FFF2-40B4-BE49-F238E27FC236}">
              <a16:creationId xmlns:a16="http://schemas.microsoft.com/office/drawing/2014/main" id="{C66F3FBF-F029-4188-8AAB-577E9282CAA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2" name="Line 22">
          <a:extLst>
            <a:ext uri="{FF2B5EF4-FFF2-40B4-BE49-F238E27FC236}">
              <a16:creationId xmlns:a16="http://schemas.microsoft.com/office/drawing/2014/main" id="{DCA3EC4B-8A9A-4930-ACF3-C1D7A8454A1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3" name="Line 23">
          <a:extLst>
            <a:ext uri="{FF2B5EF4-FFF2-40B4-BE49-F238E27FC236}">
              <a16:creationId xmlns:a16="http://schemas.microsoft.com/office/drawing/2014/main" id="{5A0628F9-FE4D-47B4-AB0D-F06A619BEB2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4" name="Line 24">
          <a:extLst>
            <a:ext uri="{FF2B5EF4-FFF2-40B4-BE49-F238E27FC236}">
              <a16:creationId xmlns:a16="http://schemas.microsoft.com/office/drawing/2014/main" id="{B59EEA60-3A42-483B-A83F-3AC8E25326E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5" name="Line 25">
          <a:extLst>
            <a:ext uri="{FF2B5EF4-FFF2-40B4-BE49-F238E27FC236}">
              <a16:creationId xmlns:a16="http://schemas.microsoft.com/office/drawing/2014/main" id="{3430877C-0F14-440D-855F-D97087D6A4E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6" name="Line 26">
          <a:extLst>
            <a:ext uri="{FF2B5EF4-FFF2-40B4-BE49-F238E27FC236}">
              <a16:creationId xmlns:a16="http://schemas.microsoft.com/office/drawing/2014/main" id="{8BAFBF53-A13E-4E43-AB6C-BB9BC08A6B2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7" name="Line 27">
          <a:extLst>
            <a:ext uri="{FF2B5EF4-FFF2-40B4-BE49-F238E27FC236}">
              <a16:creationId xmlns:a16="http://schemas.microsoft.com/office/drawing/2014/main" id="{9CAD23C6-9DE4-467B-A574-85E0C399E14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8" name="Line 28">
          <a:extLst>
            <a:ext uri="{FF2B5EF4-FFF2-40B4-BE49-F238E27FC236}">
              <a16:creationId xmlns:a16="http://schemas.microsoft.com/office/drawing/2014/main" id="{D578FDA8-7138-4819-B3EF-120EAA2D2F3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9" name="Line 29">
          <a:extLst>
            <a:ext uri="{FF2B5EF4-FFF2-40B4-BE49-F238E27FC236}">
              <a16:creationId xmlns:a16="http://schemas.microsoft.com/office/drawing/2014/main" id="{7FFA42B7-F149-4240-9D27-A70527AE174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0" name="Line 30">
          <a:extLst>
            <a:ext uri="{FF2B5EF4-FFF2-40B4-BE49-F238E27FC236}">
              <a16:creationId xmlns:a16="http://schemas.microsoft.com/office/drawing/2014/main" id="{80432AC6-476A-404C-A445-4B1A7654037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1" name="Line 31">
          <a:extLst>
            <a:ext uri="{FF2B5EF4-FFF2-40B4-BE49-F238E27FC236}">
              <a16:creationId xmlns:a16="http://schemas.microsoft.com/office/drawing/2014/main" id="{432858EC-A824-4BAC-8667-80D0EA7D97F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2" name="Line 32">
          <a:extLst>
            <a:ext uri="{FF2B5EF4-FFF2-40B4-BE49-F238E27FC236}">
              <a16:creationId xmlns:a16="http://schemas.microsoft.com/office/drawing/2014/main" id="{2B7955CA-890A-4216-9B46-A432699B2EF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3" name="Line 33">
          <a:extLst>
            <a:ext uri="{FF2B5EF4-FFF2-40B4-BE49-F238E27FC236}">
              <a16:creationId xmlns:a16="http://schemas.microsoft.com/office/drawing/2014/main" id="{983A8BC1-A30C-4B46-AE5C-3A813854527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4" name="Line 34">
          <a:extLst>
            <a:ext uri="{FF2B5EF4-FFF2-40B4-BE49-F238E27FC236}">
              <a16:creationId xmlns:a16="http://schemas.microsoft.com/office/drawing/2014/main" id="{CDE847AD-00C3-4EBE-BAC6-9ED727E4C92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5" name="Line 35">
          <a:extLst>
            <a:ext uri="{FF2B5EF4-FFF2-40B4-BE49-F238E27FC236}">
              <a16:creationId xmlns:a16="http://schemas.microsoft.com/office/drawing/2014/main" id="{8CE24407-F4C3-4D84-B502-84C4A757238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6" name="Line 36">
          <a:extLst>
            <a:ext uri="{FF2B5EF4-FFF2-40B4-BE49-F238E27FC236}">
              <a16:creationId xmlns:a16="http://schemas.microsoft.com/office/drawing/2014/main" id="{9101C256-8660-4596-B791-4CD0B683243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7" name="Line 37">
          <a:extLst>
            <a:ext uri="{FF2B5EF4-FFF2-40B4-BE49-F238E27FC236}">
              <a16:creationId xmlns:a16="http://schemas.microsoft.com/office/drawing/2014/main" id="{1BE507FD-1345-4CD1-9CB5-4D063ACE676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8" name="Line 38">
          <a:extLst>
            <a:ext uri="{FF2B5EF4-FFF2-40B4-BE49-F238E27FC236}">
              <a16:creationId xmlns:a16="http://schemas.microsoft.com/office/drawing/2014/main" id="{2332A87E-CDEF-454D-9A94-D1470E7B796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9" name="Line 39">
          <a:extLst>
            <a:ext uri="{FF2B5EF4-FFF2-40B4-BE49-F238E27FC236}">
              <a16:creationId xmlns:a16="http://schemas.microsoft.com/office/drawing/2014/main" id="{FA53682C-087E-452A-BEC4-E8E5DF065BE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0" name="Line 40">
          <a:extLst>
            <a:ext uri="{FF2B5EF4-FFF2-40B4-BE49-F238E27FC236}">
              <a16:creationId xmlns:a16="http://schemas.microsoft.com/office/drawing/2014/main" id="{D4A1020D-A607-4C7D-BF34-2B510123C90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1" name="Line 41">
          <a:extLst>
            <a:ext uri="{FF2B5EF4-FFF2-40B4-BE49-F238E27FC236}">
              <a16:creationId xmlns:a16="http://schemas.microsoft.com/office/drawing/2014/main" id="{95A4FAF7-730B-4758-92C2-B80E8F23543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2" name="Line 42">
          <a:extLst>
            <a:ext uri="{FF2B5EF4-FFF2-40B4-BE49-F238E27FC236}">
              <a16:creationId xmlns:a16="http://schemas.microsoft.com/office/drawing/2014/main" id="{B79359CD-5965-486A-ADC2-1ECF393E676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3" name="Line 43">
          <a:extLst>
            <a:ext uri="{FF2B5EF4-FFF2-40B4-BE49-F238E27FC236}">
              <a16:creationId xmlns:a16="http://schemas.microsoft.com/office/drawing/2014/main" id="{CD73C359-02F7-4129-AB88-4AAC92D1FE3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4" name="Line 44">
          <a:extLst>
            <a:ext uri="{FF2B5EF4-FFF2-40B4-BE49-F238E27FC236}">
              <a16:creationId xmlns:a16="http://schemas.microsoft.com/office/drawing/2014/main" id="{A33B3A3D-B525-46E0-B85B-2687911FD0F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5" name="Line 45">
          <a:extLst>
            <a:ext uri="{FF2B5EF4-FFF2-40B4-BE49-F238E27FC236}">
              <a16:creationId xmlns:a16="http://schemas.microsoft.com/office/drawing/2014/main" id="{34DA3050-F362-4C90-9348-036F833E6DB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6" name="Line 46">
          <a:extLst>
            <a:ext uri="{FF2B5EF4-FFF2-40B4-BE49-F238E27FC236}">
              <a16:creationId xmlns:a16="http://schemas.microsoft.com/office/drawing/2014/main" id="{2221DB94-AD1C-41C1-A9A5-6B5350A99DC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7" name="Line 47">
          <a:extLst>
            <a:ext uri="{FF2B5EF4-FFF2-40B4-BE49-F238E27FC236}">
              <a16:creationId xmlns:a16="http://schemas.microsoft.com/office/drawing/2014/main" id="{D77FF3CE-A8DF-4FEC-985C-B096DC0F903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8" name="Line 48">
          <a:extLst>
            <a:ext uri="{FF2B5EF4-FFF2-40B4-BE49-F238E27FC236}">
              <a16:creationId xmlns:a16="http://schemas.microsoft.com/office/drawing/2014/main" id="{71457775-8424-46E8-A850-C0DB716C199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9" name="Line 49">
          <a:extLst>
            <a:ext uri="{FF2B5EF4-FFF2-40B4-BE49-F238E27FC236}">
              <a16:creationId xmlns:a16="http://schemas.microsoft.com/office/drawing/2014/main" id="{D91B7DC4-B53C-42A5-AB4E-5A34C60AA94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0" name="Line 50">
          <a:extLst>
            <a:ext uri="{FF2B5EF4-FFF2-40B4-BE49-F238E27FC236}">
              <a16:creationId xmlns:a16="http://schemas.microsoft.com/office/drawing/2014/main" id="{CA429B5F-B202-4E0A-A6BD-3A75F59E7F2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1" name="Line 1">
          <a:extLst>
            <a:ext uri="{FF2B5EF4-FFF2-40B4-BE49-F238E27FC236}">
              <a16:creationId xmlns:a16="http://schemas.microsoft.com/office/drawing/2014/main" id="{2EF7C8D1-975C-47C6-B917-6EFF0CA03DE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2" name="Line 2">
          <a:extLst>
            <a:ext uri="{FF2B5EF4-FFF2-40B4-BE49-F238E27FC236}">
              <a16:creationId xmlns:a16="http://schemas.microsoft.com/office/drawing/2014/main" id="{93F457C4-AF99-4E6D-BC41-8C9B7391A2B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3" name="Line 5">
          <a:extLst>
            <a:ext uri="{FF2B5EF4-FFF2-40B4-BE49-F238E27FC236}">
              <a16:creationId xmlns:a16="http://schemas.microsoft.com/office/drawing/2014/main" id="{04235A4E-B138-4F48-8378-B4F11899FAC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4" name="Line 6">
          <a:extLst>
            <a:ext uri="{FF2B5EF4-FFF2-40B4-BE49-F238E27FC236}">
              <a16:creationId xmlns:a16="http://schemas.microsoft.com/office/drawing/2014/main" id="{FC7B4D0D-4A75-44A9-B612-E188E103059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5" name="Line 7">
          <a:extLst>
            <a:ext uri="{FF2B5EF4-FFF2-40B4-BE49-F238E27FC236}">
              <a16:creationId xmlns:a16="http://schemas.microsoft.com/office/drawing/2014/main" id="{4D7274D8-B919-4447-835F-3B65E37181D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6" name="Line 8">
          <a:extLst>
            <a:ext uri="{FF2B5EF4-FFF2-40B4-BE49-F238E27FC236}">
              <a16:creationId xmlns:a16="http://schemas.microsoft.com/office/drawing/2014/main" id="{F835ABF2-52B4-4A3C-9625-F8FD711D370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7" name="Line 9">
          <a:extLst>
            <a:ext uri="{FF2B5EF4-FFF2-40B4-BE49-F238E27FC236}">
              <a16:creationId xmlns:a16="http://schemas.microsoft.com/office/drawing/2014/main" id="{13F657D8-5EC6-4286-B362-4D538C87DC6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8" name="Line 10">
          <a:extLst>
            <a:ext uri="{FF2B5EF4-FFF2-40B4-BE49-F238E27FC236}">
              <a16:creationId xmlns:a16="http://schemas.microsoft.com/office/drawing/2014/main" id="{36F92875-EB86-4197-8D3A-865657FEBF3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9" name="Line 11">
          <a:extLst>
            <a:ext uri="{FF2B5EF4-FFF2-40B4-BE49-F238E27FC236}">
              <a16:creationId xmlns:a16="http://schemas.microsoft.com/office/drawing/2014/main" id="{B8F0B695-4663-4039-AD47-10A0F6F0CA4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0" name="Line 12">
          <a:extLst>
            <a:ext uri="{FF2B5EF4-FFF2-40B4-BE49-F238E27FC236}">
              <a16:creationId xmlns:a16="http://schemas.microsoft.com/office/drawing/2014/main" id="{6CB2EC22-79A9-4B7F-8B2B-F9B3029BE8B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1" name="Line 13">
          <a:extLst>
            <a:ext uri="{FF2B5EF4-FFF2-40B4-BE49-F238E27FC236}">
              <a16:creationId xmlns:a16="http://schemas.microsoft.com/office/drawing/2014/main" id="{A5A6104F-B991-455F-894A-3A8D89A9B12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2" name="Line 14">
          <a:extLst>
            <a:ext uri="{FF2B5EF4-FFF2-40B4-BE49-F238E27FC236}">
              <a16:creationId xmlns:a16="http://schemas.microsoft.com/office/drawing/2014/main" id="{AF054579-CD2A-4761-AAE8-BD4C918F924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3" name="Line 15">
          <a:extLst>
            <a:ext uri="{FF2B5EF4-FFF2-40B4-BE49-F238E27FC236}">
              <a16:creationId xmlns:a16="http://schemas.microsoft.com/office/drawing/2014/main" id="{51A59019-0729-4C63-86CD-6F0B85CDC48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4" name="Line 16">
          <a:extLst>
            <a:ext uri="{FF2B5EF4-FFF2-40B4-BE49-F238E27FC236}">
              <a16:creationId xmlns:a16="http://schemas.microsoft.com/office/drawing/2014/main" id="{32900B15-5532-4D33-8CD2-2A18A492C07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5" name="Line 17">
          <a:extLst>
            <a:ext uri="{FF2B5EF4-FFF2-40B4-BE49-F238E27FC236}">
              <a16:creationId xmlns:a16="http://schemas.microsoft.com/office/drawing/2014/main" id="{52805839-00FE-44A8-851B-4A0ABA42B25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6" name="Line 18">
          <a:extLst>
            <a:ext uri="{FF2B5EF4-FFF2-40B4-BE49-F238E27FC236}">
              <a16:creationId xmlns:a16="http://schemas.microsoft.com/office/drawing/2014/main" id="{EE9767A7-7209-46B1-AF9E-872B657CE07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7" name="Line 19">
          <a:extLst>
            <a:ext uri="{FF2B5EF4-FFF2-40B4-BE49-F238E27FC236}">
              <a16:creationId xmlns:a16="http://schemas.microsoft.com/office/drawing/2014/main" id="{604FA2CE-AB20-4B9F-B66E-662384833E6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8" name="Line 20">
          <a:extLst>
            <a:ext uri="{FF2B5EF4-FFF2-40B4-BE49-F238E27FC236}">
              <a16:creationId xmlns:a16="http://schemas.microsoft.com/office/drawing/2014/main" id="{F53B52B2-FEE2-470D-A7B4-C1CED2F808E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9" name="Line 21">
          <a:extLst>
            <a:ext uri="{FF2B5EF4-FFF2-40B4-BE49-F238E27FC236}">
              <a16:creationId xmlns:a16="http://schemas.microsoft.com/office/drawing/2014/main" id="{06A204DF-5622-4254-8E40-C1C9ED001C1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0" name="Line 22">
          <a:extLst>
            <a:ext uri="{FF2B5EF4-FFF2-40B4-BE49-F238E27FC236}">
              <a16:creationId xmlns:a16="http://schemas.microsoft.com/office/drawing/2014/main" id="{762E3AA4-DE0C-4A2F-9A6E-5793A228B8B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1" name="Line 23">
          <a:extLst>
            <a:ext uri="{FF2B5EF4-FFF2-40B4-BE49-F238E27FC236}">
              <a16:creationId xmlns:a16="http://schemas.microsoft.com/office/drawing/2014/main" id="{11AFDC9A-39B9-49F5-8205-2F37A1C8585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2" name="Line 24">
          <a:extLst>
            <a:ext uri="{FF2B5EF4-FFF2-40B4-BE49-F238E27FC236}">
              <a16:creationId xmlns:a16="http://schemas.microsoft.com/office/drawing/2014/main" id="{7B1336E7-C2E5-430F-8D3A-2BDC19C643F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3" name="Line 25">
          <a:extLst>
            <a:ext uri="{FF2B5EF4-FFF2-40B4-BE49-F238E27FC236}">
              <a16:creationId xmlns:a16="http://schemas.microsoft.com/office/drawing/2014/main" id="{1A40AC1F-5C51-44C2-BB93-C5172458906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4" name="Line 26">
          <a:extLst>
            <a:ext uri="{FF2B5EF4-FFF2-40B4-BE49-F238E27FC236}">
              <a16:creationId xmlns:a16="http://schemas.microsoft.com/office/drawing/2014/main" id="{E603C32A-3D5D-4AAE-8FFB-12DCD12CE79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5" name="Line 27">
          <a:extLst>
            <a:ext uri="{FF2B5EF4-FFF2-40B4-BE49-F238E27FC236}">
              <a16:creationId xmlns:a16="http://schemas.microsoft.com/office/drawing/2014/main" id="{5290098B-E537-4DA9-81FE-2CF4343D1C0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6" name="Line 28">
          <a:extLst>
            <a:ext uri="{FF2B5EF4-FFF2-40B4-BE49-F238E27FC236}">
              <a16:creationId xmlns:a16="http://schemas.microsoft.com/office/drawing/2014/main" id="{42D76347-859C-46C6-A2FB-8BC6807D7CB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7" name="Line 29">
          <a:extLst>
            <a:ext uri="{FF2B5EF4-FFF2-40B4-BE49-F238E27FC236}">
              <a16:creationId xmlns:a16="http://schemas.microsoft.com/office/drawing/2014/main" id="{D36A2AA9-4C69-406F-ADED-1DBF3FEF9C1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8" name="Line 30">
          <a:extLst>
            <a:ext uri="{FF2B5EF4-FFF2-40B4-BE49-F238E27FC236}">
              <a16:creationId xmlns:a16="http://schemas.microsoft.com/office/drawing/2014/main" id="{FEC00445-34FB-4CA1-8B4A-B9CA8660DFC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9" name="Line 31">
          <a:extLst>
            <a:ext uri="{FF2B5EF4-FFF2-40B4-BE49-F238E27FC236}">
              <a16:creationId xmlns:a16="http://schemas.microsoft.com/office/drawing/2014/main" id="{F8814E56-7863-4EF0-AF3F-AA9EEADA621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0" name="Line 32">
          <a:extLst>
            <a:ext uri="{FF2B5EF4-FFF2-40B4-BE49-F238E27FC236}">
              <a16:creationId xmlns:a16="http://schemas.microsoft.com/office/drawing/2014/main" id="{7086107A-8006-4132-B089-6152B78CCF0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1" name="Line 33">
          <a:extLst>
            <a:ext uri="{FF2B5EF4-FFF2-40B4-BE49-F238E27FC236}">
              <a16:creationId xmlns:a16="http://schemas.microsoft.com/office/drawing/2014/main" id="{154BD1C4-83C4-4F58-8AE6-813833D531F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2" name="Line 34">
          <a:extLst>
            <a:ext uri="{FF2B5EF4-FFF2-40B4-BE49-F238E27FC236}">
              <a16:creationId xmlns:a16="http://schemas.microsoft.com/office/drawing/2014/main" id="{5F80D6D2-E02C-419D-9F74-61D4D3B6EF2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3" name="Line 35">
          <a:extLst>
            <a:ext uri="{FF2B5EF4-FFF2-40B4-BE49-F238E27FC236}">
              <a16:creationId xmlns:a16="http://schemas.microsoft.com/office/drawing/2014/main" id="{B7693288-F41A-4D15-8D12-93BC5D7ED19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4" name="Line 36">
          <a:extLst>
            <a:ext uri="{FF2B5EF4-FFF2-40B4-BE49-F238E27FC236}">
              <a16:creationId xmlns:a16="http://schemas.microsoft.com/office/drawing/2014/main" id="{8438712A-9811-44E3-8A8A-06DCB99B308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5" name="Line 37">
          <a:extLst>
            <a:ext uri="{FF2B5EF4-FFF2-40B4-BE49-F238E27FC236}">
              <a16:creationId xmlns:a16="http://schemas.microsoft.com/office/drawing/2014/main" id="{172BC0E8-0071-460E-AAFA-E07F7C72CBD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6" name="Line 38">
          <a:extLst>
            <a:ext uri="{FF2B5EF4-FFF2-40B4-BE49-F238E27FC236}">
              <a16:creationId xmlns:a16="http://schemas.microsoft.com/office/drawing/2014/main" id="{7D1B728F-9DA5-4E09-99AC-F4E3B2DBE27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7" name="Line 39">
          <a:extLst>
            <a:ext uri="{FF2B5EF4-FFF2-40B4-BE49-F238E27FC236}">
              <a16:creationId xmlns:a16="http://schemas.microsoft.com/office/drawing/2014/main" id="{BE2ACDF5-8B16-4475-9BA4-9E4C6223BA3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8" name="Line 40">
          <a:extLst>
            <a:ext uri="{FF2B5EF4-FFF2-40B4-BE49-F238E27FC236}">
              <a16:creationId xmlns:a16="http://schemas.microsoft.com/office/drawing/2014/main" id="{1B4106CF-ACD7-4BCB-9A95-019F8AC61D6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9" name="Line 41">
          <a:extLst>
            <a:ext uri="{FF2B5EF4-FFF2-40B4-BE49-F238E27FC236}">
              <a16:creationId xmlns:a16="http://schemas.microsoft.com/office/drawing/2014/main" id="{5E7F531E-8451-4B7A-8FAA-31D4CB79744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0" name="Line 42">
          <a:extLst>
            <a:ext uri="{FF2B5EF4-FFF2-40B4-BE49-F238E27FC236}">
              <a16:creationId xmlns:a16="http://schemas.microsoft.com/office/drawing/2014/main" id="{308DA5EB-7590-41F3-9733-0799984A577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1" name="Line 43">
          <a:extLst>
            <a:ext uri="{FF2B5EF4-FFF2-40B4-BE49-F238E27FC236}">
              <a16:creationId xmlns:a16="http://schemas.microsoft.com/office/drawing/2014/main" id="{5CA0DE8E-781E-478B-8BA2-60BCC91039F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2" name="Line 44">
          <a:extLst>
            <a:ext uri="{FF2B5EF4-FFF2-40B4-BE49-F238E27FC236}">
              <a16:creationId xmlns:a16="http://schemas.microsoft.com/office/drawing/2014/main" id="{321AE905-8CD6-4D82-912A-88A77C95FD6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3" name="Line 45">
          <a:extLst>
            <a:ext uri="{FF2B5EF4-FFF2-40B4-BE49-F238E27FC236}">
              <a16:creationId xmlns:a16="http://schemas.microsoft.com/office/drawing/2014/main" id="{B9A270A1-2734-4776-8D74-24273CF11E3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4" name="Line 46">
          <a:extLst>
            <a:ext uri="{FF2B5EF4-FFF2-40B4-BE49-F238E27FC236}">
              <a16:creationId xmlns:a16="http://schemas.microsoft.com/office/drawing/2014/main" id="{BE10E570-D890-4E56-9F15-03083341ECE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5" name="Line 47">
          <a:extLst>
            <a:ext uri="{FF2B5EF4-FFF2-40B4-BE49-F238E27FC236}">
              <a16:creationId xmlns:a16="http://schemas.microsoft.com/office/drawing/2014/main" id="{5E6A9C13-1244-404D-A7DA-7C7543D427B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6" name="Line 48">
          <a:extLst>
            <a:ext uri="{FF2B5EF4-FFF2-40B4-BE49-F238E27FC236}">
              <a16:creationId xmlns:a16="http://schemas.microsoft.com/office/drawing/2014/main" id="{CB8C5B42-B66B-4C14-A57F-DBC55BF1750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7" name="Line 49">
          <a:extLst>
            <a:ext uri="{FF2B5EF4-FFF2-40B4-BE49-F238E27FC236}">
              <a16:creationId xmlns:a16="http://schemas.microsoft.com/office/drawing/2014/main" id="{CB0D21B0-6765-4020-840A-958F14582EE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8" name="Line 50">
          <a:extLst>
            <a:ext uri="{FF2B5EF4-FFF2-40B4-BE49-F238E27FC236}">
              <a16:creationId xmlns:a16="http://schemas.microsoft.com/office/drawing/2014/main" id="{F202EE08-3836-464F-80AB-FA24D5A5B3B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99" name="Line 1">
          <a:extLst>
            <a:ext uri="{FF2B5EF4-FFF2-40B4-BE49-F238E27FC236}">
              <a16:creationId xmlns:a16="http://schemas.microsoft.com/office/drawing/2014/main" id="{D3272E44-DD68-4B5B-A3D6-9D309114AF3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0" name="Line 2">
          <a:extLst>
            <a:ext uri="{FF2B5EF4-FFF2-40B4-BE49-F238E27FC236}">
              <a16:creationId xmlns:a16="http://schemas.microsoft.com/office/drawing/2014/main" id="{9B2237B3-7799-46F1-AE39-93AD2987AA9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1" name="Line 5">
          <a:extLst>
            <a:ext uri="{FF2B5EF4-FFF2-40B4-BE49-F238E27FC236}">
              <a16:creationId xmlns:a16="http://schemas.microsoft.com/office/drawing/2014/main" id="{35F11802-8437-4E4D-A597-16BF26F5870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2" name="Line 6">
          <a:extLst>
            <a:ext uri="{FF2B5EF4-FFF2-40B4-BE49-F238E27FC236}">
              <a16:creationId xmlns:a16="http://schemas.microsoft.com/office/drawing/2014/main" id="{EEAAA425-A744-466E-A491-B5A33AEFF35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3" name="Line 7">
          <a:extLst>
            <a:ext uri="{FF2B5EF4-FFF2-40B4-BE49-F238E27FC236}">
              <a16:creationId xmlns:a16="http://schemas.microsoft.com/office/drawing/2014/main" id="{1E511995-ED99-4661-8E28-BC092945D0F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4" name="Line 8">
          <a:extLst>
            <a:ext uri="{FF2B5EF4-FFF2-40B4-BE49-F238E27FC236}">
              <a16:creationId xmlns:a16="http://schemas.microsoft.com/office/drawing/2014/main" id="{99C07A40-F8CB-4A45-B288-F0D210E4B7D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5" name="Line 9">
          <a:extLst>
            <a:ext uri="{FF2B5EF4-FFF2-40B4-BE49-F238E27FC236}">
              <a16:creationId xmlns:a16="http://schemas.microsoft.com/office/drawing/2014/main" id="{4EFA8675-F413-46C1-8780-E4A59140390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6" name="Line 10">
          <a:extLst>
            <a:ext uri="{FF2B5EF4-FFF2-40B4-BE49-F238E27FC236}">
              <a16:creationId xmlns:a16="http://schemas.microsoft.com/office/drawing/2014/main" id="{1AB3959A-D90D-4E30-86E3-C0A2D471F0E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7" name="Line 11">
          <a:extLst>
            <a:ext uri="{FF2B5EF4-FFF2-40B4-BE49-F238E27FC236}">
              <a16:creationId xmlns:a16="http://schemas.microsoft.com/office/drawing/2014/main" id="{7E63577F-E266-4992-AD6E-3902833154A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8" name="Line 12">
          <a:extLst>
            <a:ext uri="{FF2B5EF4-FFF2-40B4-BE49-F238E27FC236}">
              <a16:creationId xmlns:a16="http://schemas.microsoft.com/office/drawing/2014/main" id="{3DEC401D-3CB7-4617-B53C-5B9509C3D38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9" name="Line 13">
          <a:extLst>
            <a:ext uri="{FF2B5EF4-FFF2-40B4-BE49-F238E27FC236}">
              <a16:creationId xmlns:a16="http://schemas.microsoft.com/office/drawing/2014/main" id="{B18833C0-4D7A-41B8-A95C-A3350628AD9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0" name="Line 14">
          <a:extLst>
            <a:ext uri="{FF2B5EF4-FFF2-40B4-BE49-F238E27FC236}">
              <a16:creationId xmlns:a16="http://schemas.microsoft.com/office/drawing/2014/main" id="{1D569757-8FAB-4D8A-9DB3-1EEAC849CBE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1" name="Line 15">
          <a:extLst>
            <a:ext uri="{FF2B5EF4-FFF2-40B4-BE49-F238E27FC236}">
              <a16:creationId xmlns:a16="http://schemas.microsoft.com/office/drawing/2014/main" id="{2144654B-A71F-4398-91E2-4F3653ECC60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2" name="Line 16">
          <a:extLst>
            <a:ext uri="{FF2B5EF4-FFF2-40B4-BE49-F238E27FC236}">
              <a16:creationId xmlns:a16="http://schemas.microsoft.com/office/drawing/2014/main" id="{742C8CA0-C8AC-45E6-823D-224F012228C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3" name="Line 17">
          <a:extLst>
            <a:ext uri="{FF2B5EF4-FFF2-40B4-BE49-F238E27FC236}">
              <a16:creationId xmlns:a16="http://schemas.microsoft.com/office/drawing/2014/main" id="{75C2FE80-4051-4548-AB83-BD814165120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4" name="Line 18">
          <a:extLst>
            <a:ext uri="{FF2B5EF4-FFF2-40B4-BE49-F238E27FC236}">
              <a16:creationId xmlns:a16="http://schemas.microsoft.com/office/drawing/2014/main" id="{8C8CB82F-9880-4CFF-919A-EC636A63E74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5" name="Line 19">
          <a:extLst>
            <a:ext uri="{FF2B5EF4-FFF2-40B4-BE49-F238E27FC236}">
              <a16:creationId xmlns:a16="http://schemas.microsoft.com/office/drawing/2014/main" id="{629B9C2D-4C92-415D-A2FC-19A1264867B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6" name="Line 20">
          <a:extLst>
            <a:ext uri="{FF2B5EF4-FFF2-40B4-BE49-F238E27FC236}">
              <a16:creationId xmlns:a16="http://schemas.microsoft.com/office/drawing/2014/main" id="{F48FB131-1051-4ACA-9F72-7D99191C26D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7" name="Line 21">
          <a:extLst>
            <a:ext uri="{FF2B5EF4-FFF2-40B4-BE49-F238E27FC236}">
              <a16:creationId xmlns:a16="http://schemas.microsoft.com/office/drawing/2014/main" id="{77E54366-4CFB-4277-9FE5-DDDD2CB91A5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8" name="Line 22">
          <a:extLst>
            <a:ext uri="{FF2B5EF4-FFF2-40B4-BE49-F238E27FC236}">
              <a16:creationId xmlns:a16="http://schemas.microsoft.com/office/drawing/2014/main" id="{8835A996-B521-43B8-B78C-D694F2D6DE6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9" name="Line 23">
          <a:extLst>
            <a:ext uri="{FF2B5EF4-FFF2-40B4-BE49-F238E27FC236}">
              <a16:creationId xmlns:a16="http://schemas.microsoft.com/office/drawing/2014/main" id="{C8A65648-BE97-483E-AD44-A05348D83F7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0" name="Line 24">
          <a:extLst>
            <a:ext uri="{FF2B5EF4-FFF2-40B4-BE49-F238E27FC236}">
              <a16:creationId xmlns:a16="http://schemas.microsoft.com/office/drawing/2014/main" id="{F6793C84-F4DC-4FD9-89CC-1CA318672E6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1" name="Line 25">
          <a:extLst>
            <a:ext uri="{FF2B5EF4-FFF2-40B4-BE49-F238E27FC236}">
              <a16:creationId xmlns:a16="http://schemas.microsoft.com/office/drawing/2014/main" id="{D8F8DD68-BE87-4E56-9A04-07725603DA3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2" name="Line 26">
          <a:extLst>
            <a:ext uri="{FF2B5EF4-FFF2-40B4-BE49-F238E27FC236}">
              <a16:creationId xmlns:a16="http://schemas.microsoft.com/office/drawing/2014/main" id="{F99B7A99-5DD0-4BE4-A2BE-EB0C7554036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3" name="Line 27">
          <a:extLst>
            <a:ext uri="{FF2B5EF4-FFF2-40B4-BE49-F238E27FC236}">
              <a16:creationId xmlns:a16="http://schemas.microsoft.com/office/drawing/2014/main" id="{5F7C9EB0-7E34-4598-8C1C-DABD37056EC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4" name="Line 28">
          <a:extLst>
            <a:ext uri="{FF2B5EF4-FFF2-40B4-BE49-F238E27FC236}">
              <a16:creationId xmlns:a16="http://schemas.microsoft.com/office/drawing/2014/main" id="{F3F0A482-94D7-4393-8D0A-79F41838320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5" name="Line 29">
          <a:extLst>
            <a:ext uri="{FF2B5EF4-FFF2-40B4-BE49-F238E27FC236}">
              <a16:creationId xmlns:a16="http://schemas.microsoft.com/office/drawing/2014/main" id="{9A59FF82-0DCF-407B-9B99-9DB15DD6CAB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6" name="Line 30">
          <a:extLst>
            <a:ext uri="{FF2B5EF4-FFF2-40B4-BE49-F238E27FC236}">
              <a16:creationId xmlns:a16="http://schemas.microsoft.com/office/drawing/2014/main" id="{36D10200-7BA5-4206-B7BF-7ACF15743D4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7" name="Line 31">
          <a:extLst>
            <a:ext uri="{FF2B5EF4-FFF2-40B4-BE49-F238E27FC236}">
              <a16:creationId xmlns:a16="http://schemas.microsoft.com/office/drawing/2014/main" id="{273C4243-1D92-4FF8-841E-E6FECCA3510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8" name="Line 32">
          <a:extLst>
            <a:ext uri="{FF2B5EF4-FFF2-40B4-BE49-F238E27FC236}">
              <a16:creationId xmlns:a16="http://schemas.microsoft.com/office/drawing/2014/main" id="{8DB01C05-E389-4696-818F-9D9095C41EA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9" name="Line 33">
          <a:extLst>
            <a:ext uri="{FF2B5EF4-FFF2-40B4-BE49-F238E27FC236}">
              <a16:creationId xmlns:a16="http://schemas.microsoft.com/office/drawing/2014/main" id="{A8C72E91-CDBA-4774-9FE8-9F3A5180356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0" name="Line 34">
          <a:extLst>
            <a:ext uri="{FF2B5EF4-FFF2-40B4-BE49-F238E27FC236}">
              <a16:creationId xmlns:a16="http://schemas.microsoft.com/office/drawing/2014/main" id="{DA9CF75D-2BFE-40AB-BF7C-DC6E3DE55E6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1" name="Line 35">
          <a:extLst>
            <a:ext uri="{FF2B5EF4-FFF2-40B4-BE49-F238E27FC236}">
              <a16:creationId xmlns:a16="http://schemas.microsoft.com/office/drawing/2014/main" id="{F75C8D4C-1631-48EF-83DD-4ACC6A0D4B0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2" name="Line 36">
          <a:extLst>
            <a:ext uri="{FF2B5EF4-FFF2-40B4-BE49-F238E27FC236}">
              <a16:creationId xmlns:a16="http://schemas.microsoft.com/office/drawing/2014/main" id="{688BE833-D4F3-422C-B360-B60F2CC07C5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3" name="Line 37">
          <a:extLst>
            <a:ext uri="{FF2B5EF4-FFF2-40B4-BE49-F238E27FC236}">
              <a16:creationId xmlns:a16="http://schemas.microsoft.com/office/drawing/2014/main" id="{BF4BFA8D-7DA2-4671-A2AF-B15FCEE0199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4" name="Line 38">
          <a:extLst>
            <a:ext uri="{FF2B5EF4-FFF2-40B4-BE49-F238E27FC236}">
              <a16:creationId xmlns:a16="http://schemas.microsoft.com/office/drawing/2014/main" id="{530E8BA8-C8D4-49B4-90E8-A79B3B48893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5" name="Line 39">
          <a:extLst>
            <a:ext uri="{FF2B5EF4-FFF2-40B4-BE49-F238E27FC236}">
              <a16:creationId xmlns:a16="http://schemas.microsoft.com/office/drawing/2014/main" id="{29929D0C-440B-4D12-A2AF-CF5038F1F95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6" name="Line 40">
          <a:extLst>
            <a:ext uri="{FF2B5EF4-FFF2-40B4-BE49-F238E27FC236}">
              <a16:creationId xmlns:a16="http://schemas.microsoft.com/office/drawing/2014/main" id="{AEA2E828-242E-4491-BDA0-FD9DF1062EE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7" name="Line 41">
          <a:extLst>
            <a:ext uri="{FF2B5EF4-FFF2-40B4-BE49-F238E27FC236}">
              <a16:creationId xmlns:a16="http://schemas.microsoft.com/office/drawing/2014/main" id="{9B0EC5A8-1BD9-40E0-BFAA-DC8AC03FED5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8" name="Line 42">
          <a:extLst>
            <a:ext uri="{FF2B5EF4-FFF2-40B4-BE49-F238E27FC236}">
              <a16:creationId xmlns:a16="http://schemas.microsoft.com/office/drawing/2014/main" id="{20C85A88-6997-4336-A864-4AEB8C1FA54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9" name="Line 43">
          <a:extLst>
            <a:ext uri="{FF2B5EF4-FFF2-40B4-BE49-F238E27FC236}">
              <a16:creationId xmlns:a16="http://schemas.microsoft.com/office/drawing/2014/main" id="{22B2A5D7-F4B3-4276-B2A3-3A5F7BC7CC4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0" name="Line 44">
          <a:extLst>
            <a:ext uri="{FF2B5EF4-FFF2-40B4-BE49-F238E27FC236}">
              <a16:creationId xmlns:a16="http://schemas.microsoft.com/office/drawing/2014/main" id="{F74459ED-3034-48A3-BB57-6A0F03E2EC8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1" name="Line 45">
          <a:extLst>
            <a:ext uri="{FF2B5EF4-FFF2-40B4-BE49-F238E27FC236}">
              <a16:creationId xmlns:a16="http://schemas.microsoft.com/office/drawing/2014/main" id="{1F9D2FF3-ED13-40DD-9EE2-6048534322B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2" name="Line 46">
          <a:extLst>
            <a:ext uri="{FF2B5EF4-FFF2-40B4-BE49-F238E27FC236}">
              <a16:creationId xmlns:a16="http://schemas.microsoft.com/office/drawing/2014/main" id="{FACB2100-C015-49A0-AD20-D2AC7F0DF91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3" name="Line 47">
          <a:extLst>
            <a:ext uri="{FF2B5EF4-FFF2-40B4-BE49-F238E27FC236}">
              <a16:creationId xmlns:a16="http://schemas.microsoft.com/office/drawing/2014/main" id="{1CB02EEB-3314-4019-8E11-A075389BECB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4" name="Line 48">
          <a:extLst>
            <a:ext uri="{FF2B5EF4-FFF2-40B4-BE49-F238E27FC236}">
              <a16:creationId xmlns:a16="http://schemas.microsoft.com/office/drawing/2014/main" id="{5768E68D-6D2A-4DF2-8BFE-BAF91030A6F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5" name="Line 49">
          <a:extLst>
            <a:ext uri="{FF2B5EF4-FFF2-40B4-BE49-F238E27FC236}">
              <a16:creationId xmlns:a16="http://schemas.microsoft.com/office/drawing/2014/main" id="{BE981F9E-857C-4782-A87D-67642D329C4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6" name="Line 50">
          <a:extLst>
            <a:ext uri="{FF2B5EF4-FFF2-40B4-BE49-F238E27FC236}">
              <a16:creationId xmlns:a16="http://schemas.microsoft.com/office/drawing/2014/main" id="{D2790703-A3A6-4643-8A8F-0DF269CD0E5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7" name="Line 1">
          <a:extLst>
            <a:ext uri="{FF2B5EF4-FFF2-40B4-BE49-F238E27FC236}">
              <a16:creationId xmlns:a16="http://schemas.microsoft.com/office/drawing/2014/main" id="{0ACD53D8-F02A-449D-AC66-CC0FD6F014A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8" name="Line 2">
          <a:extLst>
            <a:ext uri="{FF2B5EF4-FFF2-40B4-BE49-F238E27FC236}">
              <a16:creationId xmlns:a16="http://schemas.microsoft.com/office/drawing/2014/main" id="{29B0D2E6-CB7E-460F-B77F-EDEF6CE331A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9" name="Line 5">
          <a:extLst>
            <a:ext uri="{FF2B5EF4-FFF2-40B4-BE49-F238E27FC236}">
              <a16:creationId xmlns:a16="http://schemas.microsoft.com/office/drawing/2014/main" id="{1D2D9F8A-740D-4128-9EB2-ABDDB65066D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0" name="Line 6">
          <a:extLst>
            <a:ext uri="{FF2B5EF4-FFF2-40B4-BE49-F238E27FC236}">
              <a16:creationId xmlns:a16="http://schemas.microsoft.com/office/drawing/2014/main" id="{5FE132E3-530B-4172-BD84-1CE3AEB4BE2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1" name="Line 7">
          <a:extLst>
            <a:ext uri="{FF2B5EF4-FFF2-40B4-BE49-F238E27FC236}">
              <a16:creationId xmlns:a16="http://schemas.microsoft.com/office/drawing/2014/main" id="{CFA8B09A-4242-4DCB-A9B8-1E1EC3AFB58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2" name="Line 8">
          <a:extLst>
            <a:ext uri="{FF2B5EF4-FFF2-40B4-BE49-F238E27FC236}">
              <a16:creationId xmlns:a16="http://schemas.microsoft.com/office/drawing/2014/main" id="{B55E4B07-B730-425D-B6A0-5CC659F6C66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3" name="Line 9">
          <a:extLst>
            <a:ext uri="{FF2B5EF4-FFF2-40B4-BE49-F238E27FC236}">
              <a16:creationId xmlns:a16="http://schemas.microsoft.com/office/drawing/2014/main" id="{EF70EEFE-F252-43A6-8250-E8A115402D7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4" name="Line 10">
          <a:extLst>
            <a:ext uri="{FF2B5EF4-FFF2-40B4-BE49-F238E27FC236}">
              <a16:creationId xmlns:a16="http://schemas.microsoft.com/office/drawing/2014/main" id="{76066217-E965-4C27-B4E3-B3A1050BA2C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5" name="Line 11">
          <a:extLst>
            <a:ext uri="{FF2B5EF4-FFF2-40B4-BE49-F238E27FC236}">
              <a16:creationId xmlns:a16="http://schemas.microsoft.com/office/drawing/2014/main" id="{21E64C6D-82F0-432F-A91B-6935BA4220F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6" name="Line 12">
          <a:extLst>
            <a:ext uri="{FF2B5EF4-FFF2-40B4-BE49-F238E27FC236}">
              <a16:creationId xmlns:a16="http://schemas.microsoft.com/office/drawing/2014/main" id="{8D12931E-8BAA-4476-A8F0-58E5D033344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7" name="Line 13">
          <a:extLst>
            <a:ext uri="{FF2B5EF4-FFF2-40B4-BE49-F238E27FC236}">
              <a16:creationId xmlns:a16="http://schemas.microsoft.com/office/drawing/2014/main" id="{6CB9D123-DA6E-4900-89FF-8CC399794B9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8" name="Line 14">
          <a:extLst>
            <a:ext uri="{FF2B5EF4-FFF2-40B4-BE49-F238E27FC236}">
              <a16:creationId xmlns:a16="http://schemas.microsoft.com/office/drawing/2014/main" id="{C2497A67-4DCF-42E7-80C9-4A071E0C740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9" name="Line 15">
          <a:extLst>
            <a:ext uri="{FF2B5EF4-FFF2-40B4-BE49-F238E27FC236}">
              <a16:creationId xmlns:a16="http://schemas.microsoft.com/office/drawing/2014/main" id="{E5B2C8CC-B9FF-4C4B-B4E4-5EB011039C4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0" name="Line 16">
          <a:extLst>
            <a:ext uri="{FF2B5EF4-FFF2-40B4-BE49-F238E27FC236}">
              <a16:creationId xmlns:a16="http://schemas.microsoft.com/office/drawing/2014/main" id="{87B1AA0E-3FCB-4732-BD9B-CD69246E1FD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1" name="Line 17">
          <a:extLst>
            <a:ext uri="{FF2B5EF4-FFF2-40B4-BE49-F238E27FC236}">
              <a16:creationId xmlns:a16="http://schemas.microsoft.com/office/drawing/2014/main" id="{D61C67D3-E8B7-40DC-B676-4CE75A37F1D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2" name="Line 18">
          <a:extLst>
            <a:ext uri="{FF2B5EF4-FFF2-40B4-BE49-F238E27FC236}">
              <a16:creationId xmlns:a16="http://schemas.microsoft.com/office/drawing/2014/main" id="{A723D276-257F-4988-9701-E62B02A9C1B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3" name="Line 19">
          <a:extLst>
            <a:ext uri="{FF2B5EF4-FFF2-40B4-BE49-F238E27FC236}">
              <a16:creationId xmlns:a16="http://schemas.microsoft.com/office/drawing/2014/main" id="{9C41CAEC-BA96-481E-BE28-219DEBEC1E4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4" name="Line 20">
          <a:extLst>
            <a:ext uri="{FF2B5EF4-FFF2-40B4-BE49-F238E27FC236}">
              <a16:creationId xmlns:a16="http://schemas.microsoft.com/office/drawing/2014/main" id="{07D5A321-1682-45CB-803B-ECA5E68E9CC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5" name="Line 21">
          <a:extLst>
            <a:ext uri="{FF2B5EF4-FFF2-40B4-BE49-F238E27FC236}">
              <a16:creationId xmlns:a16="http://schemas.microsoft.com/office/drawing/2014/main" id="{F4E5CBAA-615C-4EE3-B008-6DD528F5E56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6" name="Line 22">
          <a:extLst>
            <a:ext uri="{FF2B5EF4-FFF2-40B4-BE49-F238E27FC236}">
              <a16:creationId xmlns:a16="http://schemas.microsoft.com/office/drawing/2014/main" id="{19B320B5-5099-43AD-86F0-703E7A7A100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7" name="Line 23">
          <a:extLst>
            <a:ext uri="{FF2B5EF4-FFF2-40B4-BE49-F238E27FC236}">
              <a16:creationId xmlns:a16="http://schemas.microsoft.com/office/drawing/2014/main" id="{96FF383E-4936-4A0B-8BEB-45050415776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8" name="Line 24">
          <a:extLst>
            <a:ext uri="{FF2B5EF4-FFF2-40B4-BE49-F238E27FC236}">
              <a16:creationId xmlns:a16="http://schemas.microsoft.com/office/drawing/2014/main" id="{58A388D3-05A8-48B4-8B58-7F391F0466C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9" name="Line 25">
          <a:extLst>
            <a:ext uri="{FF2B5EF4-FFF2-40B4-BE49-F238E27FC236}">
              <a16:creationId xmlns:a16="http://schemas.microsoft.com/office/drawing/2014/main" id="{A7BBF2F7-CB6F-49C7-98A4-03209394617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0" name="Line 26">
          <a:extLst>
            <a:ext uri="{FF2B5EF4-FFF2-40B4-BE49-F238E27FC236}">
              <a16:creationId xmlns:a16="http://schemas.microsoft.com/office/drawing/2014/main" id="{23D893F9-02BD-428C-9A74-DF1FD8B8EA5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1" name="Line 27">
          <a:extLst>
            <a:ext uri="{FF2B5EF4-FFF2-40B4-BE49-F238E27FC236}">
              <a16:creationId xmlns:a16="http://schemas.microsoft.com/office/drawing/2014/main" id="{43BDB5E2-F9FA-4939-8EDB-B9DE15BB63C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2" name="Line 28">
          <a:extLst>
            <a:ext uri="{FF2B5EF4-FFF2-40B4-BE49-F238E27FC236}">
              <a16:creationId xmlns:a16="http://schemas.microsoft.com/office/drawing/2014/main" id="{AE50810C-6FBD-421B-A7C5-9402DC5A200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3" name="Line 29">
          <a:extLst>
            <a:ext uri="{FF2B5EF4-FFF2-40B4-BE49-F238E27FC236}">
              <a16:creationId xmlns:a16="http://schemas.microsoft.com/office/drawing/2014/main" id="{53F48D27-B69A-48D5-9C85-B86FFAC067E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4" name="Line 30">
          <a:extLst>
            <a:ext uri="{FF2B5EF4-FFF2-40B4-BE49-F238E27FC236}">
              <a16:creationId xmlns:a16="http://schemas.microsoft.com/office/drawing/2014/main" id="{70C50523-8E40-41FE-BFA0-ABC7EEF53D2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5" name="Line 31">
          <a:extLst>
            <a:ext uri="{FF2B5EF4-FFF2-40B4-BE49-F238E27FC236}">
              <a16:creationId xmlns:a16="http://schemas.microsoft.com/office/drawing/2014/main" id="{505976E5-46DB-432E-9412-4EBFB6A0103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6" name="Line 32">
          <a:extLst>
            <a:ext uri="{FF2B5EF4-FFF2-40B4-BE49-F238E27FC236}">
              <a16:creationId xmlns:a16="http://schemas.microsoft.com/office/drawing/2014/main" id="{7EC01C2C-B493-4C95-9DDE-18FC85841DD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7" name="Line 33">
          <a:extLst>
            <a:ext uri="{FF2B5EF4-FFF2-40B4-BE49-F238E27FC236}">
              <a16:creationId xmlns:a16="http://schemas.microsoft.com/office/drawing/2014/main" id="{6DEB6C8B-7824-4E4E-92C4-E1DA7A3F4B0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8" name="Line 34">
          <a:extLst>
            <a:ext uri="{FF2B5EF4-FFF2-40B4-BE49-F238E27FC236}">
              <a16:creationId xmlns:a16="http://schemas.microsoft.com/office/drawing/2014/main" id="{9BB85B49-0DD4-43AB-8BE2-23A8F7EE9CC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9" name="Line 35">
          <a:extLst>
            <a:ext uri="{FF2B5EF4-FFF2-40B4-BE49-F238E27FC236}">
              <a16:creationId xmlns:a16="http://schemas.microsoft.com/office/drawing/2014/main" id="{3B100858-C38E-4B28-985E-71D9E137351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0" name="Line 36">
          <a:extLst>
            <a:ext uri="{FF2B5EF4-FFF2-40B4-BE49-F238E27FC236}">
              <a16:creationId xmlns:a16="http://schemas.microsoft.com/office/drawing/2014/main" id="{AC30F519-9ED7-46B7-A387-04BFA117999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1" name="Line 37">
          <a:extLst>
            <a:ext uri="{FF2B5EF4-FFF2-40B4-BE49-F238E27FC236}">
              <a16:creationId xmlns:a16="http://schemas.microsoft.com/office/drawing/2014/main" id="{5E898300-79F4-49EB-BA43-3E44FA13FF1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2" name="Line 38">
          <a:extLst>
            <a:ext uri="{FF2B5EF4-FFF2-40B4-BE49-F238E27FC236}">
              <a16:creationId xmlns:a16="http://schemas.microsoft.com/office/drawing/2014/main" id="{2B8BAD7C-BAB9-42B8-B81E-1BB36B3D459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3" name="Line 39">
          <a:extLst>
            <a:ext uri="{FF2B5EF4-FFF2-40B4-BE49-F238E27FC236}">
              <a16:creationId xmlns:a16="http://schemas.microsoft.com/office/drawing/2014/main" id="{F041E76E-013C-49F4-ACAD-11AC2FF3DC5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4" name="Line 40">
          <a:extLst>
            <a:ext uri="{FF2B5EF4-FFF2-40B4-BE49-F238E27FC236}">
              <a16:creationId xmlns:a16="http://schemas.microsoft.com/office/drawing/2014/main" id="{CE693A5B-3FFA-43A9-964C-CEA6B45990E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5" name="Line 41">
          <a:extLst>
            <a:ext uri="{FF2B5EF4-FFF2-40B4-BE49-F238E27FC236}">
              <a16:creationId xmlns:a16="http://schemas.microsoft.com/office/drawing/2014/main" id="{26429F3F-D7D8-47CB-A08B-7427C4F80EF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6" name="Line 42">
          <a:extLst>
            <a:ext uri="{FF2B5EF4-FFF2-40B4-BE49-F238E27FC236}">
              <a16:creationId xmlns:a16="http://schemas.microsoft.com/office/drawing/2014/main" id="{F3674DCD-F922-4495-B204-F26E10F3E34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7" name="Line 43">
          <a:extLst>
            <a:ext uri="{FF2B5EF4-FFF2-40B4-BE49-F238E27FC236}">
              <a16:creationId xmlns:a16="http://schemas.microsoft.com/office/drawing/2014/main" id="{1876CC78-F00B-4FD1-9680-B042D6986DF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8" name="Line 44">
          <a:extLst>
            <a:ext uri="{FF2B5EF4-FFF2-40B4-BE49-F238E27FC236}">
              <a16:creationId xmlns:a16="http://schemas.microsoft.com/office/drawing/2014/main" id="{2199DB04-B9A3-41CF-BF03-AA006E5F893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9" name="Line 45">
          <a:extLst>
            <a:ext uri="{FF2B5EF4-FFF2-40B4-BE49-F238E27FC236}">
              <a16:creationId xmlns:a16="http://schemas.microsoft.com/office/drawing/2014/main" id="{DAB9574F-33FD-4830-9435-11BB1528647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0" name="Line 46">
          <a:extLst>
            <a:ext uri="{FF2B5EF4-FFF2-40B4-BE49-F238E27FC236}">
              <a16:creationId xmlns:a16="http://schemas.microsoft.com/office/drawing/2014/main" id="{52431EC6-22AF-47FC-9F0B-429E8F20205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1" name="Line 47">
          <a:extLst>
            <a:ext uri="{FF2B5EF4-FFF2-40B4-BE49-F238E27FC236}">
              <a16:creationId xmlns:a16="http://schemas.microsoft.com/office/drawing/2014/main" id="{287AAAF8-F1AD-4D8B-A2C3-46511387E65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2" name="Line 48">
          <a:extLst>
            <a:ext uri="{FF2B5EF4-FFF2-40B4-BE49-F238E27FC236}">
              <a16:creationId xmlns:a16="http://schemas.microsoft.com/office/drawing/2014/main" id="{525D9677-7F2E-46C7-BB15-329CF791B08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3" name="Line 49">
          <a:extLst>
            <a:ext uri="{FF2B5EF4-FFF2-40B4-BE49-F238E27FC236}">
              <a16:creationId xmlns:a16="http://schemas.microsoft.com/office/drawing/2014/main" id="{E7FFF3C5-70E7-43B4-A6B2-3A86592D595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4" name="Line 50">
          <a:extLst>
            <a:ext uri="{FF2B5EF4-FFF2-40B4-BE49-F238E27FC236}">
              <a16:creationId xmlns:a16="http://schemas.microsoft.com/office/drawing/2014/main" id="{D7191175-8D6F-4FDA-B31D-0BBF0990A60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5" name="Line 1">
          <a:extLst>
            <a:ext uri="{FF2B5EF4-FFF2-40B4-BE49-F238E27FC236}">
              <a16:creationId xmlns:a16="http://schemas.microsoft.com/office/drawing/2014/main" id="{DF772C3D-0335-4135-A3A3-1E7AE7E6272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6" name="Line 2">
          <a:extLst>
            <a:ext uri="{FF2B5EF4-FFF2-40B4-BE49-F238E27FC236}">
              <a16:creationId xmlns:a16="http://schemas.microsoft.com/office/drawing/2014/main" id="{39013264-31D7-4951-8F08-80F8CEFF6C5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7" name="Line 5">
          <a:extLst>
            <a:ext uri="{FF2B5EF4-FFF2-40B4-BE49-F238E27FC236}">
              <a16:creationId xmlns:a16="http://schemas.microsoft.com/office/drawing/2014/main" id="{96357743-0B7E-420F-9C51-41043BB9C05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8" name="Line 6">
          <a:extLst>
            <a:ext uri="{FF2B5EF4-FFF2-40B4-BE49-F238E27FC236}">
              <a16:creationId xmlns:a16="http://schemas.microsoft.com/office/drawing/2014/main" id="{6AB17840-3012-4302-BAE0-B0E3DDEB83E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9" name="Line 7">
          <a:extLst>
            <a:ext uri="{FF2B5EF4-FFF2-40B4-BE49-F238E27FC236}">
              <a16:creationId xmlns:a16="http://schemas.microsoft.com/office/drawing/2014/main" id="{168DB7C9-44F4-4108-85F1-A314BA927D3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0" name="Line 8">
          <a:extLst>
            <a:ext uri="{FF2B5EF4-FFF2-40B4-BE49-F238E27FC236}">
              <a16:creationId xmlns:a16="http://schemas.microsoft.com/office/drawing/2014/main" id="{C6FD29F9-D721-42E9-9CB3-614F83118A3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1" name="Line 9">
          <a:extLst>
            <a:ext uri="{FF2B5EF4-FFF2-40B4-BE49-F238E27FC236}">
              <a16:creationId xmlns:a16="http://schemas.microsoft.com/office/drawing/2014/main" id="{5146AB81-B0F1-47BE-9ED3-588C70A37C3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2" name="Line 10">
          <a:extLst>
            <a:ext uri="{FF2B5EF4-FFF2-40B4-BE49-F238E27FC236}">
              <a16:creationId xmlns:a16="http://schemas.microsoft.com/office/drawing/2014/main" id="{CF885138-E1C4-490A-8635-7CF06E12483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3" name="Line 11">
          <a:extLst>
            <a:ext uri="{FF2B5EF4-FFF2-40B4-BE49-F238E27FC236}">
              <a16:creationId xmlns:a16="http://schemas.microsoft.com/office/drawing/2014/main" id="{36023C90-AB8A-44A8-9CB4-CEC774D51F6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4" name="Line 12">
          <a:extLst>
            <a:ext uri="{FF2B5EF4-FFF2-40B4-BE49-F238E27FC236}">
              <a16:creationId xmlns:a16="http://schemas.microsoft.com/office/drawing/2014/main" id="{548CC310-6E23-4C5C-A9C5-3A2DD21B5C7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5" name="Line 13">
          <a:extLst>
            <a:ext uri="{FF2B5EF4-FFF2-40B4-BE49-F238E27FC236}">
              <a16:creationId xmlns:a16="http://schemas.microsoft.com/office/drawing/2014/main" id="{86F442ED-91F0-415C-8CD9-621ADC9D85A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6" name="Line 14">
          <a:extLst>
            <a:ext uri="{FF2B5EF4-FFF2-40B4-BE49-F238E27FC236}">
              <a16:creationId xmlns:a16="http://schemas.microsoft.com/office/drawing/2014/main" id="{74110F8B-00C5-4753-9C5B-21A69F9B5FB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7" name="Line 15">
          <a:extLst>
            <a:ext uri="{FF2B5EF4-FFF2-40B4-BE49-F238E27FC236}">
              <a16:creationId xmlns:a16="http://schemas.microsoft.com/office/drawing/2014/main" id="{5539F380-68D7-455C-9CB3-16ECC8B891D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8" name="Line 16">
          <a:extLst>
            <a:ext uri="{FF2B5EF4-FFF2-40B4-BE49-F238E27FC236}">
              <a16:creationId xmlns:a16="http://schemas.microsoft.com/office/drawing/2014/main" id="{01FBFC93-0F2C-4AC0-B1B9-1F5627BC6F4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9" name="Line 17">
          <a:extLst>
            <a:ext uri="{FF2B5EF4-FFF2-40B4-BE49-F238E27FC236}">
              <a16:creationId xmlns:a16="http://schemas.microsoft.com/office/drawing/2014/main" id="{C7F6EE54-B09A-41B3-886E-C33D51D7346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0" name="Line 18">
          <a:extLst>
            <a:ext uri="{FF2B5EF4-FFF2-40B4-BE49-F238E27FC236}">
              <a16:creationId xmlns:a16="http://schemas.microsoft.com/office/drawing/2014/main" id="{4856C09C-05B7-46AA-AD37-FBAD187C329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1" name="Line 19">
          <a:extLst>
            <a:ext uri="{FF2B5EF4-FFF2-40B4-BE49-F238E27FC236}">
              <a16:creationId xmlns:a16="http://schemas.microsoft.com/office/drawing/2014/main" id="{1FF97E44-99BD-487D-8D3E-A1D22ED77D0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2" name="Line 20">
          <a:extLst>
            <a:ext uri="{FF2B5EF4-FFF2-40B4-BE49-F238E27FC236}">
              <a16:creationId xmlns:a16="http://schemas.microsoft.com/office/drawing/2014/main" id="{AB02D77E-9487-4E82-9F09-A4EC8524D24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3" name="Line 21">
          <a:extLst>
            <a:ext uri="{FF2B5EF4-FFF2-40B4-BE49-F238E27FC236}">
              <a16:creationId xmlns:a16="http://schemas.microsoft.com/office/drawing/2014/main" id="{E5E87D2E-01B2-4CDA-B430-7CF72C56DBD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4" name="Line 22">
          <a:extLst>
            <a:ext uri="{FF2B5EF4-FFF2-40B4-BE49-F238E27FC236}">
              <a16:creationId xmlns:a16="http://schemas.microsoft.com/office/drawing/2014/main" id="{989FEBEE-C93F-4ECF-B058-B55B3468D00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5" name="Line 23">
          <a:extLst>
            <a:ext uri="{FF2B5EF4-FFF2-40B4-BE49-F238E27FC236}">
              <a16:creationId xmlns:a16="http://schemas.microsoft.com/office/drawing/2014/main" id="{7F62E7E9-FA2D-489B-BB6C-6AD2ACDBADE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6" name="Line 24">
          <a:extLst>
            <a:ext uri="{FF2B5EF4-FFF2-40B4-BE49-F238E27FC236}">
              <a16:creationId xmlns:a16="http://schemas.microsoft.com/office/drawing/2014/main" id="{C3FF4DA1-48F1-44A6-9E13-8D4EC700C34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7" name="Line 25">
          <a:extLst>
            <a:ext uri="{FF2B5EF4-FFF2-40B4-BE49-F238E27FC236}">
              <a16:creationId xmlns:a16="http://schemas.microsoft.com/office/drawing/2014/main" id="{21BA193D-D8D1-48D0-A44D-FF00883CF83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8" name="Line 26">
          <a:extLst>
            <a:ext uri="{FF2B5EF4-FFF2-40B4-BE49-F238E27FC236}">
              <a16:creationId xmlns:a16="http://schemas.microsoft.com/office/drawing/2014/main" id="{4B3A7C5E-A02F-49C3-9124-C18A2CB5FD8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9" name="Line 27">
          <a:extLst>
            <a:ext uri="{FF2B5EF4-FFF2-40B4-BE49-F238E27FC236}">
              <a16:creationId xmlns:a16="http://schemas.microsoft.com/office/drawing/2014/main" id="{D86356F8-3B7A-43B0-BF5A-57B50978C44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0" name="Line 28">
          <a:extLst>
            <a:ext uri="{FF2B5EF4-FFF2-40B4-BE49-F238E27FC236}">
              <a16:creationId xmlns:a16="http://schemas.microsoft.com/office/drawing/2014/main" id="{C131A59F-7D18-4B58-B7FD-8B6625127A1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1" name="Line 29">
          <a:extLst>
            <a:ext uri="{FF2B5EF4-FFF2-40B4-BE49-F238E27FC236}">
              <a16:creationId xmlns:a16="http://schemas.microsoft.com/office/drawing/2014/main" id="{5B411678-26A9-491C-9C05-315E580EBA5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2" name="Line 30">
          <a:extLst>
            <a:ext uri="{FF2B5EF4-FFF2-40B4-BE49-F238E27FC236}">
              <a16:creationId xmlns:a16="http://schemas.microsoft.com/office/drawing/2014/main" id="{8AD7CC9E-7C65-4C33-9F40-8B4FCE89987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3" name="Line 31">
          <a:extLst>
            <a:ext uri="{FF2B5EF4-FFF2-40B4-BE49-F238E27FC236}">
              <a16:creationId xmlns:a16="http://schemas.microsoft.com/office/drawing/2014/main" id="{CA601F8F-FA93-482F-8D42-1D520CC4D60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4" name="Line 32">
          <a:extLst>
            <a:ext uri="{FF2B5EF4-FFF2-40B4-BE49-F238E27FC236}">
              <a16:creationId xmlns:a16="http://schemas.microsoft.com/office/drawing/2014/main" id="{DE7E8FA6-6293-4991-8800-900B68E06C0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5" name="Line 33">
          <a:extLst>
            <a:ext uri="{FF2B5EF4-FFF2-40B4-BE49-F238E27FC236}">
              <a16:creationId xmlns:a16="http://schemas.microsoft.com/office/drawing/2014/main" id="{2E37082C-ACC5-4E74-8676-63E8C945C55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6" name="Line 34">
          <a:extLst>
            <a:ext uri="{FF2B5EF4-FFF2-40B4-BE49-F238E27FC236}">
              <a16:creationId xmlns:a16="http://schemas.microsoft.com/office/drawing/2014/main" id="{5C27F071-20A6-44FD-B271-D5F134CFBB7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7" name="Line 35">
          <a:extLst>
            <a:ext uri="{FF2B5EF4-FFF2-40B4-BE49-F238E27FC236}">
              <a16:creationId xmlns:a16="http://schemas.microsoft.com/office/drawing/2014/main" id="{1DFAE809-A6B3-4692-B129-68B7AE52699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8" name="Line 36">
          <a:extLst>
            <a:ext uri="{FF2B5EF4-FFF2-40B4-BE49-F238E27FC236}">
              <a16:creationId xmlns:a16="http://schemas.microsoft.com/office/drawing/2014/main" id="{65F97275-A307-4175-AE43-AFE9744A435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9" name="Line 37">
          <a:extLst>
            <a:ext uri="{FF2B5EF4-FFF2-40B4-BE49-F238E27FC236}">
              <a16:creationId xmlns:a16="http://schemas.microsoft.com/office/drawing/2014/main" id="{E5B0084C-01A7-43E0-BBD9-BE428B2D68B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0" name="Line 38">
          <a:extLst>
            <a:ext uri="{FF2B5EF4-FFF2-40B4-BE49-F238E27FC236}">
              <a16:creationId xmlns:a16="http://schemas.microsoft.com/office/drawing/2014/main" id="{4BDD042F-79A8-4F53-9E10-11CA465DAE0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1" name="Line 39">
          <a:extLst>
            <a:ext uri="{FF2B5EF4-FFF2-40B4-BE49-F238E27FC236}">
              <a16:creationId xmlns:a16="http://schemas.microsoft.com/office/drawing/2014/main" id="{55E46476-7040-4D76-BC96-AECADE61995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2" name="Line 40">
          <a:extLst>
            <a:ext uri="{FF2B5EF4-FFF2-40B4-BE49-F238E27FC236}">
              <a16:creationId xmlns:a16="http://schemas.microsoft.com/office/drawing/2014/main" id="{CC59282B-6535-433C-AAD5-2980B74D2A1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3" name="Line 41">
          <a:extLst>
            <a:ext uri="{FF2B5EF4-FFF2-40B4-BE49-F238E27FC236}">
              <a16:creationId xmlns:a16="http://schemas.microsoft.com/office/drawing/2014/main" id="{38D33AB1-38DC-4C75-B06B-A106640B979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4" name="Line 42">
          <a:extLst>
            <a:ext uri="{FF2B5EF4-FFF2-40B4-BE49-F238E27FC236}">
              <a16:creationId xmlns:a16="http://schemas.microsoft.com/office/drawing/2014/main" id="{6B184364-4D6A-404F-9ABD-317B6889D4D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5" name="Line 43">
          <a:extLst>
            <a:ext uri="{FF2B5EF4-FFF2-40B4-BE49-F238E27FC236}">
              <a16:creationId xmlns:a16="http://schemas.microsoft.com/office/drawing/2014/main" id="{B9B351E2-27E7-45F1-815B-F735A43A159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6" name="Line 44">
          <a:extLst>
            <a:ext uri="{FF2B5EF4-FFF2-40B4-BE49-F238E27FC236}">
              <a16:creationId xmlns:a16="http://schemas.microsoft.com/office/drawing/2014/main" id="{4D1CC7C7-20FB-4106-A1C6-220388503C2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7" name="Line 45">
          <a:extLst>
            <a:ext uri="{FF2B5EF4-FFF2-40B4-BE49-F238E27FC236}">
              <a16:creationId xmlns:a16="http://schemas.microsoft.com/office/drawing/2014/main" id="{DC03ED9C-C5DF-4AF3-BCB8-64245C42C2F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8" name="Line 46">
          <a:extLst>
            <a:ext uri="{FF2B5EF4-FFF2-40B4-BE49-F238E27FC236}">
              <a16:creationId xmlns:a16="http://schemas.microsoft.com/office/drawing/2014/main" id="{5E457068-B3A9-4611-873D-FAA235143B4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9" name="Line 47">
          <a:extLst>
            <a:ext uri="{FF2B5EF4-FFF2-40B4-BE49-F238E27FC236}">
              <a16:creationId xmlns:a16="http://schemas.microsoft.com/office/drawing/2014/main" id="{678FB564-0EB4-456E-A065-0CEAAF4B047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0" name="Line 48">
          <a:extLst>
            <a:ext uri="{FF2B5EF4-FFF2-40B4-BE49-F238E27FC236}">
              <a16:creationId xmlns:a16="http://schemas.microsoft.com/office/drawing/2014/main" id="{29526019-E6FE-478E-9E57-670FA046787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1" name="Line 49">
          <a:extLst>
            <a:ext uri="{FF2B5EF4-FFF2-40B4-BE49-F238E27FC236}">
              <a16:creationId xmlns:a16="http://schemas.microsoft.com/office/drawing/2014/main" id="{3C3BEA59-B3B6-4385-91F1-8DF0B3189BE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2" name="Line 50">
          <a:extLst>
            <a:ext uri="{FF2B5EF4-FFF2-40B4-BE49-F238E27FC236}">
              <a16:creationId xmlns:a16="http://schemas.microsoft.com/office/drawing/2014/main" id="{70F9D0AC-010C-4CB4-A70D-E7E8EEBC921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3" name="Line 1">
          <a:extLst>
            <a:ext uri="{FF2B5EF4-FFF2-40B4-BE49-F238E27FC236}">
              <a16:creationId xmlns:a16="http://schemas.microsoft.com/office/drawing/2014/main" id="{E7945938-A370-4B28-87C2-6A5FECB1F09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4" name="Line 2">
          <a:extLst>
            <a:ext uri="{FF2B5EF4-FFF2-40B4-BE49-F238E27FC236}">
              <a16:creationId xmlns:a16="http://schemas.microsoft.com/office/drawing/2014/main" id="{052AFB3E-1D5A-43F7-BAA7-E29C1AF03CA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5" name="Line 5">
          <a:extLst>
            <a:ext uri="{FF2B5EF4-FFF2-40B4-BE49-F238E27FC236}">
              <a16:creationId xmlns:a16="http://schemas.microsoft.com/office/drawing/2014/main" id="{F4326736-CF62-4FB6-8466-78EC11A1E4D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6" name="Line 6">
          <a:extLst>
            <a:ext uri="{FF2B5EF4-FFF2-40B4-BE49-F238E27FC236}">
              <a16:creationId xmlns:a16="http://schemas.microsoft.com/office/drawing/2014/main" id="{6CF12445-0415-4BDD-BB49-76B04458A3B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7" name="Line 7">
          <a:extLst>
            <a:ext uri="{FF2B5EF4-FFF2-40B4-BE49-F238E27FC236}">
              <a16:creationId xmlns:a16="http://schemas.microsoft.com/office/drawing/2014/main" id="{909F91B7-DF07-4D78-BC84-637B3E20BF0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8" name="Line 8">
          <a:extLst>
            <a:ext uri="{FF2B5EF4-FFF2-40B4-BE49-F238E27FC236}">
              <a16:creationId xmlns:a16="http://schemas.microsoft.com/office/drawing/2014/main" id="{2C229B72-4C41-41DF-9705-B3E74C3E17C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9" name="Line 9">
          <a:extLst>
            <a:ext uri="{FF2B5EF4-FFF2-40B4-BE49-F238E27FC236}">
              <a16:creationId xmlns:a16="http://schemas.microsoft.com/office/drawing/2014/main" id="{79A2ED10-A3FD-4BE4-8F54-CD4279712C9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0" name="Line 10">
          <a:extLst>
            <a:ext uri="{FF2B5EF4-FFF2-40B4-BE49-F238E27FC236}">
              <a16:creationId xmlns:a16="http://schemas.microsoft.com/office/drawing/2014/main" id="{6B172C0B-0B33-46CA-842C-60221360EF2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1" name="Line 11">
          <a:extLst>
            <a:ext uri="{FF2B5EF4-FFF2-40B4-BE49-F238E27FC236}">
              <a16:creationId xmlns:a16="http://schemas.microsoft.com/office/drawing/2014/main" id="{32BC5B55-9C86-4816-B24C-1B3AA60A89E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2" name="Line 12">
          <a:extLst>
            <a:ext uri="{FF2B5EF4-FFF2-40B4-BE49-F238E27FC236}">
              <a16:creationId xmlns:a16="http://schemas.microsoft.com/office/drawing/2014/main" id="{4DABA46E-130D-4BF7-9C82-460CE4BAF2B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3" name="Line 13">
          <a:extLst>
            <a:ext uri="{FF2B5EF4-FFF2-40B4-BE49-F238E27FC236}">
              <a16:creationId xmlns:a16="http://schemas.microsoft.com/office/drawing/2014/main" id="{09A00BB2-1615-4AD2-A8E3-98CAB8489D0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4" name="Line 14">
          <a:extLst>
            <a:ext uri="{FF2B5EF4-FFF2-40B4-BE49-F238E27FC236}">
              <a16:creationId xmlns:a16="http://schemas.microsoft.com/office/drawing/2014/main" id="{CDA93017-133E-4048-BDF3-150B8A5A6F6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5" name="Line 15">
          <a:extLst>
            <a:ext uri="{FF2B5EF4-FFF2-40B4-BE49-F238E27FC236}">
              <a16:creationId xmlns:a16="http://schemas.microsoft.com/office/drawing/2014/main" id="{4C937C76-5E7B-4F74-B1D3-9DA98D9824C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6" name="Line 16">
          <a:extLst>
            <a:ext uri="{FF2B5EF4-FFF2-40B4-BE49-F238E27FC236}">
              <a16:creationId xmlns:a16="http://schemas.microsoft.com/office/drawing/2014/main" id="{E376CE54-E56D-4B08-AFD4-613EAE5BD21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7" name="Line 17">
          <a:extLst>
            <a:ext uri="{FF2B5EF4-FFF2-40B4-BE49-F238E27FC236}">
              <a16:creationId xmlns:a16="http://schemas.microsoft.com/office/drawing/2014/main" id="{2CDE8001-403E-4302-BD24-42AE36E0AF2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8" name="Line 18">
          <a:extLst>
            <a:ext uri="{FF2B5EF4-FFF2-40B4-BE49-F238E27FC236}">
              <a16:creationId xmlns:a16="http://schemas.microsoft.com/office/drawing/2014/main" id="{6D9DB4AE-6E6A-4E94-BCAB-CCC70B56C95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9" name="Line 19">
          <a:extLst>
            <a:ext uri="{FF2B5EF4-FFF2-40B4-BE49-F238E27FC236}">
              <a16:creationId xmlns:a16="http://schemas.microsoft.com/office/drawing/2014/main" id="{30DA15A5-48F5-4A2F-B9A5-8436F38A007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0" name="Line 20">
          <a:extLst>
            <a:ext uri="{FF2B5EF4-FFF2-40B4-BE49-F238E27FC236}">
              <a16:creationId xmlns:a16="http://schemas.microsoft.com/office/drawing/2014/main" id="{0C29EF30-3CBD-40FF-A0B2-775973454C8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1" name="Line 21">
          <a:extLst>
            <a:ext uri="{FF2B5EF4-FFF2-40B4-BE49-F238E27FC236}">
              <a16:creationId xmlns:a16="http://schemas.microsoft.com/office/drawing/2014/main" id="{AD5CDD39-0347-4BD2-A10C-50C97D2F913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2" name="Line 22">
          <a:extLst>
            <a:ext uri="{FF2B5EF4-FFF2-40B4-BE49-F238E27FC236}">
              <a16:creationId xmlns:a16="http://schemas.microsoft.com/office/drawing/2014/main" id="{58A2A656-B8C8-41C9-A3CC-6E22A695F4A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3" name="Line 23">
          <a:extLst>
            <a:ext uri="{FF2B5EF4-FFF2-40B4-BE49-F238E27FC236}">
              <a16:creationId xmlns:a16="http://schemas.microsoft.com/office/drawing/2014/main" id="{1DC54041-9070-42D7-A01B-AB80782D865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4" name="Line 24">
          <a:extLst>
            <a:ext uri="{FF2B5EF4-FFF2-40B4-BE49-F238E27FC236}">
              <a16:creationId xmlns:a16="http://schemas.microsoft.com/office/drawing/2014/main" id="{86651243-4D9B-4ED7-9171-9A3625A2329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5" name="Line 25">
          <a:extLst>
            <a:ext uri="{FF2B5EF4-FFF2-40B4-BE49-F238E27FC236}">
              <a16:creationId xmlns:a16="http://schemas.microsoft.com/office/drawing/2014/main" id="{FBB997B3-78DD-411A-AA98-D5084FF2CFE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6" name="Line 26">
          <a:extLst>
            <a:ext uri="{FF2B5EF4-FFF2-40B4-BE49-F238E27FC236}">
              <a16:creationId xmlns:a16="http://schemas.microsoft.com/office/drawing/2014/main" id="{2131801E-DE6E-46F1-BA37-A9F455AC4BA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7" name="Line 27">
          <a:extLst>
            <a:ext uri="{FF2B5EF4-FFF2-40B4-BE49-F238E27FC236}">
              <a16:creationId xmlns:a16="http://schemas.microsoft.com/office/drawing/2014/main" id="{5230B5AD-CB5A-482C-ABBF-783E75FD3D8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8" name="Line 28">
          <a:extLst>
            <a:ext uri="{FF2B5EF4-FFF2-40B4-BE49-F238E27FC236}">
              <a16:creationId xmlns:a16="http://schemas.microsoft.com/office/drawing/2014/main" id="{928532DD-65E0-4352-A572-1A86171AE70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9" name="Line 29">
          <a:extLst>
            <a:ext uri="{FF2B5EF4-FFF2-40B4-BE49-F238E27FC236}">
              <a16:creationId xmlns:a16="http://schemas.microsoft.com/office/drawing/2014/main" id="{CEC81039-FF3C-463C-9989-19A05E77C06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0" name="Line 30">
          <a:extLst>
            <a:ext uri="{FF2B5EF4-FFF2-40B4-BE49-F238E27FC236}">
              <a16:creationId xmlns:a16="http://schemas.microsoft.com/office/drawing/2014/main" id="{C561FC88-465B-4276-AED8-4326761B6F1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1" name="Line 31">
          <a:extLst>
            <a:ext uri="{FF2B5EF4-FFF2-40B4-BE49-F238E27FC236}">
              <a16:creationId xmlns:a16="http://schemas.microsoft.com/office/drawing/2014/main" id="{05F56637-91C5-45A0-9EB6-88E4C9BD232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2" name="Line 32">
          <a:extLst>
            <a:ext uri="{FF2B5EF4-FFF2-40B4-BE49-F238E27FC236}">
              <a16:creationId xmlns:a16="http://schemas.microsoft.com/office/drawing/2014/main" id="{6832CB2D-A835-41F0-B591-40DF3E45823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3" name="Line 33">
          <a:extLst>
            <a:ext uri="{FF2B5EF4-FFF2-40B4-BE49-F238E27FC236}">
              <a16:creationId xmlns:a16="http://schemas.microsoft.com/office/drawing/2014/main" id="{94335E00-CE3D-4E9F-9B7B-2CE0454D130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4" name="Line 34">
          <a:extLst>
            <a:ext uri="{FF2B5EF4-FFF2-40B4-BE49-F238E27FC236}">
              <a16:creationId xmlns:a16="http://schemas.microsoft.com/office/drawing/2014/main" id="{B41D1CCB-488D-4C8B-ADCE-683D9D19A31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5" name="Line 35">
          <a:extLst>
            <a:ext uri="{FF2B5EF4-FFF2-40B4-BE49-F238E27FC236}">
              <a16:creationId xmlns:a16="http://schemas.microsoft.com/office/drawing/2014/main" id="{7F3DD061-9F9E-4E89-8353-E372B6F5499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6" name="Line 36">
          <a:extLst>
            <a:ext uri="{FF2B5EF4-FFF2-40B4-BE49-F238E27FC236}">
              <a16:creationId xmlns:a16="http://schemas.microsoft.com/office/drawing/2014/main" id="{0C37D644-8D14-4C67-8C0F-E1B03AD1ADD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7" name="Line 37">
          <a:extLst>
            <a:ext uri="{FF2B5EF4-FFF2-40B4-BE49-F238E27FC236}">
              <a16:creationId xmlns:a16="http://schemas.microsoft.com/office/drawing/2014/main" id="{AAED43C6-03FC-4F87-B163-4974F8AAD1B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8" name="Line 38">
          <a:extLst>
            <a:ext uri="{FF2B5EF4-FFF2-40B4-BE49-F238E27FC236}">
              <a16:creationId xmlns:a16="http://schemas.microsoft.com/office/drawing/2014/main" id="{EBC4A95C-AFE6-4373-970B-BC02791161A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9" name="Line 39">
          <a:extLst>
            <a:ext uri="{FF2B5EF4-FFF2-40B4-BE49-F238E27FC236}">
              <a16:creationId xmlns:a16="http://schemas.microsoft.com/office/drawing/2014/main" id="{5948AD2F-E53B-40B5-958B-03877F04A0A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0" name="Line 40">
          <a:extLst>
            <a:ext uri="{FF2B5EF4-FFF2-40B4-BE49-F238E27FC236}">
              <a16:creationId xmlns:a16="http://schemas.microsoft.com/office/drawing/2014/main" id="{EA0ECE72-BB55-483F-B90A-4C32B75F095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1" name="Line 41">
          <a:extLst>
            <a:ext uri="{FF2B5EF4-FFF2-40B4-BE49-F238E27FC236}">
              <a16:creationId xmlns:a16="http://schemas.microsoft.com/office/drawing/2014/main" id="{29168193-8ED9-4AED-8406-7700AB39307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2" name="Line 42">
          <a:extLst>
            <a:ext uri="{FF2B5EF4-FFF2-40B4-BE49-F238E27FC236}">
              <a16:creationId xmlns:a16="http://schemas.microsoft.com/office/drawing/2014/main" id="{A74ABBFC-C397-427D-A870-21B5B3E797A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3" name="Line 43">
          <a:extLst>
            <a:ext uri="{FF2B5EF4-FFF2-40B4-BE49-F238E27FC236}">
              <a16:creationId xmlns:a16="http://schemas.microsoft.com/office/drawing/2014/main" id="{22B20457-5DAF-468E-A8AC-4D6FA84D85F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4" name="Line 44">
          <a:extLst>
            <a:ext uri="{FF2B5EF4-FFF2-40B4-BE49-F238E27FC236}">
              <a16:creationId xmlns:a16="http://schemas.microsoft.com/office/drawing/2014/main" id="{C5BA93E7-9931-483F-B820-2823519876C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5" name="Line 45">
          <a:extLst>
            <a:ext uri="{FF2B5EF4-FFF2-40B4-BE49-F238E27FC236}">
              <a16:creationId xmlns:a16="http://schemas.microsoft.com/office/drawing/2014/main" id="{2F78AC67-8D73-4F2B-9219-D5E58F5D786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6" name="Line 46">
          <a:extLst>
            <a:ext uri="{FF2B5EF4-FFF2-40B4-BE49-F238E27FC236}">
              <a16:creationId xmlns:a16="http://schemas.microsoft.com/office/drawing/2014/main" id="{BB3FF87C-8DF0-4D2B-B648-2198E46BB3F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7" name="Line 47">
          <a:extLst>
            <a:ext uri="{FF2B5EF4-FFF2-40B4-BE49-F238E27FC236}">
              <a16:creationId xmlns:a16="http://schemas.microsoft.com/office/drawing/2014/main" id="{14D3E577-0838-412F-9B88-716E8DC0592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8" name="Line 48">
          <a:extLst>
            <a:ext uri="{FF2B5EF4-FFF2-40B4-BE49-F238E27FC236}">
              <a16:creationId xmlns:a16="http://schemas.microsoft.com/office/drawing/2014/main" id="{329F3827-B56E-47FE-80D0-7BBDD0F93CB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9" name="Line 49">
          <a:extLst>
            <a:ext uri="{FF2B5EF4-FFF2-40B4-BE49-F238E27FC236}">
              <a16:creationId xmlns:a16="http://schemas.microsoft.com/office/drawing/2014/main" id="{CB238DDE-8198-4506-8FC0-DF99A46F2BB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90" name="Line 50">
          <a:extLst>
            <a:ext uri="{FF2B5EF4-FFF2-40B4-BE49-F238E27FC236}">
              <a16:creationId xmlns:a16="http://schemas.microsoft.com/office/drawing/2014/main" id="{D93DD49B-48CC-4D00-AD45-7BCE11EF48B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0</xdr:colOff>
      <xdr:row>5</xdr:row>
      <xdr:rowOff>0</xdr:rowOff>
    </xdr:from>
    <xdr:to>
      <xdr:col>19</xdr:col>
      <xdr:colOff>0</xdr:colOff>
      <xdr:row>5</xdr:row>
      <xdr:rowOff>0</xdr:rowOff>
    </xdr:to>
    <xdr:sp macro="" textlink="">
      <xdr:nvSpPr>
        <xdr:cNvPr id="2" name="Line 1">
          <a:extLst>
            <a:ext uri="{FF2B5EF4-FFF2-40B4-BE49-F238E27FC236}">
              <a16:creationId xmlns:a16="http://schemas.microsoft.com/office/drawing/2014/main" id="{8EF285A3-2AC9-4FAC-B7FB-F54A4D266EE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 name="Line 2">
          <a:extLst>
            <a:ext uri="{FF2B5EF4-FFF2-40B4-BE49-F238E27FC236}">
              <a16:creationId xmlns:a16="http://schemas.microsoft.com/office/drawing/2014/main" id="{21D6DF89-B2A7-4920-9390-7D88BF5C5BB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211</xdr:col>
      <xdr:colOff>0</xdr:colOff>
      <xdr:row>5</xdr:row>
      <xdr:rowOff>0</xdr:rowOff>
    </xdr:from>
    <xdr:to>
      <xdr:col>211</xdr:col>
      <xdr:colOff>0</xdr:colOff>
      <xdr:row>5</xdr:row>
      <xdr:rowOff>0</xdr:rowOff>
    </xdr:to>
    <xdr:sp macro="" textlink="">
      <xdr:nvSpPr>
        <xdr:cNvPr id="4" name="Line 4">
          <a:extLst>
            <a:ext uri="{FF2B5EF4-FFF2-40B4-BE49-F238E27FC236}">
              <a16:creationId xmlns:a16="http://schemas.microsoft.com/office/drawing/2014/main" id="{FC99CCFA-B149-4337-8F53-80D740123342}"/>
            </a:ext>
          </a:extLst>
        </xdr:cNvPr>
        <xdr:cNvSpPr>
          <a:spLocks noChangeShapeType="1"/>
        </xdr:cNvSpPr>
      </xdr:nvSpPr>
      <xdr:spPr bwMode="auto">
        <a:xfrm flipH="1">
          <a:off x="93640275" y="15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 name="Line 5">
          <a:extLst>
            <a:ext uri="{FF2B5EF4-FFF2-40B4-BE49-F238E27FC236}">
              <a16:creationId xmlns:a16="http://schemas.microsoft.com/office/drawing/2014/main" id="{E4979735-5647-4E28-AA67-33BE4ED48F7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6" name="Line 6">
          <a:extLst>
            <a:ext uri="{FF2B5EF4-FFF2-40B4-BE49-F238E27FC236}">
              <a16:creationId xmlns:a16="http://schemas.microsoft.com/office/drawing/2014/main" id="{AA4AD902-1327-461B-B073-52D744503D6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7" name="Line 7">
          <a:extLst>
            <a:ext uri="{FF2B5EF4-FFF2-40B4-BE49-F238E27FC236}">
              <a16:creationId xmlns:a16="http://schemas.microsoft.com/office/drawing/2014/main" id="{74841FEC-82E6-40B9-AF9B-8C2565E4755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8" name="Line 8">
          <a:extLst>
            <a:ext uri="{FF2B5EF4-FFF2-40B4-BE49-F238E27FC236}">
              <a16:creationId xmlns:a16="http://schemas.microsoft.com/office/drawing/2014/main" id="{7F9EBD16-87CE-4264-8183-40E2FF7A5C8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9" name="Line 9">
          <a:extLst>
            <a:ext uri="{FF2B5EF4-FFF2-40B4-BE49-F238E27FC236}">
              <a16:creationId xmlns:a16="http://schemas.microsoft.com/office/drawing/2014/main" id="{6065EA72-8DB8-470D-AD82-7A2348A54E2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0" name="Line 10">
          <a:extLst>
            <a:ext uri="{FF2B5EF4-FFF2-40B4-BE49-F238E27FC236}">
              <a16:creationId xmlns:a16="http://schemas.microsoft.com/office/drawing/2014/main" id="{B58D0300-B300-4C08-A567-21C168C085D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1" name="Line 11">
          <a:extLst>
            <a:ext uri="{FF2B5EF4-FFF2-40B4-BE49-F238E27FC236}">
              <a16:creationId xmlns:a16="http://schemas.microsoft.com/office/drawing/2014/main" id="{FB000B02-F6CD-4075-A1F3-118E13D4A49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2" name="Line 12">
          <a:extLst>
            <a:ext uri="{FF2B5EF4-FFF2-40B4-BE49-F238E27FC236}">
              <a16:creationId xmlns:a16="http://schemas.microsoft.com/office/drawing/2014/main" id="{C2AF3F3B-C951-472A-9C26-263BDE8CD0A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3" name="Line 13">
          <a:extLst>
            <a:ext uri="{FF2B5EF4-FFF2-40B4-BE49-F238E27FC236}">
              <a16:creationId xmlns:a16="http://schemas.microsoft.com/office/drawing/2014/main" id="{3DE84BCA-79B1-4144-A686-A89EE25D822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4" name="Line 14">
          <a:extLst>
            <a:ext uri="{FF2B5EF4-FFF2-40B4-BE49-F238E27FC236}">
              <a16:creationId xmlns:a16="http://schemas.microsoft.com/office/drawing/2014/main" id="{E52A1DA0-3946-445B-92E2-50783F930A2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5" name="Line 15">
          <a:extLst>
            <a:ext uri="{FF2B5EF4-FFF2-40B4-BE49-F238E27FC236}">
              <a16:creationId xmlns:a16="http://schemas.microsoft.com/office/drawing/2014/main" id="{E90CCCE1-01DE-4080-BCA3-86F024322FA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6" name="Line 16">
          <a:extLst>
            <a:ext uri="{FF2B5EF4-FFF2-40B4-BE49-F238E27FC236}">
              <a16:creationId xmlns:a16="http://schemas.microsoft.com/office/drawing/2014/main" id="{72E8DF6B-BC65-4EDE-92BD-A4BAFBECCEA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7" name="Line 17">
          <a:extLst>
            <a:ext uri="{FF2B5EF4-FFF2-40B4-BE49-F238E27FC236}">
              <a16:creationId xmlns:a16="http://schemas.microsoft.com/office/drawing/2014/main" id="{049B4E34-110A-47A7-870F-64363F52419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8" name="Line 18">
          <a:extLst>
            <a:ext uri="{FF2B5EF4-FFF2-40B4-BE49-F238E27FC236}">
              <a16:creationId xmlns:a16="http://schemas.microsoft.com/office/drawing/2014/main" id="{296628A4-37B6-465F-AAE2-F6EDBB73D99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9" name="Line 19">
          <a:extLst>
            <a:ext uri="{FF2B5EF4-FFF2-40B4-BE49-F238E27FC236}">
              <a16:creationId xmlns:a16="http://schemas.microsoft.com/office/drawing/2014/main" id="{4EBB438A-564B-4DB2-8415-6344FEBD4BC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0" name="Line 20">
          <a:extLst>
            <a:ext uri="{FF2B5EF4-FFF2-40B4-BE49-F238E27FC236}">
              <a16:creationId xmlns:a16="http://schemas.microsoft.com/office/drawing/2014/main" id="{AB5461E7-B3BB-4DC7-84ED-620050B89DF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1" name="Line 21">
          <a:extLst>
            <a:ext uri="{FF2B5EF4-FFF2-40B4-BE49-F238E27FC236}">
              <a16:creationId xmlns:a16="http://schemas.microsoft.com/office/drawing/2014/main" id="{12300DE4-025B-4D73-9A8E-9CDF4D5E6EB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2" name="Line 22">
          <a:extLst>
            <a:ext uri="{FF2B5EF4-FFF2-40B4-BE49-F238E27FC236}">
              <a16:creationId xmlns:a16="http://schemas.microsoft.com/office/drawing/2014/main" id="{A48E645C-5F4D-4C7D-B9E0-67E18FA0362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3" name="Line 23">
          <a:extLst>
            <a:ext uri="{FF2B5EF4-FFF2-40B4-BE49-F238E27FC236}">
              <a16:creationId xmlns:a16="http://schemas.microsoft.com/office/drawing/2014/main" id="{9BDA761D-8218-46E0-AAA1-787915F907E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4" name="Line 24">
          <a:extLst>
            <a:ext uri="{FF2B5EF4-FFF2-40B4-BE49-F238E27FC236}">
              <a16:creationId xmlns:a16="http://schemas.microsoft.com/office/drawing/2014/main" id="{7DD85FA3-0A5E-49AE-82F8-B368E783C28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5" name="Line 25">
          <a:extLst>
            <a:ext uri="{FF2B5EF4-FFF2-40B4-BE49-F238E27FC236}">
              <a16:creationId xmlns:a16="http://schemas.microsoft.com/office/drawing/2014/main" id="{8901FA93-76A0-4375-866E-DDB12FF8B95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6" name="Line 26">
          <a:extLst>
            <a:ext uri="{FF2B5EF4-FFF2-40B4-BE49-F238E27FC236}">
              <a16:creationId xmlns:a16="http://schemas.microsoft.com/office/drawing/2014/main" id="{BCB3EB4F-8589-424E-AB53-FAFFD476918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7" name="Line 27">
          <a:extLst>
            <a:ext uri="{FF2B5EF4-FFF2-40B4-BE49-F238E27FC236}">
              <a16:creationId xmlns:a16="http://schemas.microsoft.com/office/drawing/2014/main" id="{7EFF59B5-4E79-4453-9E30-1E8F52F5931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8" name="Line 28">
          <a:extLst>
            <a:ext uri="{FF2B5EF4-FFF2-40B4-BE49-F238E27FC236}">
              <a16:creationId xmlns:a16="http://schemas.microsoft.com/office/drawing/2014/main" id="{271CB00D-7A82-4F83-850E-B7FDE36D279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9" name="Line 29">
          <a:extLst>
            <a:ext uri="{FF2B5EF4-FFF2-40B4-BE49-F238E27FC236}">
              <a16:creationId xmlns:a16="http://schemas.microsoft.com/office/drawing/2014/main" id="{9BBBE9F5-2197-48E6-AFF4-9AFD728B20A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0" name="Line 30">
          <a:extLst>
            <a:ext uri="{FF2B5EF4-FFF2-40B4-BE49-F238E27FC236}">
              <a16:creationId xmlns:a16="http://schemas.microsoft.com/office/drawing/2014/main" id="{524D0B4B-0E47-4161-915A-ECAAD15B28D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1" name="Line 31">
          <a:extLst>
            <a:ext uri="{FF2B5EF4-FFF2-40B4-BE49-F238E27FC236}">
              <a16:creationId xmlns:a16="http://schemas.microsoft.com/office/drawing/2014/main" id="{3F453C8E-7BE0-4347-A5F3-71CF9A28669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2" name="Line 32">
          <a:extLst>
            <a:ext uri="{FF2B5EF4-FFF2-40B4-BE49-F238E27FC236}">
              <a16:creationId xmlns:a16="http://schemas.microsoft.com/office/drawing/2014/main" id="{9FB41EED-6076-4D52-8279-9DBCA161A81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3" name="Line 33">
          <a:extLst>
            <a:ext uri="{FF2B5EF4-FFF2-40B4-BE49-F238E27FC236}">
              <a16:creationId xmlns:a16="http://schemas.microsoft.com/office/drawing/2014/main" id="{5AF575C5-E752-452A-98F2-D0D1FC0D753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4" name="Line 34">
          <a:extLst>
            <a:ext uri="{FF2B5EF4-FFF2-40B4-BE49-F238E27FC236}">
              <a16:creationId xmlns:a16="http://schemas.microsoft.com/office/drawing/2014/main" id="{E79E6275-3643-4E55-9B54-A9FC41FD1DB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5" name="Line 35">
          <a:extLst>
            <a:ext uri="{FF2B5EF4-FFF2-40B4-BE49-F238E27FC236}">
              <a16:creationId xmlns:a16="http://schemas.microsoft.com/office/drawing/2014/main" id="{8CFC89CE-102D-42DC-B2ED-E18E7B4D736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6" name="Line 36">
          <a:extLst>
            <a:ext uri="{FF2B5EF4-FFF2-40B4-BE49-F238E27FC236}">
              <a16:creationId xmlns:a16="http://schemas.microsoft.com/office/drawing/2014/main" id="{EAC0C2EF-3E4A-498B-9E90-E345B386685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7" name="Line 37">
          <a:extLst>
            <a:ext uri="{FF2B5EF4-FFF2-40B4-BE49-F238E27FC236}">
              <a16:creationId xmlns:a16="http://schemas.microsoft.com/office/drawing/2014/main" id="{B69EC7EF-14B8-46CC-8E2E-035A11D24D8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8" name="Line 38">
          <a:extLst>
            <a:ext uri="{FF2B5EF4-FFF2-40B4-BE49-F238E27FC236}">
              <a16:creationId xmlns:a16="http://schemas.microsoft.com/office/drawing/2014/main" id="{ACB0F755-223B-4642-9A3B-C4117972647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9" name="Line 39">
          <a:extLst>
            <a:ext uri="{FF2B5EF4-FFF2-40B4-BE49-F238E27FC236}">
              <a16:creationId xmlns:a16="http://schemas.microsoft.com/office/drawing/2014/main" id="{F03C8329-9CE4-40A0-AE71-2E9FBAB9E67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0" name="Line 40">
          <a:extLst>
            <a:ext uri="{FF2B5EF4-FFF2-40B4-BE49-F238E27FC236}">
              <a16:creationId xmlns:a16="http://schemas.microsoft.com/office/drawing/2014/main" id="{DA2E7CD3-A78D-4ED0-9DA4-CEB7B2B0588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1" name="Line 41">
          <a:extLst>
            <a:ext uri="{FF2B5EF4-FFF2-40B4-BE49-F238E27FC236}">
              <a16:creationId xmlns:a16="http://schemas.microsoft.com/office/drawing/2014/main" id="{4EB9AD87-9F50-4D1E-9506-CBA4CA908E9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2" name="Line 42">
          <a:extLst>
            <a:ext uri="{FF2B5EF4-FFF2-40B4-BE49-F238E27FC236}">
              <a16:creationId xmlns:a16="http://schemas.microsoft.com/office/drawing/2014/main" id="{36B43C3D-879C-474E-821E-4470A57CEA0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3" name="Line 43">
          <a:extLst>
            <a:ext uri="{FF2B5EF4-FFF2-40B4-BE49-F238E27FC236}">
              <a16:creationId xmlns:a16="http://schemas.microsoft.com/office/drawing/2014/main" id="{409DE400-E06F-482C-AC2B-1B218ED81E4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4" name="Line 44">
          <a:extLst>
            <a:ext uri="{FF2B5EF4-FFF2-40B4-BE49-F238E27FC236}">
              <a16:creationId xmlns:a16="http://schemas.microsoft.com/office/drawing/2014/main" id="{06CA8D28-5153-4610-B60F-8954DD90AE8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5" name="Line 45">
          <a:extLst>
            <a:ext uri="{FF2B5EF4-FFF2-40B4-BE49-F238E27FC236}">
              <a16:creationId xmlns:a16="http://schemas.microsoft.com/office/drawing/2014/main" id="{9F484887-EF39-423B-A833-0ED2767F0F7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6" name="Line 46">
          <a:extLst>
            <a:ext uri="{FF2B5EF4-FFF2-40B4-BE49-F238E27FC236}">
              <a16:creationId xmlns:a16="http://schemas.microsoft.com/office/drawing/2014/main" id="{F68F6A3B-E60E-4FF4-AA28-0F5F7A33EAF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7" name="Line 47">
          <a:extLst>
            <a:ext uri="{FF2B5EF4-FFF2-40B4-BE49-F238E27FC236}">
              <a16:creationId xmlns:a16="http://schemas.microsoft.com/office/drawing/2014/main" id="{F21DA2CB-43E8-4712-9812-EC9A78B51BC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8" name="Line 48">
          <a:extLst>
            <a:ext uri="{FF2B5EF4-FFF2-40B4-BE49-F238E27FC236}">
              <a16:creationId xmlns:a16="http://schemas.microsoft.com/office/drawing/2014/main" id="{757383F3-9A12-4630-A9E4-AE72F444E74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9" name="Line 49">
          <a:extLst>
            <a:ext uri="{FF2B5EF4-FFF2-40B4-BE49-F238E27FC236}">
              <a16:creationId xmlns:a16="http://schemas.microsoft.com/office/drawing/2014/main" id="{233BD72E-ED5A-47C2-8976-8A467EC64B0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0" name="Line 50">
          <a:extLst>
            <a:ext uri="{FF2B5EF4-FFF2-40B4-BE49-F238E27FC236}">
              <a16:creationId xmlns:a16="http://schemas.microsoft.com/office/drawing/2014/main" id="{9D9F1EDD-4E49-46CD-818E-EF85408DE65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1" name="Line 1">
          <a:extLst>
            <a:ext uri="{FF2B5EF4-FFF2-40B4-BE49-F238E27FC236}">
              <a16:creationId xmlns:a16="http://schemas.microsoft.com/office/drawing/2014/main" id="{43E6E8B7-4367-4AE6-ACF8-9E238AB3339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2" name="Line 2">
          <a:extLst>
            <a:ext uri="{FF2B5EF4-FFF2-40B4-BE49-F238E27FC236}">
              <a16:creationId xmlns:a16="http://schemas.microsoft.com/office/drawing/2014/main" id="{6E4F87F5-F4D9-492D-957C-5E3555A98E2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3" name="Line 5">
          <a:extLst>
            <a:ext uri="{FF2B5EF4-FFF2-40B4-BE49-F238E27FC236}">
              <a16:creationId xmlns:a16="http://schemas.microsoft.com/office/drawing/2014/main" id="{F6F0E58F-DEDE-4FBE-811B-FA67695467E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4" name="Line 6">
          <a:extLst>
            <a:ext uri="{FF2B5EF4-FFF2-40B4-BE49-F238E27FC236}">
              <a16:creationId xmlns:a16="http://schemas.microsoft.com/office/drawing/2014/main" id="{9950965F-5F96-4D98-8ED9-8E28A35DB9E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5" name="Line 7">
          <a:extLst>
            <a:ext uri="{FF2B5EF4-FFF2-40B4-BE49-F238E27FC236}">
              <a16:creationId xmlns:a16="http://schemas.microsoft.com/office/drawing/2014/main" id="{D87CECA1-262F-4607-86BA-7AE103EDE7E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6" name="Line 8">
          <a:extLst>
            <a:ext uri="{FF2B5EF4-FFF2-40B4-BE49-F238E27FC236}">
              <a16:creationId xmlns:a16="http://schemas.microsoft.com/office/drawing/2014/main" id="{51692682-FB99-4B13-A12D-F5A7AC8AAAE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7" name="Line 9">
          <a:extLst>
            <a:ext uri="{FF2B5EF4-FFF2-40B4-BE49-F238E27FC236}">
              <a16:creationId xmlns:a16="http://schemas.microsoft.com/office/drawing/2014/main" id="{F2B3F61C-BE25-445B-985E-5377EC0BDDE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8" name="Line 10">
          <a:extLst>
            <a:ext uri="{FF2B5EF4-FFF2-40B4-BE49-F238E27FC236}">
              <a16:creationId xmlns:a16="http://schemas.microsoft.com/office/drawing/2014/main" id="{51F84B81-1AC0-40FB-BEE9-E7EEDCA1EF7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9" name="Line 11">
          <a:extLst>
            <a:ext uri="{FF2B5EF4-FFF2-40B4-BE49-F238E27FC236}">
              <a16:creationId xmlns:a16="http://schemas.microsoft.com/office/drawing/2014/main" id="{650631C5-D801-4D64-A1DF-455D2EEA432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0" name="Line 12">
          <a:extLst>
            <a:ext uri="{FF2B5EF4-FFF2-40B4-BE49-F238E27FC236}">
              <a16:creationId xmlns:a16="http://schemas.microsoft.com/office/drawing/2014/main" id="{F6011CA0-8BA6-43BC-9D00-A2DC1F51930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1" name="Line 13">
          <a:extLst>
            <a:ext uri="{FF2B5EF4-FFF2-40B4-BE49-F238E27FC236}">
              <a16:creationId xmlns:a16="http://schemas.microsoft.com/office/drawing/2014/main" id="{60F65BDF-BC32-4405-8707-A3033446A98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2" name="Line 14">
          <a:extLst>
            <a:ext uri="{FF2B5EF4-FFF2-40B4-BE49-F238E27FC236}">
              <a16:creationId xmlns:a16="http://schemas.microsoft.com/office/drawing/2014/main" id="{4C707293-34E6-4C1C-8555-9590539303C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3" name="Line 15">
          <a:extLst>
            <a:ext uri="{FF2B5EF4-FFF2-40B4-BE49-F238E27FC236}">
              <a16:creationId xmlns:a16="http://schemas.microsoft.com/office/drawing/2014/main" id="{89BDEE57-0310-44E8-B493-18520693ED4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4" name="Line 16">
          <a:extLst>
            <a:ext uri="{FF2B5EF4-FFF2-40B4-BE49-F238E27FC236}">
              <a16:creationId xmlns:a16="http://schemas.microsoft.com/office/drawing/2014/main" id="{2B11A83A-119F-41E3-9B3F-91442D50FDC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5" name="Line 17">
          <a:extLst>
            <a:ext uri="{FF2B5EF4-FFF2-40B4-BE49-F238E27FC236}">
              <a16:creationId xmlns:a16="http://schemas.microsoft.com/office/drawing/2014/main" id="{66DC77ED-3B70-42E3-B8C8-1F5457C94D8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6" name="Line 18">
          <a:extLst>
            <a:ext uri="{FF2B5EF4-FFF2-40B4-BE49-F238E27FC236}">
              <a16:creationId xmlns:a16="http://schemas.microsoft.com/office/drawing/2014/main" id="{A155D4E1-6506-439E-8AF1-3452AECA05F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7" name="Line 19">
          <a:extLst>
            <a:ext uri="{FF2B5EF4-FFF2-40B4-BE49-F238E27FC236}">
              <a16:creationId xmlns:a16="http://schemas.microsoft.com/office/drawing/2014/main" id="{B6021F11-B343-4EAE-9B8F-1D737BB93AE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8" name="Line 20">
          <a:extLst>
            <a:ext uri="{FF2B5EF4-FFF2-40B4-BE49-F238E27FC236}">
              <a16:creationId xmlns:a16="http://schemas.microsoft.com/office/drawing/2014/main" id="{55089DBA-A10E-409F-8131-FDD57743393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9" name="Line 21">
          <a:extLst>
            <a:ext uri="{FF2B5EF4-FFF2-40B4-BE49-F238E27FC236}">
              <a16:creationId xmlns:a16="http://schemas.microsoft.com/office/drawing/2014/main" id="{1A519D53-B17C-4D14-8FF2-108C97D3DDE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0" name="Line 22">
          <a:extLst>
            <a:ext uri="{FF2B5EF4-FFF2-40B4-BE49-F238E27FC236}">
              <a16:creationId xmlns:a16="http://schemas.microsoft.com/office/drawing/2014/main" id="{CB8D1399-978D-48EA-94BD-4F349536814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1" name="Line 23">
          <a:extLst>
            <a:ext uri="{FF2B5EF4-FFF2-40B4-BE49-F238E27FC236}">
              <a16:creationId xmlns:a16="http://schemas.microsoft.com/office/drawing/2014/main" id="{078815CF-797B-4F5C-8937-C3489E5CB7F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2" name="Line 24">
          <a:extLst>
            <a:ext uri="{FF2B5EF4-FFF2-40B4-BE49-F238E27FC236}">
              <a16:creationId xmlns:a16="http://schemas.microsoft.com/office/drawing/2014/main" id="{4D4255D9-88D3-4B45-9CB0-374E8C771F5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3" name="Line 25">
          <a:extLst>
            <a:ext uri="{FF2B5EF4-FFF2-40B4-BE49-F238E27FC236}">
              <a16:creationId xmlns:a16="http://schemas.microsoft.com/office/drawing/2014/main" id="{B58C6B9C-482E-4614-AD79-8FA497A3680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4" name="Line 26">
          <a:extLst>
            <a:ext uri="{FF2B5EF4-FFF2-40B4-BE49-F238E27FC236}">
              <a16:creationId xmlns:a16="http://schemas.microsoft.com/office/drawing/2014/main" id="{760D43A8-09D1-48AA-B8E9-650D6764EBE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5" name="Line 27">
          <a:extLst>
            <a:ext uri="{FF2B5EF4-FFF2-40B4-BE49-F238E27FC236}">
              <a16:creationId xmlns:a16="http://schemas.microsoft.com/office/drawing/2014/main" id="{92A4AB4B-2D6C-40B5-A834-A107F8712BB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6" name="Line 28">
          <a:extLst>
            <a:ext uri="{FF2B5EF4-FFF2-40B4-BE49-F238E27FC236}">
              <a16:creationId xmlns:a16="http://schemas.microsoft.com/office/drawing/2014/main" id="{04E12FC4-3AFF-4B6E-A33C-01DAFC3FF4D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7" name="Line 29">
          <a:extLst>
            <a:ext uri="{FF2B5EF4-FFF2-40B4-BE49-F238E27FC236}">
              <a16:creationId xmlns:a16="http://schemas.microsoft.com/office/drawing/2014/main" id="{3F492F05-16CC-4BE6-9A25-330F866AC99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8" name="Line 30">
          <a:extLst>
            <a:ext uri="{FF2B5EF4-FFF2-40B4-BE49-F238E27FC236}">
              <a16:creationId xmlns:a16="http://schemas.microsoft.com/office/drawing/2014/main" id="{6C241315-555B-4769-BD7D-B1561AC349A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9" name="Line 31">
          <a:extLst>
            <a:ext uri="{FF2B5EF4-FFF2-40B4-BE49-F238E27FC236}">
              <a16:creationId xmlns:a16="http://schemas.microsoft.com/office/drawing/2014/main" id="{82F270A0-DD8E-4E5A-B4A4-904C46C2F79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0" name="Line 32">
          <a:extLst>
            <a:ext uri="{FF2B5EF4-FFF2-40B4-BE49-F238E27FC236}">
              <a16:creationId xmlns:a16="http://schemas.microsoft.com/office/drawing/2014/main" id="{94FC51B0-290E-4E46-961B-B07F0FD07AA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1" name="Line 33">
          <a:extLst>
            <a:ext uri="{FF2B5EF4-FFF2-40B4-BE49-F238E27FC236}">
              <a16:creationId xmlns:a16="http://schemas.microsoft.com/office/drawing/2014/main" id="{C2B12F6F-F0DA-4D55-9AD9-E955469F81D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2" name="Line 34">
          <a:extLst>
            <a:ext uri="{FF2B5EF4-FFF2-40B4-BE49-F238E27FC236}">
              <a16:creationId xmlns:a16="http://schemas.microsoft.com/office/drawing/2014/main" id="{A74FDCCC-9206-4198-96CC-CC06526F1E7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3" name="Line 35">
          <a:extLst>
            <a:ext uri="{FF2B5EF4-FFF2-40B4-BE49-F238E27FC236}">
              <a16:creationId xmlns:a16="http://schemas.microsoft.com/office/drawing/2014/main" id="{4327C6EC-D7E5-48D0-8F84-776E72491AF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4" name="Line 36">
          <a:extLst>
            <a:ext uri="{FF2B5EF4-FFF2-40B4-BE49-F238E27FC236}">
              <a16:creationId xmlns:a16="http://schemas.microsoft.com/office/drawing/2014/main" id="{5BEAA935-661C-4B04-BEE1-20D9E76A1D7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5" name="Line 37">
          <a:extLst>
            <a:ext uri="{FF2B5EF4-FFF2-40B4-BE49-F238E27FC236}">
              <a16:creationId xmlns:a16="http://schemas.microsoft.com/office/drawing/2014/main" id="{21DD3DD0-3060-457F-9BCC-A499A7B5A7B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6" name="Line 38">
          <a:extLst>
            <a:ext uri="{FF2B5EF4-FFF2-40B4-BE49-F238E27FC236}">
              <a16:creationId xmlns:a16="http://schemas.microsoft.com/office/drawing/2014/main" id="{A5C574B7-C272-4B54-9E4C-6207F8611F7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7" name="Line 39">
          <a:extLst>
            <a:ext uri="{FF2B5EF4-FFF2-40B4-BE49-F238E27FC236}">
              <a16:creationId xmlns:a16="http://schemas.microsoft.com/office/drawing/2014/main" id="{A285E8EF-AE1D-4FBC-830F-3DEAD3298F0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8" name="Line 40">
          <a:extLst>
            <a:ext uri="{FF2B5EF4-FFF2-40B4-BE49-F238E27FC236}">
              <a16:creationId xmlns:a16="http://schemas.microsoft.com/office/drawing/2014/main" id="{5F6106C3-48A3-4DBD-BC49-239D0DA46F8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9" name="Line 41">
          <a:extLst>
            <a:ext uri="{FF2B5EF4-FFF2-40B4-BE49-F238E27FC236}">
              <a16:creationId xmlns:a16="http://schemas.microsoft.com/office/drawing/2014/main" id="{02AFEC55-6E02-4EDE-B13E-AA8AE515410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0" name="Line 42">
          <a:extLst>
            <a:ext uri="{FF2B5EF4-FFF2-40B4-BE49-F238E27FC236}">
              <a16:creationId xmlns:a16="http://schemas.microsoft.com/office/drawing/2014/main" id="{0DBA3D3E-BC92-42C7-A4AB-DFB0AE58A16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1" name="Line 43">
          <a:extLst>
            <a:ext uri="{FF2B5EF4-FFF2-40B4-BE49-F238E27FC236}">
              <a16:creationId xmlns:a16="http://schemas.microsoft.com/office/drawing/2014/main" id="{D087C0A0-7668-43C8-88AB-82719B9D2D2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2" name="Line 44">
          <a:extLst>
            <a:ext uri="{FF2B5EF4-FFF2-40B4-BE49-F238E27FC236}">
              <a16:creationId xmlns:a16="http://schemas.microsoft.com/office/drawing/2014/main" id="{85E74911-AB84-4513-9038-00FDDE4FA3E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3" name="Line 45">
          <a:extLst>
            <a:ext uri="{FF2B5EF4-FFF2-40B4-BE49-F238E27FC236}">
              <a16:creationId xmlns:a16="http://schemas.microsoft.com/office/drawing/2014/main" id="{39E376BA-03A6-42EA-BBE7-9E89F2903EE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4" name="Line 46">
          <a:extLst>
            <a:ext uri="{FF2B5EF4-FFF2-40B4-BE49-F238E27FC236}">
              <a16:creationId xmlns:a16="http://schemas.microsoft.com/office/drawing/2014/main" id="{5D7F7B51-219E-4763-88DD-C21AA2C8F33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5" name="Line 47">
          <a:extLst>
            <a:ext uri="{FF2B5EF4-FFF2-40B4-BE49-F238E27FC236}">
              <a16:creationId xmlns:a16="http://schemas.microsoft.com/office/drawing/2014/main" id="{EAA8E5BE-DCCC-4221-8FE6-F2FE646F1E9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6" name="Line 48">
          <a:extLst>
            <a:ext uri="{FF2B5EF4-FFF2-40B4-BE49-F238E27FC236}">
              <a16:creationId xmlns:a16="http://schemas.microsoft.com/office/drawing/2014/main" id="{A8351B12-ED15-4842-ADB3-31B9C595F78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7" name="Line 49">
          <a:extLst>
            <a:ext uri="{FF2B5EF4-FFF2-40B4-BE49-F238E27FC236}">
              <a16:creationId xmlns:a16="http://schemas.microsoft.com/office/drawing/2014/main" id="{94CF0822-100B-47DC-B016-6B6EBF43E9C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8" name="Line 50">
          <a:extLst>
            <a:ext uri="{FF2B5EF4-FFF2-40B4-BE49-F238E27FC236}">
              <a16:creationId xmlns:a16="http://schemas.microsoft.com/office/drawing/2014/main" id="{925C5C90-8E05-4DDE-BDCD-4AF737934FA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99" name="Line 1">
          <a:extLst>
            <a:ext uri="{FF2B5EF4-FFF2-40B4-BE49-F238E27FC236}">
              <a16:creationId xmlns:a16="http://schemas.microsoft.com/office/drawing/2014/main" id="{1BE0B5E5-A408-4594-A5EF-502674E506D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0" name="Line 2">
          <a:extLst>
            <a:ext uri="{FF2B5EF4-FFF2-40B4-BE49-F238E27FC236}">
              <a16:creationId xmlns:a16="http://schemas.microsoft.com/office/drawing/2014/main" id="{5F71E555-D026-40DB-AAFB-C519A263DD4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1" name="Line 5">
          <a:extLst>
            <a:ext uri="{FF2B5EF4-FFF2-40B4-BE49-F238E27FC236}">
              <a16:creationId xmlns:a16="http://schemas.microsoft.com/office/drawing/2014/main" id="{893C2D0C-1907-4F77-BCF6-6BF1BA468A8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2" name="Line 6">
          <a:extLst>
            <a:ext uri="{FF2B5EF4-FFF2-40B4-BE49-F238E27FC236}">
              <a16:creationId xmlns:a16="http://schemas.microsoft.com/office/drawing/2014/main" id="{7AE3F61F-82A4-43E0-A662-F1355E36525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3" name="Line 7">
          <a:extLst>
            <a:ext uri="{FF2B5EF4-FFF2-40B4-BE49-F238E27FC236}">
              <a16:creationId xmlns:a16="http://schemas.microsoft.com/office/drawing/2014/main" id="{0D0DE27A-AE51-4453-A859-E6A8F761244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4" name="Line 8">
          <a:extLst>
            <a:ext uri="{FF2B5EF4-FFF2-40B4-BE49-F238E27FC236}">
              <a16:creationId xmlns:a16="http://schemas.microsoft.com/office/drawing/2014/main" id="{31A3198F-1CD7-4EEE-B8D7-06EBDAAD1E1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5" name="Line 9">
          <a:extLst>
            <a:ext uri="{FF2B5EF4-FFF2-40B4-BE49-F238E27FC236}">
              <a16:creationId xmlns:a16="http://schemas.microsoft.com/office/drawing/2014/main" id="{7AB993D4-F627-4D5B-8395-8B7CD1D9129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6" name="Line 10">
          <a:extLst>
            <a:ext uri="{FF2B5EF4-FFF2-40B4-BE49-F238E27FC236}">
              <a16:creationId xmlns:a16="http://schemas.microsoft.com/office/drawing/2014/main" id="{EA5D5A5D-5CDC-4E2C-B177-D5E4F965C5D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7" name="Line 11">
          <a:extLst>
            <a:ext uri="{FF2B5EF4-FFF2-40B4-BE49-F238E27FC236}">
              <a16:creationId xmlns:a16="http://schemas.microsoft.com/office/drawing/2014/main" id="{2EA4BF60-6376-481F-B006-A2E044824FA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8" name="Line 12">
          <a:extLst>
            <a:ext uri="{FF2B5EF4-FFF2-40B4-BE49-F238E27FC236}">
              <a16:creationId xmlns:a16="http://schemas.microsoft.com/office/drawing/2014/main" id="{1E4B79EA-A06E-4100-A18C-F20EEB7A2B5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9" name="Line 13">
          <a:extLst>
            <a:ext uri="{FF2B5EF4-FFF2-40B4-BE49-F238E27FC236}">
              <a16:creationId xmlns:a16="http://schemas.microsoft.com/office/drawing/2014/main" id="{79C93F9C-D36A-4EBF-BF1A-900A980BB9F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0" name="Line 14">
          <a:extLst>
            <a:ext uri="{FF2B5EF4-FFF2-40B4-BE49-F238E27FC236}">
              <a16:creationId xmlns:a16="http://schemas.microsoft.com/office/drawing/2014/main" id="{B0319AF8-6E39-44C6-8262-44665812163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1" name="Line 15">
          <a:extLst>
            <a:ext uri="{FF2B5EF4-FFF2-40B4-BE49-F238E27FC236}">
              <a16:creationId xmlns:a16="http://schemas.microsoft.com/office/drawing/2014/main" id="{0D2454D7-8658-4A2D-B044-D771B2FEA6D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2" name="Line 16">
          <a:extLst>
            <a:ext uri="{FF2B5EF4-FFF2-40B4-BE49-F238E27FC236}">
              <a16:creationId xmlns:a16="http://schemas.microsoft.com/office/drawing/2014/main" id="{ADAC20EE-A681-434F-99F3-E7B753701D5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3" name="Line 17">
          <a:extLst>
            <a:ext uri="{FF2B5EF4-FFF2-40B4-BE49-F238E27FC236}">
              <a16:creationId xmlns:a16="http://schemas.microsoft.com/office/drawing/2014/main" id="{5098DF09-F2C8-4F58-9D6F-B4DC4247BF1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4" name="Line 18">
          <a:extLst>
            <a:ext uri="{FF2B5EF4-FFF2-40B4-BE49-F238E27FC236}">
              <a16:creationId xmlns:a16="http://schemas.microsoft.com/office/drawing/2014/main" id="{86084D83-027B-4BE6-8E5D-933EB5B8881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5" name="Line 19">
          <a:extLst>
            <a:ext uri="{FF2B5EF4-FFF2-40B4-BE49-F238E27FC236}">
              <a16:creationId xmlns:a16="http://schemas.microsoft.com/office/drawing/2014/main" id="{235DFFC5-BB80-4555-9FB3-F37ADA3910D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6" name="Line 20">
          <a:extLst>
            <a:ext uri="{FF2B5EF4-FFF2-40B4-BE49-F238E27FC236}">
              <a16:creationId xmlns:a16="http://schemas.microsoft.com/office/drawing/2014/main" id="{2839E4F1-DE9F-4565-BBD0-B8961AEA384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7" name="Line 21">
          <a:extLst>
            <a:ext uri="{FF2B5EF4-FFF2-40B4-BE49-F238E27FC236}">
              <a16:creationId xmlns:a16="http://schemas.microsoft.com/office/drawing/2014/main" id="{0698E7AB-5DC5-4079-AEBE-BCD425A6AB6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8" name="Line 22">
          <a:extLst>
            <a:ext uri="{FF2B5EF4-FFF2-40B4-BE49-F238E27FC236}">
              <a16:creationId xmlns:a16="http://schemas.microsoft.com/office/drawing/2014/main" id="{2A72DEFE-A5C4-4CA3-B1F0-EE09CDB351F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9" name="Line 23">
          <a:extLst>
            <a:ext uri="{FF2B5EF4-FFF2-40B4-BE49-F238E27FC236}">
              <a16:creationId xmlns:a16="http://schemas.microsoft.com/office/drawing/2014/main" id="{2D3C0E51-2111-4B46-8F72-0C7A916B1F3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0" name="Line 24">
          <a:extLst>
            <a:ext uri="{FF2B5EF4-FFF2-40B4-BE49-F238E27FC236}">
              <a16:creationId xmlns:a16="http://schemas.microsoft.com/office/drawing/2014/main" id="{7B87679B-2E0E-49F5-95AC-0AE6E9C73EE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1" name="Line 25">
          <a:extLst>
            <a:ext uri="{FF2B5EF4-FFF2-40B4-BE49-F238E27FC236}">
              <a16:creationId xmlns:a16="http://schemas.microsoft.com/office/drawing/2014/main" id="{979F7439-37D1-47BF-8C23-FDA11EAAF59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2" name="Line 26">
          <a:extLst>
            <a:ext uri="{FF2B5EF4-FFF2-40B4-BE49-F238E27FC236}">
              <a16:creationId xmlns:a16="http://schemas.microsoft.com/office/drawing/2014/main" id="{3687D239-378F-4B8B-8E13-6F713D72464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3" name="Line 27">
          <a:extLst>
            <a:ext uri="{FF2B5EF4-FFF2-40B4-BE49-F238E27FC236}">
              <a16:creationId xmlns:a16="http://schemas.microsoft.com/office/drawing/2014/main" id="{6E487873-53ED-4EE9-AFB2-B64D383B78A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4" name="Line 28">
          <a:extLst>
            <a:ext uri="{FF2B5EF4-FFF2-40B4-BE49-F238E27FC236}">
              <a16:creationId xmlns:a16="http://schemas.microsoft.com/office/drawing/2014/main" id="{0515EEA4-274B-4F28-8BF6-7031E17A0AA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5" name="Line 29">
          <a:extLst>
            <a:ext uri="{FF2B5EF4-FFF2-40B4-BE49-F238E27FC236}">
              <a16:creationId xmlns:a16="http://schemas.microsoft.com/office/drawing/2014/main" id="{EEEB7C34-EB55-4855-A01E-E8F7C5CF5C6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6" name="Line 30">
          <a:extLst>
            <a:ext uri="{FF2B5EF4-FFF2-40B4-BE49-F238E27FC236}">
              <a16:creationId xmlns:a16="http://schemas.microsoft.com/office/drawing/2014/main" id="{30F4AB7D-E33E-475C-9BE0-F61973CCE0C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7" name="Line 31">
          <a:extLst>
            <a:ext uri="{FF2B5EF4-FFF2-40B4-BE49-F238E27FC236}">
              <a16:creationId xmlns:a16="http://schemas.microsoft.com/office/drawing/2014/main" id="{C6494AD7-E60F-4BCA-8DC2-ABB070C2D50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8" name="Line 32">
          <a:extLst>
            <a:ext uri="{FF2B5EF4-FFF2-40B4-BE49-F238E27FC236}">
              <a16:creationId xmlns:a16="http://schemas.microsoft.com/office/drawing/2014/main" id="{AF14C56B-8D65-4959-82FB-DB324402C3F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9" name="Line 33">
          <a:extLst>
            <a:ext uri="{FF2B5EF4-FFF2-40B4-BE49-F238E27FC236}">
              <a16:creationId xmlns:a16="http://schemas.microsoft.com/office/drawing/2014/main" id="{DB1A91EC-716A-47F9-A9A5-F6052AC20C3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0" name="Line 34">
          <a:extLst>
            <a:ext uri="{FF2B5EF4-FFF2-40B4-BE49-F238E27FC236}">
              <a16:creationId xmlns:a16="http://schemas.microsoft.com/office/drawing/2014/main" id="{885FE323-011E-4545-B556-9E56D0E19FC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1" name="Line 35">
          <a:extLst>
            <a:ext uri="{FF2B5EF4-FFF2-40B4-BE49-F238E27FC236}">
              <a16:creationId xmlns:a16="http://schemas.microsoft.com/office/drawing/2014/main" id="{F465BA07-82A8-4B7D-9606-1C583F014AF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2" name="Line 36">
          <a:extLst>
            <a:ext uri="{FF2B5EF4-FFF2-40B4-BE49-F238E27FC236}">
              <a16:creationId xmlns:a16="http://schemas.microsoft.com/office/drawing/2014/main" id="{9FA49E15-0A8B-4AEA-9A99-04C3DB158E5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3" name="Line 37">
          <a:extLst>
            <a:ext uri="{FF2B5EF4-FFF2-40B4-BE49-F238E27FC236}">
              <a16:creationId xmlns:a16="http://schemas.microsoft.com/office/drawing/2014/main" id="{CDB62ABD-5A86-4A50-B928-CAF7191A5CC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4" name="Line 38">
          <a:extLst>
            <a:ext uri="{FF2B5EF4-FFF2-40B4-BE49-F238E27FC236}">
              <a16:creationId xmlns:a16="http://schemas.microsoft.com/office/drawing/2014/main" id="{0A913E7A-40E6-491D-AE6B-727EFFD1BB0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5" name="Line 39">
          <a:extLst>
            <a:ext uri="{FF2B5EF4-FFF2-40B4-BE49-F238E27FC236}">
              <a16:creationId xmlns:a16="http://schemas.microsoft.com/office/drawing/2014/main" id="{926400CB-A326-4CC0-AEE8-E2CCE22022E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6" name="Line 40">
          <a:extLst>
            <a:ext uri="{FF2B5EF4-FFF2-40B4-BE49-F238E27FC236}">
              <a16:creationId xmlns:a16="http://schemas.microsoft.com/office/drawing/2014/main" id="{442395B9-EFCE-4E87-A3DA-FFE68764C41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7" name="Line 41">
          <a:extLst>
            <a:ext uri="{FF2B5EF4-FFF2-40B4-BE49-F238E27FC236}">
              <a16:creationId xmlns:a16="http://schemas.microsoft.com/office/drawing/2014/main" id="{6C40647F-72C4-471F-81D3-5025D82B792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8" name="Line 42">
          <a:extLst>
            <a:ext uri="{FF2B5EF4-FFF2-40B4-BE49-F238E27FC236}">
              <a16:creationId xmlns:a16="http://schemas.microsoft.com/office/drawing/2014/main" id="{587EE66B-7F03-47EA-BF9B-B1016840150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9" name="Line 43">
          <a:extLst>
            <a:ext uri="{FF2B5EF4-FFF2-40B4-BE49-F238E27FC236}">
              <a16:creationId xmlns:a16="http://schemas.microsoft.com/office/drawing/2014/main" id="{325A6873-E776-4047-8420-EDC4E9D67E1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0" name="Line 44">
          <a:extLst>
            <a:ext uri="{FF2B5EF4-FFF2-40B4-BE49-F238E27FC236}">
              <a16:creationId xmlns:a16="http://schemas.microsoft.com/office/drawing/2014/main" id="{1C294016-5BA7-4EAD-A155-6F1F75FE6AC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1" name="Line 45">
          <a:extLst>
            <a:ext uri="{FF2B5EF4-FFF2-40B4-BE49-F238E27FC236}">
              <a16:creationId xmlns:a16="http://schemas.microsoft.com/office/drawing/2014/main" id="{7BE60232-93A5-4E5F-B3CF-3BF1453D2F9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2" name="Line 46">
          <a:extLst>
            <a:ext uri="{FF2B5EF4-FFF2-40B4-BE49-F238E27FC236}">
              <a16:creationId xmlns:a16="http://schemas.microsoft.com/office/drawing/2014/main" id="{496889FD-EACC-4DFF-B3D4-CB84610413F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3" name="Line 47">
          <a:extLst>
            <a:ext uri="{FF2B5EF4-FFF2-40B4-BE49-F238E27FC236}">
              <a16:creationId xmlns:a16="http://schemas.microsoft.com/office/drawing/2014/main" id="{98D87417-7758-473A-8E3F-8445CD2173B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4" name="Line 48">
          <a:extLst>
            <a:ext uri="{FF2B5EF4-FFF2-40B4-BE49-F238E27FC236}">
              <a16:creationId xmlns:a16="http://schemas.microsoft.com/office/drawing/2014/main" id="{16555284-4339-4932-BAEB-6BD4BE6986E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5" name="Line 49">
          <a:extLst>
            <a:ext uri="{FF2B5EF4-FFF2-40B4-BE49-F238E27FC236}">
              <a16:creationId xmlns:a16="http://schemas.microsoft.com/office/drawing/2014/main" id="{44EA2BCB-1CD5-48ED-8D5E-4AA39A73627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6" name="Line 50">
          <a:extLst>
            <a:ext uri="{FF2B5EF4-FFF2-40B4-BE49-F238E27FC236}">
              <a16:creationId xmlns:a16="http://schemas.microsoft.com/office/drawing/2014/main" id="{2EE633D0-CC5C-4F9D-B5FE-24E4BDA0E23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7" name="Line 1">
          <a:extLst>
            <a:ext uri="{FF2B5EF4-FFF2-40B4-BE49-F238E27FC236}">
              <a16:creationId xmlns:a16="http://schemas.microsoft.com/office/drawing/2014/main" id="{5251164D-9839-4172-8E40-3F7D5AEF125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8" name="Line 2">
          <a:extLst>
            <a:ext uri="{FF2B5EF4-FFF2-40B4-BE49-F238E27FC236}">
              <a16:creationId xmlns:a16="http://schemas.microsoft.com/office/drawing/2014/main" id="{3CFE6D39-A580-4CFF-BE85-DBE9D67F9AE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9" name="Line 5">
          <a:extLst>
            <a:ext uri="{FF2B5EF4-FFF2-40B4-BE49-F238E27FC236}">
              <a16:creationId xmlns:a16="http://schemas.microsoft.com/office/drawing/2014/main" id="{8B9E0748-6162-48D4-933F-47AAAF2C1CF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0" name="Line 6">
          <a:extLst>
            <a:ext uri="{FF2B5EF4-FFF2-40B4-BE49-F238E27FC236}">
              <a16:creationId xmlns:a16="http://schemas.microsoft.com/office/drawing/2014/main" id="{A494848B-8269-46B4-8A0C-627D0B1E9B6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1" name="Line 7">
          <a:extLst>
            <a:ext uri="{FF2B5EF4-FFF2-40B4-BE49-F238E27FC236}">
              <a16:creationId xmlns:a16="http://schemas.microsoft.com/office/drawing/2014/main" id="{E0179D17-6E29-449D-B3AF-0B8DAF5DCD9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2" name="Line 8">
          <a:extLst>
            <a:ext uri="{FF2B5EF4-FFF2-40B4-BE49-F238E27FC236}">
              <a16:creationId xmlns:a16="http://schemas.microsoft.com/office/drawing/2014/main" id="{D5966430-08D3-4386-BA2A-E24831D7678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3" name="Line 9">
          <a:extLst>
            <a:ext uri="{FF2B5EF4-FFF2-40B4-BE49-F238E27FC236}">
              <a16:creationId xmlns:a16="http://schemas.microsoft.com/office/drawing/2014/main" id="{9D5EDEAF-BFD9-409E-8AFC-236810E48CE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4" name="Line 10">
          <a:extLst>
            <a:ext uri="{FF2B5EF4-FFF2-40B4-BE49-F238E27FC236}">
              <a16:creationId xmlns:a16="http://schemas.microsoft.com/office/drawing/2014/main" id="{63F0C6D8-7DEE-4DDE-9346-B8DC70377AB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5" name="Line 11">
          <a:extLst>
            <a:ext uri="{FF2B5EF4-FFF2-40B4-BE49-F238E27FC236}">
              <a16:creationId xmlns:a16="http://schemas.microsoft.com/office/drawing/2014/main" id="{DB0715DC-F7D6-4DAB-9042-00A00FF4DAA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6" name="Line 12">
          <a:extLst>
            <a:ext uri="{FF2B5EF4-FFF2-40B4-BE49-F238E27FC236}">
              <a16:creationId xmlns:a16="http://schemas.microsoft.com/office/drawing/2014/main" id="{75B19A58-DAE4-4921-883D-D910DCC27C9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7" name="Line 13">
          <a:extLst>
            <a:ext uri="{FF2B5EF4-FFF2-40B4-BE49-F238E27FC236}">
              <a16:creationId xmlns:a16="http://schemas.microsoft.com/office/drawing/2014/main" id="{6B71C864-3F29-487D-A41C-C0E033F37BC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8" name="Line 14">
          <a:extLst>
            <a:ext uri="{FF2B5EF4-FFF2-40B4-BE49-F238E27FC236}">
              <a16:creationId xmlns:a16="http://schemas.microsoft.com/office/drawing/2014/main" id="{72A24B81-BB25-4817-AB8B-4612DC429FE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9" name="Line 15">
          <a:extLst>
            <a:ext uri="{FF2B5EF4-FFF2-40B4-BE49-F238E27FC236}">
              <a16:creationId xmlns:a16="http://schemas.microsoft.com/office/drawing/2014/main" id="{1F85A7A7-C3C0-4A26-86CA-E59FEAE127C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0" name="Line 16">
          <a:extLst>
            <a:ext uri="{FF2B5EF4-FFF2-40B4-BE49-F238E27FC236}">
              <a16:creationId xmlns:a16="http://schemas.microsoft.com/office/drawing/2014/main" id="{6AB120DB-1F02-44E5-8B62-2C23696E07E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1" name="Line 17">
          <a:extLst>
            <a:ext uri="{FF2B5EF4-FFF2-40B4-BE49-F238E27FC236}">
              <a16:creationId xmlns:a16="http://schemas.microsoft.com/office/drawing/2014/main" id="{726A82AD-AEF9-47D4-ADB0-EE26A6A4CBD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2" name="Line 18">
          <a:extLst>
            <a:ext uri="{FF2B5EF4-FFF2-40B4-BE49-F238E27FC236}">
              <a16:creationId xmlns:a16="http://schemas.microsoft.com/office/drawing/2014/main" id="{530705BB-7DD6-4013-A34C-61505730651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3" name="Line 19">
          <a:extLst>
            <a:ext uri="{FF2B5EF4-FFF2-40B4-BE49-F238E27FC236}">
              <a16:creationId xmlns:a16="http://schemas.microsoft.com/office/drawing/2014/main" id="{DF78C2A2-8E7E-4AD6-B117-089FB2B8CC4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4" name="Line 20">
          <a:extLst>
            <a:ext uri="{FF2B5EF4-FFF2-40B4-BE49-F238E27FC236}">
              <a16:creationId xmlns:a16="http://schemas.microsoft.com/office/drawing/2014/main" id="{46223D79-7947-4B77-8CD0-AE50EAC4BF9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5" name="Line 21">
          <a:extLst>
            <a:ext uri="{FF2B5EF4-FFF2-40B4-BE49-F238E27FC236}">
              <a16:creationId xmlns:a16="http://schemas.microsoft.com/office/drawing/2014/main" id="{7B2BFC4B-2D73-48AB-9BE4-2610FDC6708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6" name="Line 22">
          <a:extLst>
            <a:ext uri="{FF2B5EF4-FFF2-40B4-BE49-F238E27FC236}">
              <a16:creationId xmlns:a16="http://schemas.microsoft.com/office/drawing/2014/main" id="{6395801A-CFCD-4AB1-8F5F-EE39316A364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7" name="Line 23">
          <a:extLst>
            <a:ext uri="{FF2B5EF4-FFF2-40B4-BE49-F238E27FC236}">
              <a16:creationId xmlns:a16="http://schemas.microsoft.com/office/drawing/2014/main" id="{F8E8D851-09DC-4698-A16F-592DC7B7B47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8" name="Line 24">
          <a:extLst>
            <a:ext uri="{FF2B5EF4-FFF2-40B4-BE49-F238E27FC236}">
              <a16:creationId xmlns:a16="http://schemas.microsoft.com/office/drawing/2014/main" id="{BA48E683-122B-41A0-8618-91F7670829F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9" name="Line 25">
          <a:extLst>
            <a:ext uri="{FF2B5EF4-FFF2-40B4-BE49-F238E27FC236}">
              <a16:creationId xmlns:a16="http://schemas.microsoft.com/office/drawing/2014/main" id="{950DFB54-EDB2-47BB-AD1D-44D034F74A1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0" name="Line 26">
          <a:extLst>
            <a:ext uri="{FF2B5EF4-FFF2-40B4-BE49-F238E27FC236}">
              <a16:creationId xmlns:a16="http://schemas.microsoft.com/office/drawing/2014/main" id="{B086969F-03C7-417E-9BB4-CC4C37AC330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1" name="Line 27">
          <a:extLst>
            <a:ext uri="{FF2B5EF4-FFF2-40B4-BE49-F238E27FC236}">
              <a16:creationId xmlns:a16="http://schemas.microsoft.com/office/drawing/2014/main" id="{934E784D-BBB9-4184-98B2-F705A6C5E72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2" name="Line 28">
          <a:extLst>
            <a:ext uri="{FF2B5EF4-FFF2-40B4-BE49-F238E27FC236}">
              <a16:creationId xmlns:a16="http://schemas.microsoft.com/office/drawing/2014/main" id="{B6843C15-8FAC-4EF9-B38B-9E3DEF71A58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3" name="Line 29">
          <a:extLst>
            <a:ext uri="{FF2B5EF4-FFF2-40B4-BE49-F238E27FC236}">
              <a16:creationId xmlns:a16="http://schemas.microsoft.com/office/drawing/2014/main" id="{5A6DDF91-B969-49F8-89CE-A6EE2014DC9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4" name="Line 30">
          <a:extLst>
            <a:ext uri="{FF2B5EF4-FFF2-40B4-BE49-F238E27FC236}">
              <a16:creationId xmlns:a16="http://schemas.microsoft.com/office/drawing/2014/main" id="{5B6BFFD1-0DD8-4F2D-B7ED-E36AB38F33C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5" name="Line 31">
          <a:extLst>
            <a:ext uri="{FF2B5EF4-FFF2-40B4-BE49-F238E27FC236}">
              <a16:creationId xmlns:a16="http://schemas.microsoft.com/office/drawing/2014/main" id="{8BE748F1-8DDE-49C9-9BFA-80559333FEE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6" name="Line 32">
          <a:extLst>
            <a:ext uri="{FF2B5EF4-FFF2-40B4-BE49-F238E27FC236}">
              <a16:creationId xmlns:a16="http://schemas.microsoft.com/office/drawing/2014/main" id="{9EB3550C-DEE5-4ED3-88E8-D367B500B07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7" name="Line 33">
          <a:extLst>
            <a:ext uri="{FF2B5EF4-FFF2-40B4-BE49-F238E27FC236}">
              <a16:creationId xmlns:a16="http://schemas.microsoft.com/office/drawing/2014/main" id="{27A77DAF-A084-459A-B1B7-4C06D39630E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8" name="Line 34">
          <a:extLst>
            <a:ext uri="{FF2B5EF4-FFF2-40B4-BE49-F238E27FC236}">
              <a16:creationId xmlns:a16="http://schemas.microsoft.com/office/drawing/2014/main" id="{92180BD0-19B8-4E63-8E5B-8FF934624D0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9" name="Line 35">
          <a:extLst>
            <a:ext uri="{FF2B5EF4-FFF2-40B4-BE49-F238E27FC236}">
              <a16:creationId xmlns:a16="http://schemas.microsoft.com/office/drawing/2014/main" id="{0DEC6E7B-DEE8-4391-8121-495A10B9BB8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0" name="Line 36">
          <a:extLst>
            <a:ext uri="{FF2B5EF4-FFF2-40B4-BE49-F238E27FC236}">
              <a16:creationId xmlns:a16="http://schemas.microsoft.com/office/drawing/2014/main" id="{0C5A944F-6966-4F01-BE0D-691AC96F9A2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1" name="Line 37">
          <a:extLst>
            <a:ext uri="{FF2B5EF4-FFF2-40B4-BE49-F238E27FC236}">
              <a16:creationId xmlns:a16="http://schemas.microsoft.com/office/drawing/2014/main" id="{B66FBDD8-698A-4A1F-A01B-EAAF25039DF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2" name="Line 38">
          <a:extLst>
            <a:ext uri="{FF2B5EF4-FFF2-40B4-BE49-F238E27FC236}">
              <a16:creationId xmlns:a16="http://schemas.microsoft.com/office/drawing/2014/main" id="{8E827B3B-7101-453E-A60F-9908D52593C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3" name="Line 39">
          <a:extLst>
            <a:ext uri="{FF2B5EF4-FFF2-40B4-BE49-F238E27FC236}">
              <a16:creationId xmlns:a16="http://schemas.microsoft.com/office/drawing/2014/main" id="{9D791916-5D79-4D79-BB2A-C1F150C9BE8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4" name="Line 40">
          <a:extLst>
            <a:ext uri="{FF2B5EF4-FFF2-40B4-BE49-F238E27FC236}">
              <a16:creationId xmlns:a16="http://schemas.microsoft.com/office/drawing/2014/main" id="{495B5A56-BA88-4CE0-9D2A-06C4210784A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5" name="Line 41">
          <a:extLst>
            <a:ext uri="{FF2B5EF4-FFF2-40B4-BE49-F238E27FC236}">
              <a16:creationId xmlns:a16="http://schemas.microsoft.com/office/drawing/2014/main" id="{6E2E0A2F-3363-4C70-AE69-C99D37CFDC3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6" name="Line 42">
          <a:extLst>
            <a:ext uri="{FF2B5EF4-FFF2-40B4-BE49-F238E27FC236}">
              <a16:creationId xmlns:a16="http://schemas.microsoft.com/office/drawing/2014/main" id="{C046B873-8CE6-4971-9CF8-50A6AC2B830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7" name="Line 43">
          <a:extLst>
            <a:ext uri="{FF2B5EF4-FFF2-40B4-BE49-F238E27FC236}">
              <a16:creationId xmlns:a16="http://schemas.microsoft.com/office/drawing/2014/main" id="{36EEA200-E4A7-4192-9400-93D245D144C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8" name="Line 44">
          <a:extLst>
            <a:ext uri="{FF2B5EF4-FFF2-40B4-BE49-F238E27FC236}">
              <a16:creationId xmlns:a16="http://schemas.microsoft.com/office/drawing/2014/main" id="{547279EC-4863-4503-8CC4-20E8B325B0B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9" name="Line 45">
          <a:extLst>
            <a:ext uri="{FF2B5EF4-FFF2-40B4-BE49-F238E27FC236}">
              <a16:creationId xmlns:a16="http://schemas.microsoft.com/office/drawing/2014/main" id="{19097AAD-0807-4F40-96C5-5EF0D8F7D9E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0" name="Line 46">
          <a:extLst>
            <a:ext uri="{FF2B5EF4-FFF2-40B4-BE49-F238E27FC236}">
              <a16:creationId xmlns:a16="http://schemas.microsoft.com/office/drawing/2014/main" id="{66747680-65D3-44F3-846A-CD2B0179023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1" name="Line 47">
          <a:extLst>
            <a:ext uri="{FF2B5EF4-FFF2-40B4-BE49-F238E27FC236}">
              <a16:creationId xmlns:a16="http://schemas.microsoft.com/office/drawing/2014/main" id="{05415124-F83D-43DC-82FB-0901B9C7989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2" name="Line 48">
          <a:extLst>
            <a:ext uri="{FF2B5EF4-FFF2-40B4-BE49-F238E27FC236}">
              <a16:creationId xmlns:a16="http://schemas.microsoft.com/office/drawing/2014/main" id="{0AD7FE8E-AAC1-4F8D-BD50-9B7127214F8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3" name="Line 49">
          <a:extLst>
            <a:ext uri="{FF2B5EF4-FFF2-40B4-BE49-F238E27FC236}">
              <a16:creationId xmlns:a16="http://schemas.microsoft.com/office/drawing/2014/main" id="{6B02BC41-98F3-4B01-9450-132B28AF043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4" name="Line 50">
          <a:extLst>
            <a:ext uri="{FF2B5EF4-FFF2-40B4-BE49-F238E27FC236}">
              <a16:creationId xmlns:a16="http://schemas.microsoft.com/office/drawing/2014/main" id="{34360014-109F-4D8A-AFA6-EA19272A630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5" name="Line 1">
          <a:extLst>
            <a:ext uri="{FF2B5EF4-FFF2-40B4-BE49-F238E27FC236}">
              <a16:creationId xmlns:a16="http://schemas.microsoft.com/office/drawing/2014/main" id="{4F208E84-7C86-4BD6-A27D-5BB79B4A245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6" name="Line 2">
          <a:extLst>
            <a:ext uri="{FF2B5EF4-FFF2-40B4-BE49-F238E27FC236}">
              <a16:creationId xmlns:a16="http://schemas.microsoft.com/office/drawing/2014/main" id="{B587A006-6EF7-4944-A1E4-AF20A174442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7" name="Line 5">
          <a:extLst>
            <a:ext uri="{FF2B5EF4-FFF2-40B4-BE49-F238E27FC236}">
              <a16:creationId xmlns:a16="http://schemas.microsoft.com/office/drawing/2014/main" id="{95AC8C39-5E73-482F-AC9C-4B4C724D865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8" name="Line 6">
          <a:extLst>
            <a:ext uri="{FF2B5EF4-FFF2-40B4-BE49-F238E27FC236}">
              <a16:creationId xmlns:a16="http://schemas.microsoft.com/office/drawing/2014/main" id="{44D48DA8-9B9D-4F06-AAED-3F4B5847890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9" name="Line 7">
          <a:extLst>
            <a:ext uri="{FF2B5EF4-FFF2-40B4-BE49-F238E27FC236}">
              <a16:creationId xmlns:a16="http://schemas.microsoft.com/office/drawing/2014/main" id="{77C0BF3D-7692-4BA2-A3A4-B7CB3F39DD0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0" name="Line 8">
          <a:extLst>
            <a:ext uri="{FF2B5EF4-FFF2-40B4-BE49-F238E27FC236}">
              <a16:creationId xmlns:a16="http://schemas.microsoft.com/office/drawing/2014/main" id="{058A484A-4E75-4ACF-BED1-3FA1ADF42EA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1" name="Line 9">
          <a:extLst>
            <a:ext uri="{FF2B5EF4-FFF2-40B4-BE49-F238E27FC236}">
              <a16:creationId xmlns:a16="http://schemas.microsoft.com/office/drawing/2014/main" id="{068B42DD-653D-4864-9855-83A0ED427FF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2" name="Line 10">
          <a:extLst>
            <a:ext uri="{FF2B5EF4-FFF2-40B4-BE49-F238E27FC236}">
              <a16:creationId xmlns:a16="http://schemas.microsoft.com/office/drawing/2014/main" id="{91AD0282-FFA4-4A78-AA9F-3E937E6EB66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3" name="Line 11">
          <a:extLst>
            <a:ext uri="{FF2B5EF4-FFF2-40B4-BE49-F238E27FC236}">
              <a16:creationId xmlns:a16="http://schemas.microsoft.com/office/drawing/2014/main" id="{D817B95B-53B6-4BF4-9DE7-D23CFD19190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4" name="Line 12">
          <a:extLst>
            <a:ext uri="{FF2B5EF4-FFF2-40B4-BE49-F238E27FC236}">
              <a16:creationId xmlns:a16="http://schemas.microsoft.com/office/drawing/2014/main" id="{B4AA5534-160C-4559-9159-B2E001B17CB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5" name="Line 13">
          <a:extLst>
            <a:ext uri="{FF2B5EF4-FFF2-40B4-BE49-F238E27FC236}">
              <a16:creationId xmlns:a16="http://schemas.microsoft.com/office/drawing/2014/main" id="{5AED9684-2216-44CB-9884-F9B10DE190B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6" name="Line 14">
          <a:extLst>
            <a:ext uri="{FF2B5EF4-FFF2-40B4-BE49-F238E27FC236}">
              <a16:creationId xmlns:a16="http://schemas.microsoft.com/office/drawing/2014/main" id="{B86FA6C0-ACF0-4E82-8FFA-32BC74E9A7C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7" name="Line 15">
          <a:extLst>
            <a:ext uri="{FF2B5EF4-FFF2-40B4-BE49-F238E27FC236}">
              <a16:creationId xmlns:a16="http://schemas.microsoft.com/office/drawing/2014/main" id="{3E35F542-82E0-400A-8505-EFFCDBB14DA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8" name="Line 16">
          <a:extLst>
            <a:ext uri="{FF2B5EF4-FFF2-40B4-BE49-F238E27FC236}">
              <a16:creationId xmlns:a16="http://schemas.microsoft.com/office/drawing/2014/main" id="{DC6B7A6E-A927-4AF9-808D-065B107D467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9" name="Line 17">
          <a:extLst>
            <a:ext uri="{FF2B5EF4-FFF2-40B4-BE49-F238E27FC236}">
              <a16:creationId xmlns:a16="http://schemas.microsoft.com/office/drawing/2014/main" id="{B89045DF-9926-4052-863D-319A62E646B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0" name="Line 18">
          <a:extLst>
            <a:ext uri="{FF2B5EF4-FFF2-40B4-BE49-F238E27FC236}">
              <a16:creationId xmlns:a16="http://schemas.microsoft.com/office/drawing/2014/main" id="{FAF361B6-4294-43DC-A313-B037FA9628E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1" name="Line 19">
          <a:extLst>
            <a:ext uri="{FF2B5EF4-FFF2-40B4-BE49-F238E27FC236}">
              <a16:creationId xmlns:a16="http://schemas.microsoft.com/office/drawing/2014/main" id="{59CC141D-46F3-43EE-9D29-B236DB13630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2" name="Line 20">
          <a:extLst>
            <a:ext uri="{FF2B5EF4-FFF2-40B4-BE49-F238E27FC236}">
              <a16:creationId xmlns:a16="http://schemas.microsoft.com/office/drawing/2014/main" id="{9CB8FD9A-A90D-4951-A267-DE8082C367C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3" name="Line 21">
          <a:extLst>
            <a:ext uri="{FF2B5EF4-FFF2-40B4-BE49-F238E27FC236}">
              <a16:creationId xmlns:a16="http://schemas.microsoft.com/office/drawing/2014/main" id="{E0F5BB81-13D6-40BF-B16B-9825C85116F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4" name="Line 22">
          <a:extLst>
            <a:ext uri="{FF2B5EF4-FFF2-40B4-BE49-F238E27FC236}">
              <a16:creationId xmlns:a16="http://schemas.microsoft.com/office/drawing/2014/main" id="{6A7560D0-EB86-4DCC-BE22-461A85D49B1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5" name="Line 23">
          <a:extLst>
            <a:ext uri="{FF2B5EF4-FFF2-40B4-BE49-F238E27FC236}">
              <a16:creationId xmlns:a16="http://schemas.microsoft.com/office/drawing/2014/main" id="{94309823-397C-49B5-9361-C617DF023F2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6" name="Line 24">
          <a:extLst>
            <a:ext uri="{FF2B5EF4-FFF2-40B4-BE49-F238E27FC236}">
              <a16:creationId xmlns:a16="http://schemas.microsoft.com/office/drawing/2014/main" id="{ABCA4886-200A-4511-A92F-5B74FD42CDF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7" name="Line 25">
          <a:extLst>
            <a:ext uri="{FF2B5EF4-FFF2-40B4-BE49-F238E27FC236}">
              <a16:creationId xmlns:a16="http://schemas.microsoft.com/office/drawing/2014/main" id="{9591AA80-5DC5-4FD9-8F6B-0940F09765B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8" name="Line 26">
          <a:extLst>
            <a:ext uri="{FF2B5EF4-FFF2-40B4-BE49-F238E27FC236}">
              <a16:creationId xmlns:a16="http://schemas.microsoft.com/office/drawing/2014/main" id="{03A05F5A-4277-4761-BBEC-2DDB1F68977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9" name="Line 27">
          <a:extLst>
            <a:ext uri="{FF2B5EF4-FFF2-40B4-BE49-F238E27FC236}">
              <a16:creationId xmlns:a16="http://schemas.microsoft.com/office/drawing/2014/main" id="{3BD5C0D0-6D96-446E-AA95-0352EDA9096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0" name="Line 28">
          <a:extLst>
            <a:ext uri="{FF2B5EF4-FFF2-40B4-BE49-F238E27FC236}">
              <a16:creationId xmlns:a16="http://schemas.microsoft.com/office/drawing/2014/main" id="{5071DD6C-23A8-41FD-BF91-A7447648F60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1" name="Line 29">
          <a:extLst>
            <a:ext uri="{FF2B5EF4-FFF2-40B4-BE49-F238E27FC236}">
              <a16:creationId xmlns:a16="http://schemas.microsoft.com/office/drawing/2014/main" id="{920E7B82-1C8E-4E8D-8542-5B38E8FC041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2" name="Line 30">
          <a:extLst>
            <a:ext uri="{FF2B5EF4-FFF2-40B4-BE49-F238E27FC236}">
              <a16:creationId xmlns:a16="http://schemas.microsoft.com/office/drawing/2014/main" id="{E964BA71-9F4B-4E38-8535-47F9F142E87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3" name="Line 31">
          <a:extLst>
            <a:ext uri="{FF2B5EF4-FFF2-40B4-BE49-F238E27FC236}">
              <a16:creationId xmlns:a16="http://schemas.microsoft.com/office/drawing/2014/main" id="{0A2CD681-9133-4541-A095-C5171440CA9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4" name="Line 32">
          <a:extLst>
            <a:ext uri="{FF2B5EF4-FFF2-40B4-BE49-F238E27FC236}">
              <a16:creationId xmlns:a16="http://schemas.microsoft.com/office/drawing/2014/main" id="{EF68D3CE-B492-4391-A703-3E152E3C862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5" name="Line 33">
          <a:extLst>
            <a:ext uri="{FF2B5EF4-FFF2-40B4-BE49-F238E27FC236}">
              <a16:creationId xmlns:a16="http://schemas.microsoft.com/office/drawing/2014/main" id="{DB7CB40F-AB68-4FF5-9E3C-C9C6BEFE4FB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6" name="Line 34">
          <a:extLst>
            <a:ext uri="{FF2B5EF4-FFF2-40B4-BE49-F238E27FC236}">
              <a16:creationId xmlns:a16="http://schemas.microsoft.com/office/drawing/2014/main" id="{DB328F4C-50A3-4B65-8819-44008E76BDE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7" name="Line 35">
          <a:extLst>
            <a:ext uri="{FF2B5EF4-FFF2-40B4-BE49-F238E27FC236}">
              <a16:creationId xmlns:a16="http://schemas.microsoft.com/office/drawing/2014/main" id="{2E31F8E6-06C2-4E3C-8DC2-2E9CB1F8F14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8" name="Line 36">
          <a:extLst>
            <a:ext uri="{FF2B5EF4-FFF2-40B4-BE49-F238E27FC236}">
              <a16:creationId xmlns:a16="http://schemas.microsoft.com/office/drawing/2014/main" id="{C1AEB4B7-D383-42B2-A0AA-79C0A0133D3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9" name="Line 37">
          <a:extLst>
            <a:ext uri="{FF2B5EF4-FFF2-40B4-BE49-F238E27FC236}">
              <a16:creationId xmlns:a16="http://schemas.microsoft.com/office/drawing/2014/main" id="{12449195-1D2F-4265-85BA-F240ECAE156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0" name="Line 38">
          <a:extLst>
            <a:ext uri="{FF2B5EF4-FFF2-40B4-BE49-F238E27FC236}">
              <a16:creationId xmlns:a16="http://schemas.microsoft.com/office/drawing/2014/main" id="{C57A101D-E686-4A22-90B8-3E4A05A9CC5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1" name="Line 39">
          <a:extLst>
            <a:ext uri="{FF2B5EF4-FFF2-40B4-BE49-F238E27FC236}">
              <a16:creationId xmlns:a16="http://schemas.microsoft.com/office/drawing/2014/main" id="{648461FB-DB82-4B47-AEA0-950A65E4201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2" name="Line 40">
          <a:extLst>
            <a:ext uri="{FF2B5EF4-FFF2-40B4-BE49-F238E27FC236}">
              <a16:creationId xmlns:a16="http://schemas.microsoft.com/office/drawing/2014/main" id="{A0B2EEB7-28CD-4ED2-A30C-EFAE90AFCB7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3" name="Line 41">
          <a:extLst>
            <a:ext uri="{FF2B5EF4-FFF2-40B4-BE49-F238E27FC236}">
              <a16:creationId xmlns:a16="http://schemas.microsoft.com/office/drawing/2014/main" id="{B81BAB51-3D48-40B3-8118-1EEAFED515B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4" name="Line 42">
          <a:extLst>
            <a:ext uri="{FF2B5EF4-FFF2-40B4-BE49-F238E27FC236}">
              <a16:creationId xmlns:a16="http://schemas.microsoft.com/office/drawing/2014/main" id="{80429974-F9B9-4D6C-AB50-44231A61BDA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5" name="Line 43">
          <a:extLst>
            <a:ext uri="{FF2B5EF4-FFF2-40B4-BE49-F238E27FC236}">
              <a16:creationId xmlns:a16="http://schemas.microsoft.com/office/drawing/2014/main" id="{B375C71C-118E-4B7C-AA9E-8DA8BAB5990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6" name="Line 44">
          <a:extLst>
            <a:ext uri="{FF2B5EF4-FFF2-40B4-BE49-F238E27FC236}">
              <a16:creationId xmlns:a16="http://schemas.microsoft.com/office/drawing/2014/main" id="{40BC3C80-20A8-4902-A703-C520EE219FB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7" name="Line 45">
          <a:extLst>
            <a:ext uri="{FF2B5EF4-FFF2-40B4-BE49-F238E27FC236}">
              <a16:creationId xmlns:a16="http://schemas.microsoft.com/office/drawing/2014/main" id="{1BDC4780-FB5E-4742-B1CC-9E56FDCEF43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8" name="Line 46">
          <a:extLst>
            <a:ext uri="{FF2B5EF4-FFF2-40B4-BE49-F238E27FC236}">
              <a16:creationId xmlns:a16="http://schemas.microsoft.com/office/drawing/2014/main" id="{9CFA5719-3EC8-4E12-94A2-95D37A9E74E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9" name="Line 47">
          <a:extLst>
            <a:ext uri="{FF2B5EF4-FFF2-40B4-BE49-F238E27FC236}">
              <a16:creationId xmlns:a16="http://schemas.microsoft.com/office/drawing/2014/main" id="{91EB722F-974C-41DF-A37E-2A812C138E9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0" name="Line 48">
          <a:extLst>
            <a:ext uri="{FF2B5EF4-FFF2-40B4-BE49-F238E27FC236}">
              <a16:creationId xmlns:a16="http://schemas.microsoft.com/office/drawing/2014/main" id="{7A06856B-92E7-4002-AE16-501FD2ECB73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1" name="Line 49">
          <a:extLst>
            <a:ext uri="{FF2B5EF4-FFF2-40B4-BE49-F238E27FC236}">
              <a16:creationId xmlns:a16="http://schemas.microsoft.com/office/drawing/2014/main" id="{7A4C4343-1BB6-49F3-A8F9-0C78EF470CF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2" name="Line 50">
          <a:extLst>
            <a:ext uri="{FF2B5EF4-FFF2-40B4-BE49-F238E27FC236}">
              <a16:creationId xmlns:a16="http://schemas.microsoft.com/office/drawing/2014/main" id="{C2B336C8-1E77-4AF1-97CD-FEB9CB68720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3" name="Line 1">
          <a:extLst>
            <a:ext uri="{FF2B5EF4-FFF2-40B4-BE49-F238E27FC236}">
              <a16:creationId xmlns:a16="http://schemas.microsoft.com/office/drawing/2014/main" id="{0FC57D9E-4B23-4660-956A-E403E97196D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4" name="Line 2">
          <a:extLst>
            <a:ext uri="{FF2B5EF4-FFF2-40B4-BE49-F238E27FC236}">
              <a16:creationId xmlns:a16="http://schemas.microsoft.com/office/drawing/2014/main" id="{3DEB4DF8-F161-4B0B-833C-A91CE145BDA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5" name="Line 5">
          <a:extLst>
            <a:ext uri="{FF2B5EF4-FFF2-40B4-BE49-F238E27FC236}">
              <a16:creationId xmlns:a16="http://schemas.microsoft.com/office/drawing/2014/main" id="{57F50716-BE6A-4BF6-94D2-F8172A8F957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6" name="Line 6">
          <a:extLst>
            <a:ext uri="{FF2B5EF4-FFF2-40B4-BE49-F238E27FC236}">
              <a16:creationId xmlns:a16="http://schemas.microsoft.com/office/drawing/2014/main" id="{70288CC1-036F-4FA2-A359-DC16643F5CD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7" name="Line 7">
          <a:extLst>
            <a:ext uri="{FF2B5EF4-FFF2-40B4-BE49-F238E27FC236}">
              <a16:creationId xmlns:a16="http://schemas.microsoft.com/office/drawing/2014/main" id="{9B198594-146F-4DA0-BE2B-84284D79B7A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8" name="Line 8">
          <a:extLst>
            <a:ext uri="{FF2B5EF4-FFF2-40B4-BE49-F238E27FC236}">
              <a16:creationId xmlns:a16="http://schemas.microsoft.com/office/drawing/2014/main" id="{A224C33B-7DEF-47C8-AA6C-A73D4030641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9" name="Line 9">
          <a:extLst>
            <a:ext uri="{FF2B5EF4-FFF2-40B4-BE49-F238E27FC236}">
              <a16:creationId xmlns:a16="http://schemas.microsoft.com/office/drawing/2014/main" id="{3D1D3C5E-4F08-41CD-BFC3-1879C12D61F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0" name="Line 10">
          <a:extLst>
            <a:ext uri="{FF2B5EF4-FFF2-40B4-BE49-F238E27FC236}">
              <a16:creationId xmlns:a16="http://schemas.microsoft.com/office/drawing/2014/main" id="{9C6471D4-409E-4F51-A64F-23271E598D7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1" name="Line 11">
          <a:extLst>
            <a:ext uri="{FF2B5EF4-FFF2-40B4-BE49-F238E27FC236}">
              <a16:creationId xmlns:a16="http://schemas.microsoft.com/office/drawing/2014/main" id="{BCD930AC-6804-4E16-BEEB-FA1B1F3747E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2" name="Line 12">
          <a:extLst>
            <a:ext uri="{FF2B5EF4-FFF2-40B4-BE49-F238E27FC236}">
              <a16:creationId xmlns:a16="http://schemas.microsoft.com/office/drawing/2014/main" id="{A3FAFD5D-F187-4B0E-8035-E962380A8C7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3" name="Line 13">
          <a:extLst>
            <a:ext uri="{FF2B5EF4-FFF2-40B4-BE49-F238E27FC236}">
              <a16:creationId xmlns:a16="http://schemas.microsoft.com/office/drawing/2014/main" id="{8231B8D8-F986-4F69-8B0C-EA64C9A0863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4" name="Line 14">
          <a:extLst>
            <a:ext uri="{FF2B5EF4-FFF2-40B4-BE49-F238E27FC236}">
              <a16:creationId xmlns:a16="http://schemas.microsoft.com/office/drawing/2014/main" id="{68B3E4F4-EEC6-40D4-BE84-AFDE4AD1951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5" name="Line 15">
          <a:extLst>
            <a:ext uri="{FF2B5EF4-FFF2-40B4-BE49-F238E27FC236}">
              <a16:creationId xmlns:a16="http://schemas.microsoft.com/office/drawing/2014/main" id="{F1891C64-322A-4EA6-BA84-CA974076FB0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6" name="Line 16">
          <a:extLst>
            <a:ext uri="{FF2B5EF4-FFF2-40B4-BE49-F238E27FC236}">
              <a16:creationId xmlns:a16="http://schemas.microsoft.com/office/drawing/2014/main" id="{0FBD1BC5-D878-4B82-B551-0BA282A5F3F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7" name="Line 17">
          <a:extLst>
            <a:ext uri="{FF2B5EF4-FFF2-40B4-BE49-F238E27FC236}">
              <a16:creationId xmlns:a16="http://schemas.microsoft.com/office/drawing/2014/main" id="{10355C79-0235-4C24-B872-F08E37A54D9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8" name="Line 18">
          <a:extLst>
            <a:ext uri="{FF2B5EF4-FFF2-40B4-BE49-F238E27FC236}">
              <a16:creationId xmlns:a16="http://schemas.microsoft.com/office/drawing/2014/main" id="{99E0D450-837A-4077-8A56-AABBB1324DE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9" name="Line 19">
          <a:extLst>
            <a:ext uri="{FF2B5EF4-FFF2-40B4-BE49-F238E27FC236}">
              <a16:creationId xmlns:a16="http://schemas.microsoft.com/office/drawing/2014/main" id="{33098D70-C120-41D4-99BD-FADCBB44AED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0" name="Line 20">
          <a:extLst>
            <a:ext uri="{FF2B5EF4-FFF2-40B4-BE49-F238E27FC236}">
              <a16:creationId xmlns:a16="http://schemas.microsoft.com/office/drawing/2014/main" id="{1374A74D-2E52-41E4-BA8F-CC410C59ECF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1" name="Line 21">
          <a:extLst>
            <a:ext uri="{FF2B5EF4-FFF2-40B4-BE49-F238E27FC236}">
              <a16:creationId xmlns:a16="http://schemas.microsoft.com/office/drawing/2014/main" id="{727BCC91-13F7-4FC3-9767-5EF64A6877A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2" name="Line 22">
          <a:extLst>
            <a:ext uri="{FF2B5EF4-FFF2-40B4-BE49-F238E27FC236}">
              <a16:creationId xmlns:a16="http://schemas.microsoft.com/office/drawing/2014/main" id="{75CD31A9-5D12-4F28-8B27-2ECA285B648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3" name="Line 23">
          <a:extLst>
            <a:ext uri="{FF2B5EF4-FFF2-40B4-BE49-F238E27FC236}">
              <a16:creationId xmlns:a16="http://schemas.microsoft.com/office/drawing/2014/main" id="{33215474-858A-44C4-BF1A-81212D2621B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4" name="Line 24">
          <a:extLst>
            <a:ext uri="{FF2B5EF4-FFF2-40B4-BE49-F238E27FC236}">
              <a16:creationId xmlns:a16="http://schemas.microsoft.com/office/drawing/2014/main" id="{7EDA5EEB-BB58-4CB0-993F-006DD906EF1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5" name="Line 25">
          <a:extLst>
            <a:ext uri="{FF2B5EF4-FFF2-40B4-BE49-F238E27FC236}">
              <a16:creationId xmlns:a16="http://schemas.microsoft.com/office/drawing/2014/main" id="{E93E131F-DFE8-4547-A341-2CC996DEF97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6" name="Line 26">
          <a:extLst>
            <a:ext uri="{FF2B5EF4-FFF2-40B4-BE49-F238E27FC236}">
              <a16:creationId xmlns:a16="http://schemas.microsoft.com/office/drawing/2014/main" id="{D9B93D0C-6E46-4FEC-82DA-16E64D5ADC5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7" name="Line 27">
          <a:extLst>
            <a:ext uri="{FF2B5EF4-FFF2-40B4-BE49-F238E27FC236}">
              <a16:creationId xmlns:a16="http://schemas.microsoft.com/office/drawing/2014/main" id="{CF3DED40-FC79-414E-BFC1-35B03EBD9AC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8" name="Line 28">
          <a:extLst>
            <a:ext uri="{FF2B5EF4-FFF2-40B4-BE49-F238E27FC236}">
              <a16:creationId xmlns:a16="http://schemas.microsoft.com/office/drawing/2014/main" id="{BE61B00A-520D-4754-AFF4-BA694C4A7D8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9" name="Line 29">
          <a:extLst>
            <a:ext uri="{FF2B5EF4-FFF2-40B4-BE49-F238E27FC236}">
              <a16:creationId xmlns:a16="http://schemas.microsoft.com/office/drawing/2014/main" id="{8445FB94-C71E-41BD-B2B4-072398E7579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0" name="Line 30">
          <a:extLst>
            <a:ext uri="{FF2B5EF4-FFF2-40B4-BE49-F238E27FC236}">
              <a16:creationId xmlns:a16="http://schemas.microsoft.com/office/drawing/2014/main" id="{CC5DB209-3ACC-4A91-AA75-955CA150599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1" name="Line 31">
          <a:extLst>
            <a:ext uri="{FF2B5EF4-FFF2-40B4-BE49-F238E27FC236}">
              <a16:creationId xmlns:a16="http://schemas.microsoft.com/office/drawing/2014/main" id="{A8503AF2-2F0C-47C3-85A8-06ECB0D1415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2" name="Line 32">
          <a:extLst>
            <a:ext uri="{FF2B5EF4-FFF2-40B4-BE49-F238E27FC236}">
              <a16:creationId xmlns:a16="http://schemas.microsoft.com/office/drawing/2014/main" id="{B6D60430-88A7-4854-9A60-C4BEFA5E5BE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3" name="Line 33">
          <a:extLst>
            <a:ext uri="{FF2B5EF4-FFF2-40B4-BE49-F238E27FC236}">
              <a16:creationId xmlns:a16="http://schemas.microsoft.com/office/drawing/2014/main" id="{1E376B86-987A-4810-944F-2D8001857D0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4" name="Line 34">
          <a:extLst>
            <a:ext uri="{FF2B5EF4-FFF2-40B4-BE49-F238E27FC236}">
              <a16:creationId xmlns:a16="http://schemas.microsoft.com/office/drawing/2014/main" id="{87E0625A-7E76-4032-9602-F81649E298C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5" name="Line 35">
          <a:extLst>
            <a:ext uri="{FF2B5EF4-FFF2-40B4-BE49-F238E27FC236}">
              <a16:creationId xmlns:a16="http://schemas.microsoft.com/office/drawing/2014/main" id="{73C47DCB-9B6A-4E80-83B6-C4508D46C79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6" name="Line 36">
          <a:extLst>
            <a:ext uri="{FF2B5EF4-FFF2-40B4-BE49-F238E27FC236}">
              <a16:creationId xmlns:a16="http://schemas.microsoft.com/office/drawing/2014/main" id="{84431C05-1E11-415D-AEFE-35EE2EBE0D6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7" name="Line 37">
          <a:extLst>
            <a:ext uri="{FF2B5EF4-FFF2-40B4-BE49-F238E27FC236}">
              <a16:creationId xmlns:a16="http://schemas.microsoft.com/office/drawing/2014/main" id="{8F627C10-8E8C-48ED-B742-D5B1410160F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8" name="Line 38">
          <a:extLst>
            <a:ext uri="{FF2B5EF4-FFF2-40B4-BE49-F238E27FC236}">
              <a16:creationId xmlns:a16="http://schemas.microsoft.com/office/drawing/2014/main" id="{F9A3A46C-2C96-490D-B405-05B65CFA886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9" name="Line 39">
          <a:extLst>
            <a:ext uri="{FF2B5EF4-FFF2-40B4-BE49-F238E27FC236}">
              <a16:creationId xmlns:a16="http://schemas.microsoft.com/office/drawing/2014/main" id="{D92D4EEF-2ACD-4A30-A41D-BE45483C270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0" name="Line 40">
          <a:extLst>
            <a:ext uri="{FF2B5EF4-FFF2-40B4-BE49-F238E27FC236}">
              <a16:creationId xmlns:a16="http://schemas.microsoft.com/office/drawing/2014/main" id="{162BDEF1-7DBF-4DA4-83E7-55503FA3DFA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1" name="Line 41">
          <a:extLst>
            <a:ext uri="{FF2B5EF4-FFF2-40B4-BE49-F238E27FC236}">
              <a16:creationId xmlns:a16="http://schemas.microsoft.com/office/drawing/2014/main" id="{5C73EC29-A7AB-48B5-9C6D-3A74504BB22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2" name="Line 42">
          <a:extLst>
            <a:ext uri="{FF2B5EF4-FFF2-40B4-BE49-F238E27FC236}">
              <a16:creationId xmlns:a16="http://schemas.microsoft.com/office/drawing/2014/main" id="{6C5AC9D2-134A-414C-8F24-C391CCA55A3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3" name="Line 43">
          <a:extLst>
            <a:ext uri="{FF2B5EF4-FFF2-40B4-BE49-F238E27FC236}">
              <a16:creationId xmlns:a16="http://schemas.microsoft.com/office/drawing/2014/main" id="{3FAC8D05-D7D4-44D2-840C-AE8A6727294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4" name="Line 44">
          <a:extLst>
            <a:ext uri="{FF2B5EF4-FFF2-40B4-BE49-F238E27FC236}">
              <a16:creationId xmlns:a16="http://schemas.microsoft.com/office/drawing/2014/main" id="{B7A7EB05-10CC-4708-9254-6F1F6C9911C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5" name="Line 45">
          <a:extLst>
            <a:ext uri="{FF2B5EF4-FFF2-40B4-BE49-F238E27FC236}">
              <a16:creationId xmlns:a16="http://schemas.microsoft.com/office/drawing/2014/main" id="{3DA1933E-9E1B-4296-BFB2-1D2FBBF3D97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6" name="Line 46">
          <a:extLst>
            <a:ext uri="{FF2B5EF4-FFF2-40B4-BE49-F238E27FC236}">
              <a16:creationId xmlns:a16="http://schemas.microsoft.com/office/drawing/2014/main" id="{61AFF902-54AE-4F62-81D5-5D872BD57F7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7" name="Line 47">
          <a:extLst>
            <a:ext uri="{FF2B5EF4-FFF2-40B4-BE49-F238E27FC236}">
              <a16:creationId xmlns:a16="http://schemas.microsoft.com/office/drawing/2014/main" id="{566A178D-7B22-4E83-9C7C-F7F10942BD6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8" name="Line 48">
          <a:extLst>
            <a:ext uri="{FF2B5EF4-FFF2-40B4-BE49-F238E27FC236}">
              <a16:creationId xmlns:a16="http://schemas.microsoft.com/office/drawing/2014/main" id="{2797ABF6-0691-4892-B666-277373ED2E1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9" name="Line 49">
          <a:extLst>
            <a:ext uri="{FF2B5EF4-FFF2-40B4-BE49-F238E27FC236}">
              <a16:creationId xmlns:a16="http://schemas.microsoft.com/office/drawing/2014/main" id="{380C4DF0-9B49-45F9-87AD-CF6754D1A13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90" name="Line 50">
          <a:extLst>
            <a:ext uri="{FF2B5EF4-FFF2-40B4-BE49-F238E27FC236}">
              <a16:creationId xmlns:a16="http://schemas.microsoft.com/office/drawing/2014/main" id="{7861F920-C7BB-431E-B483-3E3D6C3A981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0</xdr:colOff>
      <xdr:row>5</xdr:row>
      <xdr:rowOff>0</xdr:rowOff>
    </xdr:from>
    <xdr:to>
      <xdr:col>19</xdr:col>
      <xdr:colOff>0</xdr:colOff>
      <xdr:row>5</xdr:row>
      <xdr:rowOff>0</xdr:rowOff>
    </xdr:to>
    <xdr:sp macro="" textlink="">
      <xdr:nvSpPr>
        <xdr:cNvPr id="2" name="Line 1">
          <a:extLst>
            <a:ext uri="{FF2B5EF4-FFF2-40B4-BE49-F238E27FC236}">
              <a16:creationId xmlns:a16="http://schemas.microsoft.com/office/drawing/2014/main" id="{FA6AB911-D871-49D4-96BE-5C831E22A21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 name="Line 2">
          <a:extLst>
            <a:ext uri="{FF2B5EF4-FFF2-40B4-BE49-F238E27FC236}">
              <a16:creationId xmlns:a16="http://schemas.microsoft.com/office/drawing/2014/main" id="{48B1362E-838D-49A4-A31F-D84BC176DDA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211</xdr:col>
      <xdr:colOff>0</xdr:colOff>
      <xdr:row>5</xdr:row>
      <xdr:rowOff>0</xdr:rowOff>
    </xdr:from>
    <xdr:to>
      <xdr:col>211</xdr:col>
      <xdr:colOff>0</xdr:colOff>
      <xdr:row>5</xdr:row>
      <xdr:rowOff>0</xdr:rowOff>
    </xdr:to>
    <xdr:sp macro="" textlink="">
      <xdr:nvSpPr>
        <xdr:cNvPr id="4" name="Line 4">
          <a:extLst>
            <a:ext uri="{FF2B5EF4-FFF2-40B4-BE49-F238E27FC236}">
              <a16:creationId xmlns:a16="http://schemas.microsoft.com/office/drawing/2014/main" id="{D1F527E7-302B-44CF-8123-936D1B02E651}"/>
            </a:ext>
          </a:extLst>
        </xdr:cNvPr>
        <xdr:cNvSpPr>
          <a:spLocks noChangeShapeType="1"/>
        </xdr:cNvSpPr>
      </xdr:nvSpPr>
      <xdr:spPr bwMode="auto">
        <a:xfrm flipH="1">
          <a:off x="93640275" y="15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 name="Line 5">
          <a:extLst>
            <a:ext uri="{FF2B5EF4-FFF2-40B4-BE49-F238E27FC236}">
              <a16:creationId xmlns:a16="http://schemas.microsoft.com/office/drawing/2014/main" id="{94BF5B86-8147-4DBE-9715-5D5D1EC158A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6" name="Line 6">
          <a:extLst>
            <a:ext uri="{FF2B5EF4-FFF2-40B4-BE49-F238E27FC236}">
              <a16:creationId xmlns:a16="http://schemas.microsoft.com/office/drawing/2014/main" id="{DA461FB8-A600-4DD3-92E1-2C03A2F8117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7" name="Line 7">
          <a:extLst>
            <a:ext uri="{FF2B5EF4-FFF2-40B4-BE49-F238E27FC236}">
              <a16:creationId xmlns:a16="http://schemas.microsoft.com/office/drawing/2014/main" id="{B7CBED6A-AA65-45B1-9AA3-A5F997514CF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8" name="Line 8">
          <a:extLst>
            <a:ext uri="{FF2B5EF4-FFF2-40B4-BE49-F238E27FC236}">
              <a16:creationId xmlns:a16="http://schemas.microsoft.com/office/drawing/2014/main" id="{53D33B3B-07D2-49B4-A509-8F298B2952D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9" name="Line 9">
          <a:extLst>
            <a:ext uri="{FF2B5EF4-FFF2-40B4-BE49-F238E27FC236}">
              <a16:creationId xmlns:a16="http://schemas.microsoft.com/office/drawing/2014/main" id="{80B7831D-3984-44E2-BFCC-FE623FD3BC6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0" name="Line 10">
          <a:extLst>
            <a:ext uri="{FF2B5EF4-FFF2-40B4-BE49-F238E27FC236}">
              <a16:creationId xmlns:a16="http://schemas.microsoft.com/office/drawing/2014/main" id="{F8FBB0C6-03C6-4550-BB31-46D44E1CA66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1" name="Line 11">
          <a:extLst>
            <a:ext uri="{FF2B5EF4-FFF2-40B4-BE49-F238E27FC236}">
              <a16:creationId xmlns:a16="http://schemas.microsoft.com/office/drawing/2014/main" id="{4C539B1E-B144-4AF3-A208-B5C45569BB6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2" name="Line 12">
          <a:extLst>
            <a:ext uri="{FF2B5EF4-FFF2-40B4-BE49-F238E27FC236}">
              <a16:creationId xmlns:a16="http://schemas.microsoft.com/office/drawing/2014/main" id="{A2BD7D44-7879-432E-94D6-CAFC5B7AB1F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3" name="Line 13">
          <a:extLst>
            <a:ext uri="{FF2B5EF4-FFF2-40B4-BE49-F238E27FC236}">
              <a16:creationId xmlns:a16="http://schemas.microsoft.com/office/drawing/2014/main" id="{D44B212C-ABC7-43D2-A9CD-40D0921AB7E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4" name="Line 14">
          <a:extLst>
            <a:ext uri="{FF2B5EF4-FFF2-40B4-BE49-F238E27FC236}">
              <a16:creationId xmlns:a16="http://schemas.microsoft.com/office/drawing/2014/main" id="{7A8BA54F-C668-4610-B5B6-6D8502481CE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5" name="Line 15">
          <a:extLst>
            <a:ext uri="{FF2B5EF4-FFF2-40B4-BE49-F238E27FC236}">
              <a16:creationId xmlns:a16="http://schemas.microsoft.com/office/drawing/2014/main" id="{31867853-D5EA-4499-9B19-2B8353812A3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6" name="Line 16">
          <a:extLst>
            <a:ext uri="{FF2B5EF4-FFF2-40B4-BE49-F238E27FC236}">
              <a16:creationId xmlns:a16="http://schemas.microsoft.com/office/drawing/2014/main" id="{3748ABF6-CC81-4B58-BAE6-D621BA75DA1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7" name="Line 17">
          <a:extLst>
            <a:ext uri="{FF2B5EF4-FFF2-40B4-BE49-F238E27FC236}">
              <a16:creationId xmlns:a16="http://schemas.microsoft.com/office/drawing/2014/main" id="{8B911FC4-594D-4AD7-AD8E-9832D912923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8" name="Line 18">
          <a:extLst>
            <a:ext uri="{FF2B5EF4-FFF2-40B4-BE49-F238E27FC236}">
              <a16:creationId xmlns:a16="http://schemas.microsoft.com/office/drawing/2014/main" id="{FD323110-7956-4B5C-946B-DC98991DABF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9" name="Line 19">
          <a:extLst>
            <a:ext uri="{FF2B5EF4-FFF2-40B4-BE49-F238E27FC236}">
              <a16:creationId xmlns:a16="http://schemas.microsoft.com/office/drawing/2014/main" id="{BF50484C-66FF-48C0-ABC2-D01E6BDD01C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0" name="Line 20">
          <a:extLst>
            <a:ext uri="{FF2B5EF4-FFF2-40B4-BE49-F238E27FC236}">
              <a16:creationId xmlns:a16="http://schemas.microsoft.com/office/drawing/2014/main" id="{417390A9-CDD9-48B6-AA57-683A8052458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1" name="Line 21">
          <a:extLst>
            <a:ext uri="{FF2B5EF4-FFF2-40B4-BE49-F238E27FC236}">
              <a16:creationId xmlns:a16="http://schemas.microsoft.com/office/drawing/2014/main" id="{2C879A6A-0DC6-4668-AAE9-A6B715C1575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2" name="Line 22">
          <a:extLst>
            <a:ext uri="{FF2B5EF4-FFF2-40B4-BE49-F238E27FC236}">
              <a16:creationId xmlns:a16="http://schemas.microsoft.com/office/drawing/2014/main" id="{A9A25CD5-54FD-44E9-9AAC-5422E84C3D3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3" name="Line 23">
          <a:extLst>
            <a:ext uri="{FF2B5EF4-FFF2-40B4-BE49-F238E27FC236}">
              <a16:creationId xmlns:a16="http://schemas.microsoft.com/office/drawing/2014/main" id="{E9319E7C-C148-47AB-9B61-E1189035C42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4" name="Line 24">
          <a:extLst>
            <a:ext uri="{FF2B5EF4-FFF2-40B4-BE49-F238E27FC236}">
              <a16:creationId xmlns:a16="http://schemas.microsoft.com/office/drawing/2014/main" id="{6619E470-EBFC-4429-9187-BCB739FAB6F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5" name="Line 25">
          <a:extLst>
            <a:ext uri="{FF2B5EF4-FFF2-40B4-BE49-F238E27FC236}">
              <a16:creationId xmlns:a16="http://schemas.microsoft.com/office/drawing/2014/main" id="{D321F82F-504A-4B59-B38F-24D287A2837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6" name="Line 26">
          <a:extLst>
            <a:ext uri="{FF2B5EF4-FFF2-40B4-BE49-F238E27FC236}">
              <a16:creationId xmlns:a16="http://schemas.microsoft.com/office/drawing/2014/main" id="{9D73DD3B-4AA7-4C11-9729-C7F2AEC422E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7" name="Line 27">
          <a:extLst>
            <a:ext uri="{FF2B5EF4-FFF2-40B4-BE49-F238E27FC236}">
              <a16:creationId xmlns:a16="http://schemas.microsoft.com/office/drawing/2014/main" id="{6E7C0401-5459-4839-A256-62E8BCE712B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8" name="Line 28">
          <a:extLst>
            <a:ext uri="{FF2B5EF4-FFF2-40B4-BE49-F238E27FC236}">
              <a16:creationId xmlns:a16="http://schemas.microsoft.com/office/drawing/2014/main" id="{A03A7C85-0476-4F10-BAE8-CF862AB3381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9" name="Line 29">
          <a:extLst>
            <a:ext uri="{FF2B5EF4-FFF2-40B4-BE49-F238E27FC236}">
              <a16:creationId xmlns:a16="http://schemas.microsoft.com/office/drawing/2014/main" id="{DADBDE82-4B87-4D3D-B6F8-7B383A61F93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0" name="Line 30">
          <a:extLst>
            <a:ext uri="{FF2B5EF4-FFF2-40B4-BE49-F238E27FC236}">
              <a16:creationId xmlns:a16="http://schemas.microsoft.com/office/drawing/2014/main" id="{5B143415-6714-42E7-8706-198A222C571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1" name="Line 31">
          <a:extLst>
            <a:ext uri="{FF2B5EF4-FFF2-40B4-BE49-F238E27FC236}">
              <a16:creationId xmlns:a16="http://schemas.microsoft.com/office/drawing/2014/main" id="{4209BDD2-8CB0-4815-B592-889791558D4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2" name="Line 32">
          <a:extLst>
            <a:ext uri="{FF2B5EF4-FFF2-40B4-BE49-F238E27FC236}">
              <a16:creationId xmlns:a16="http://schemas.microsoft.com/office/drawing/2014/main" id="{54F28799-ADDE-4695-AB67-40296E7AC2D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3" name="Line 33">
          <a:extLst>
            <a:ext uri="{FF2B5EF4-FFF2-40B4-BE49-F238E27FC236}">
              <a16:creationId xmlns:a16="http://schemas.microsoft.com/office/drawing/2014/main" id="{C4BD38CC-FB4E-4B8E-A319-415F755E371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4" name="Line 34">
          <a:extLst>
            <a:ext uri="{FF2B5EF4-FFF2-40B4-BE49-F238E27FC236}">
              <a16:creationId xmlns:a16="http://schemas.microsoft.com/office/drawing/2014/main" id="{8BDA561A-AF96-417B-8ADA-4AAA12983BB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5" name="Line 35">
          <a:extLst>
            <a:ext uri="{FF2B5EF4-FFF2-40B4-BE49-F238E27FC236}">
              <a16:creationId xmlns:a16="http://schemas.microsoft.com/office/drawing/2014/main" id="{563667DA-16EB-44CB-966E-CFA2A000F39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6" name="Line 36">
          <a:extLst>
            <a:ext uri="{FF2B5EF4-FFF2-40B4-BE49-F238E27FC236}">
              <a16:creationId xmlns:a16="http://schemas.microsoft.com/office/drawing/2014/main" id="{455D9BD5-56C2-4BC9-872E-5602F5C3226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7" name="Line 37">
          <a:extLst>
            <a:ext uri="{FF2B5EF4-FFF2-40B4-BE49-F238E27FC236}">
              <a16:creationId xmlns:a16="http://schemas.microsoft.com/office/drawing/2014/main" id="{71988D80-5A08-4436-AD9F-866A52D06D0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8" name="Line 38">
          <a:extLst>
            <a:ext uri="{FF2B5EF4-FFF2-40B4-BE49-F238E27FC236}">
              <a16:creationId xmlns:a16="http://schemas.microsoft.com/office/drawing/2014/main" id="{2C2A1581-8EFC-4B12-BDF6-B88384E9A5B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9" name="Line 39">
          <a:extLst>
            <a:ext uri="{FF2B5EF4-FFF2-40B4-BE49-F238E27FC236}">
              <a16:creationId xmlns:a16="http://schemas.microsoft.com/office/drawing/2014/main" id="{42D39052-B350-43F1-B2DF-A0B9478C114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0" name="Line 40">
          <a:extLst>
            <a:ext uri="{FF2B5EF4-FFF2-40B4-BE49-F238E27FC236}">
              <a16:creationId xmlns:a16="http://schemas.microsoft.com/office/drawing/2014/main" id="{CC315756-7EA3-4CE9-9346-FC9CF6A5FE2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1" name="Line 41">
          <a:extLst>
            <a:ext uri="{FF2B5EF4-FFF2-40B4-BE49-F238E27FC236}">
              <a16:creationId xmlns:a16="http://schemas.microsoft.com/office/drawing/2014/main" id="{57C2290A-A30E-4D8B-8E86-48139A95164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2" name="Line 42">
          <a:extLst>
            <a:ext uri="{FF2B5EF4-FFF2-40B4-BE49-F238E27FC236}">
              <a16:creationId xmlns:a16="http://schemas.microsoft.com/office/drawing/2014/main" id="{1E67C464-B545-4473-9230-968244A727E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3" name="Line 43">
          <a:extLst>
            <a:ext uri="{FF2B5EF4-FFF2-40B4-BE49-F238E27FC236}">
              <a16:creationId xmlns:a16="http://schemas.microsoft.com/office/drawing/2014/main" id="{CBA7238E-F652-4494-AE4E-B04840F2AA3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4" name="Line 44">
          <a:extLst>
            <a:ext uri="{FF2B5EF4-FFF2-40B4-BE49-F238E27FC236}">
              <a16:creationId xmlns:a16="http://schemas.microsoft.com/office/drawing/2014/main" id="{80F85566-80C2-44DE-AA8A-A3C5AE8FAD7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5" name="Line 45">
          <a:extLst>
            <a:ext uri="{FF2B5EF4-FFF2-40B4-BE49-F238E27FC236}">
              <a16:creationId xmlns:a16="http://schemas.microsoft.com/office/drawing/2014/main" id="{75549586-339E-4567-988B-DD493CF7195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6" name="Line 46">
          <a:extLst>
            <a:ext uri="{FF2B5EF4-FFF2-40B4-BE49-F238E27FC236}">
              <a16:creationId xmlns:a16="http://schemas.microsoft.com/office/drawing/2014/main" id="{068BCF9B-A707-403D-810D-5D0ABD8C46E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7" name="Line 47">
          <a:extLst>
            <a:ext uri="{FF2B5EF4-FFF2-40B4-BE49-F238E27FC236}">
              <a16:creationId xmlns:a16="http://schemas.microsoft.com/office/drawing/2014/main" id="{6A0E5CEC-606F-4F78-BFC0-6431C429F19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8" name="Line 48">
          <a:extLst>
            <a:ext uri="{FF2B5EF4-FFF2-40B4-BE49-F238E27FC236}">
              <a16:creationId xmlns:a16="http://schemas.microsoft.com/office/drawing/2014/main" id="{16BF37FD-337F-4DBC-B0EF-7BD1EAFFB39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9" name="Line 49">
          <a:extLst>
            <a:ext uri="{FF2B5EF4-FFF2-40B4-BE49-F238E27FC236}">
              <a16:creationId xmlns:a16="http://schemas.microsoft.com/office/drawing/2014/main" id="{2995E2AB-0701-4C77-BC6C-F22A80AFDF9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0" name="Line 50">
          <a:extLst>
            <a:ext uri="{FF2B5EF4-FFF2-40B4-BE49-F238E27FC236}">
              <a16:creationId xmlns:a16="http://schemas.microsoft.com/office/drawing/2014/main" id="{E51F5D5D-F611-4CB8-8660-5E37AD3AB83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1" name="Line 1">
          <a:extLst>
            <a:ext uri="{FF2B5EF4-FFF2-40B4-BE49-F238E27FC236}">
              <a16:creationId xmlns:a16="http://schemas.microsoft.com/office/drawing/2014/main" id="{AB7CC21A-A8D9-4C7A-AC07-B07238A19AE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2" name="Line 2">
          <a:extLst>
            <a:ext uri="{FF2B5EF4-FFF2-40B4-BE49-F238E27FC236}">
              <a16:creationId xmlns:a16="http://schemas.microsoft.com/office/drawing/2014/main" id="{D0BB2A7E-CFCE-40C3-BCAA-0F2A5248363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3" name="Line 5">
          <a:extLst>
            <a:ext uri="{FF2B5EF4-FFF2-40B4-BE49-F238E27FC236}">
              <a16:creationId xmlns:a16="http://schemas.microsoft.com/office/drawing/2014/main" id="{664E9344-EC01-4FA5-8804-80391DDB9C0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4" name="Line 6">
          <a:extLst>
            <a:ext uri="{FF2B5EF4-FFF2-40B4-BE49-F238E27FC236}">
              <a16:creationId xmlns:a16="http://schemas.microsoft.com/office/drawing/2014/main" id="{3402DBE2-BA62-47E4-93FD-9BA78D61EA0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5" name="Line 7">
          <a:extLst>
            <a:ext uri="{FF2B5EF4-FFF2-40B4-BE49-F238E27FC236}">
              <a16:creationId xmlns:a16="http://schemas.microsoft.com/office/drawing/2014/main" id="{44781072-8A24-451A-BAEF-5E38F4789C2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6" name="Line 8">
          <a:extLst>
            <a:ext uri="{FF2B5EF4-FFF2-40B4-BE49-F238E27FC236}">
              <a16:creationId xmlns:a16="http://schemas.microsoft.com/office/drawing/2014/main" id="{8D03C873-53A2-464D-8E9D-FFC6F9ACE82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7" name="Line 9">
          <a:extLst>
            <a:ext uri="{FF2B5EF4-FFF2-40B4-BE49-F238E27FC236}">
              <a16:creationId xmlns:a16="http://schemas.microsoft.com/office/drawing/2014/main" id="{315F4C72-E48B-4215-86F9-74C3B07FE67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8" name="Line 10">
          <a:extLst>
            <a:ext uri="{FF2B5EF4-FFF2-40B4-BE49-F238E27FC236}">
              <a16:creationId xmlns:a16="http://schemas.microsoft.com/office/drawing/2014/main" id="{3CFEB382-8E63-4300-8A75-EC10CC3E234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9" name="Line 11">
          <a:extLst>
            <a:ext uri="{FF2B5EF4-FFF2-40B4-BE49-F238E27FC236}">
              <a16:creationId xmlns:a16="http://schemas.microsoft.com/office/drawing/2014/main" id="{A8406553-D9D2-4308-83DA-795214F317B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0" name="Line 12">
          <a:extLst>
            <a:ext uri="{FF2B5EF4-FFF2-40B4-BE49-F238E27FC236}">
              <a16:creationId xmlns:a16="http://schemas.microsoft.com/office/drawing/2014/main" id="{09A9A4F5-6483-4D91-BCB7-6942B7F02A4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1" name="Line 13">
          <a:extLst>
            <a:ext uri="{FF2B5EF4-FFF2-40B4-BE49-F238E27FC236}">
              <a16:creationId xmlns:a16="http://schemas.microsoft.com/office/drawing/2014/main" id="{D387B398-C2F6-421D-9281-7DF0F002119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2" name="Line 14">
          <a:extLst>
            <a:ext uri="{FF2B5EF4-FFF2-40B4-BE49-F238E27FC236}">
              <a16:creationId xmlns:a16="http://schemas.microsoft.com/office/drawing/2014/main" id="{6EE81E90-3A0B-4EB0-97A1-92122CF8F5A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3" name="Line 15">
          <a:extLst>
            <a:ext uri="{FF2B5EF4-FFF2-40B4-BE49-F238E27FC236}">
              <a16:creationId xmlns:a16="http://schemas.microsoft.com/office/drawing/2014/main" id="{8FBB7D7E-0B4E-4729-B595-771FF1B3DEA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4" name="Line 16">
          <a:extLst>
            <a:ext uri="{FF2B5EF4-FFF2-40B4-BE49-F238E27FC236}">
              <a16:creationId xmlns:a16="http://schemas.microsoft.com/office/drawing/2014/main" id="{D948C131-0841-4E88-8916-57A930B8788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5" name="Line 17">
          <a:extLst>
            <a:ext uri="{FF2B5EF4-FFF2-40B4-BE49-F238E27FC236}">
              <a16:creationId xmlns:a16="http://schemas.microsoft.com/office/drawing/2014/main" id="{D1DE0BFA-4226-48FB-A610-EE70D0FB365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6" name="Line 18">
          <a:extLst>
            <a:ext uri="{FF2B5EF4-FFF2-40B4-BE49-F238E27FC236}">
              <a16:creationId xmlns:a16="http://schemas.microsoft.com/office/drawing/2014/main" id="{0C4B6934-78FC-42A7-9C13-5F15E740C73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7" name="Line 19">
          <a:extLst>
            <a:ext uri="{FF2B5EF4-FFF2-40B4-BE49-F238E27FC236}">
              <a16:creationId xmlns:a16="http://schemas.microsoft.com/office/drawing/2014/main" id="{59D9E892-04B1-46E8-81C6-DE869D4578B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8" name="Line 20">
          <a:extLst>
            <a:ext uri="{FF2B5EF4-FFF2-40B4-BE49-F238E27FC236}">
              <a16:creationId xmlns:a16="http://schemas.microsoft.com/office/drawing/2014/main" id="{959B0325-0327-4330-9BB9-10C6DEA10EB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9" name="Line 21">
          <a:extLst>
            <a:ext uri="{FF2B5EF4-FFF2-40B4-BE49-F238E27FC236}">
              <a16:creationId xmlns:a16="http://schemas.microsoft.com/office/drawing/2014/main" id="{5763E892-3BA0-4A5F-8D3F-BE4BDD2C6D9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0" name="Line 22">
          <a:extLst>
            <a:ext uri="{FF2B5EF4-FFF2-40B4-BE49-F238E27FC236}">
              <a16:creationId xmlns:a16="http://schemas.microsoft.com/office/drawing/2014/main" id="{D1E5BE08-2C6C-4AB8-8523-3C1546E74F1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1" name="Line 23">
          <a:extLst>
            <a:ext uri="{FF2B5EF4-FFF2-40B4-BE49-F238E27FC236}">
              <a16:creationId xmlns:a16="http://schemas.microsoft.com/office/drawing/2014/main" id="{A3642690-A213-4E8A-A435-C4E71483282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2" name="Line 24">
          <a:extLst>
            <a:ext uri="{FF2B5EF4-FFF2-40B4-BE49-F238E27FC236}">
              <a16:creationId xmlns:a16="http://schemas.microsoft.com/office/drawing/2014/main" id="{DD8541CB-D346-4DF6-9F38-581FFFD9B92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3" name="Line 25">
          <a:extLst>
            <a:ext uri="{FF2B5EF4-FFF2-40B4-BE49-F238E27FC236}">
              <a16:creationId xmlns:a16="http://schemas.microsoft.com/office/drawing/2014/main" id="{82A88F1C-F0E0-44A0-B540-DDDB8D38103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4" name="Line 26">
          <a:extLst>
            <a:ext uri="{FF2B5EF4-FFF2-40B4-BE49-F238E27FC236}">
              <a16:creationId xmlns:a16="http://schemas.microsoft.com/office/drawing/2014/main" id="{A6099BAC-7B0F-4D41-91BC-A70DFEBFE1B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5" name="Line 27">
          <a:extLst>
            <a:ext uri="{FF2B5EF4-FFF2-40B4-BE49-F238E27FC236}">
              <a16:creationId xmlns:a16="http://schemas.microsoft.com/office/drawing/2014/main" id="{965420FB-0F0C-4135-ACAA-1AB60632103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6" name="Line 28">
          <a:extLst>
            <a:ext uri="{FF2B5EF4-FFF2-40B4-BE49-F238E27FC236}">
              <a16:creationId xmlns:a16="http://schemas.microsoft.com/office/drawing/2014/main" id="{9B8E7A9F-0E5B-4CCD-B384-D9F39B32BA2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7" name="Line 29">
          <a:extLst>
            <a:ext uri="{FF2B5EF4-FFF2-40B4-BE49-F238E27FC236}">
              <a16:creationId xmlns:a16="http://schemas.microsoft.com/office/drawing/2014/main" id="{1A0DFA4B-5AEE-4A43-9B1A-97A81560DC7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8" name="Line 30">
          <a:extLst>
            <a:ext uri="{FF2B5EF4-FFF2-40B4-BE49-F238E27FC236}">
              <a16:creationId xmlns:a16="http://schemas.microsoft.com/office/drawing/2014/main" id="{9FA4528D-E1A4-4E37-ADB6-035CE13254E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9" name="Line 31">
          <a:extLst>
            <a:ext uri="{FF2B5EF4-FFF2-40B4-BE49-F238E27FC236}">
              <a16:creationId xmlns:a16="http://schemas.microsoft.com/office/drawing/2014/main" id="{C576ACB9-333F-427C-8180-865ACF2E08E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0" name="Line 32">
          <a:extLst>
            <a:ext uri="{FF2B5EF4-FFF2-40B4-BE49-F238E27FC236}">
              <a16:creationId xmlns:a16="http://schemas.microsoft.com/office/drawing/2014/main" id="{9F672BEA-5BB5-4D61-AFC7-C84105971C1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1" name="Line 33">
          <a:extLst>
            <a:ext uri="{FF2B5EF4-FFF2-40B4-BE49-F238E27FC236}">
              <a16:creationId xmlns:a16="http://schemas.microsoft.com/office/drawing/2014/main" id="{E6AFF324-F9F4-47ED-943C-7E2CA43D07F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2" name="Line 34">
          <a:extLst>
            <a:ext uri="{FF2B5EF4-FFF2-40B4-BE49-F238E27FC236}">
              <a16:creationId xmlns:a16="http://schemas.microsoft.com/office/drawing/2014/main" id="{3BCF9B15-EA23-4969-96E7-1A754F3D1BC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3" name="Line 35">
          <a:extLst>
            <a:ext uri="{FF2B5EF4-FFF2-40B4-BE49-F238E27FC236}">
              <a16:creationId xmlns:a16="http://schemas.microsoft.com/office/drawing/2014/main" id="{36C2C05D-0D64-425E-8323-BBB01C12D47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4" name="Line 36">
          <a:extLst>
            <a:ext uri="{FF2B5EF4-FFF2-40B4-BE49-F238E27FC236}">
              <a16:creationId xmlns:a16="http://schemas.microsoft.com/office/drawing/2014/main" id="{7BE1481A-7117-448B-AE36-9C436D6519E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5" name="Line 37">
          <a:extLst>
            <a:ext uri="{FF2B5EF4-FFF2-40B4-BE49-F238E27FC236}">
              <a16:creationId xmlns:a16="http://schemas.microsoft.com/office/drawing/2014/main" id="{F1A4CF27-8E29-45D4-862B-DCE661E178F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6" name="Line 38">
          <a:extLst>
            <a:ext uri="{FF2B5EF4-FFF2-40B4-BE49-F238E27FC236}">
              <a16:creationId xmlns:a16="http://schemas.microsoft.com/office/drawing/2014/main" id="{C06EC8F5-21EE-49EF-95C2-0AD8A16A382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7" name="Line 39">
          <a:extLst>
            <a:ext uri="{FF2B5EF4-FFF2-40B4-BE49-F238E27FC236}">
              <a16:creationId xmlns:a16="http://schemas.microsoft.com/office/drawing/2014/main" id="{E7D96A06-4DE2-4CE1-AA7F-9FC4558516F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8" name="Line 40">
          <a:extLst>
            <a:ext uri="{FF2B5EF4-FFF2-40B4-BE49-F238E27FC236}">
              <a16:creationId xmlns:a16="http://schemas.microsoft.com/office/drawing/2014/main" id="{A0B64B62-179B-4B8A-9BB9-82FFD10709F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9" name="Line 41">
          <a:extLst>
            <a:ext uri="{FF2B5EF4-FFF2-40B4-BE49-F238E27FC236}">
              <a16:creationId xmlns:a16="http://schemas.microsoft.com/office/drawing/2014/main" id="{A1C85EF1-DEC0-4F5D-AF0B-31A2D31F476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0" name="Line 42">
          <a:extLst>
            <a:ext uri="{FF2B5EF4-FFF2-40B4-BE49-F238E27FC236}">
              <a16:creationId xmlns:a16="http://schemas.microsoft.com/office/drawing/2014/main" id="{5446FDE7-D6D7-40EB-9479-6A51562BD50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1" name="Line 43">
          <a:extLst>
            <a:ext uri="{FF2B5EF4-FFF2-40B4-BE49-F238E27FC236}">
              <a16:creationId xmlns:a16="http://schemas.microsoft.com/office/drawing/2014/main" id="{2F6ACA6E-091E-4AA4-9D7A-DB0000DEE4B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2" name="Line 44">
          <a:extLst>
            <a:ext uri="{FF2B5EF4-FFF2-40B4-BE49-F238E27FC236}">
              <a16:creationId xmlns:a16="http://schemas.microsoft.com/office/drawing/2014/main" id="{CA247AD6-9CB3-4D45-9BC7-FEAC1769071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3" name="Line 45">
          <a:extLst>
            <a:ext uri="{FF2B5EF4-FFF2-40B4-BE49-F238E27FC236}">
              <a16:creationId xmlns:a16="http://schemas.microsoft.com/office/drawing/2014/main" id="{0EE5693F-AB0D-4E3B-A4F8-438A3A52891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4" name="Line 46">
          <a:extLst>
            <a:ext uri="{FF2B5EF4-FFF2-40B4-BE49-F238E27FC236}">
              <a16:creationId xmlns:a16="http://schemas.microsoft.com/office/drawing/2014/main" id="{B0F4372D-CC60-4E48-B458-61046A8C6A5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5" name="Line 47">
          <a:extLst>
            <a:ext uri="{FF2B5EF4-FFF2-40B4-BE49-F238E27FC236}">
              <a16:creationId xmlns:a16="http://schemas.microsoft.com/office/drawing/2014/main" id="{3AAB2BE2-CB61-4DDB-9628-FDCBF96E4BD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6" name="Line 48">
          <a:extLst>
            <a:ext uri="{FF2B5EF4-FFF2-40B4-BE49-F238E27FC236}">
              <a16:creationId xmlns:a16="http://schemas.microsoft.com/office/drawing/2014/main" id="{5A851A96-F63B-438F-B5E8-FF55D1A7859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7" name="Line 49">
          <a:extLst>
            <a:ext uri="{FF2B5EF4-FFF2-40B4-BE49-F238E27FC236}">
              <a16:creationId xmlns:a16="http://schemas.microsoft.com/office/drawing/2014/main" id="{E1A98E79-C868-47B3-BD33-79CB608E9FD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8" name="Line 50">
          <a:extLst>
            <a:ext uri="{FF2B5EF4-FFF2-40B4-BE49-F238E27FC236}">
              <a16:creationId xmlns:a16="http://schemas.microsoft.com/office/drawing/2014/main" id="{871A7A4D-3371-4F0E-B71E-FEA6F822573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99" name="Line 1">
          <a:extLst>
            <a:ext uri="{FF2B5EF4-FFF2-40B4-BE49-F238E27FC236}">
              <a16:creationId xmlns:a16="http://schemas.microsoft.com/office/drawing/2014/main" id="{AC643596-8B0F-4E26-916D-C4046B19904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0" name="Line 2">
          <a:extLst>
            <a:ext uri="{FF2B5EF4-FFF2-40B4-BE49-F238E27FC236}">
              <a16:creationId xmlns:a16="http://schemas.microsoft.com/office/drawing/2014/main" id="{9E446110-6FE3-462D-8A58-00CC37E859B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1" name="Line 5">
          <a:extLst>
            <a:ext uri="{FF2B5EF4-FFF2-40B4-BE49-F238E27FC236}">
              <a16:creationId xmlns:a16="http://schemas.microsoft.com/office/drawing/2014/main" id="{1047BB1F-CA0D-4B01-8AAF-D1D6B866520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2" name="Line 6">
          <a:extLst>
            <a:ext uri="{FF2B5EF4-FFF2-40B4-BE49-F238E27FC236}">
              <a16:creationId xmlns:a16="http://schemas.microsoft.com/office/drawing/2014/main" id="{829AB38B-DF72-4FC0-A672-CA39D8ABDE2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3" name="Line 7">
          <a:extLst>
            <a:ext uri="{FF2B5EF4-FFF2-40B4-BE49-F238E27FC236}">
              <a16:creationId xmlns:a16="http://schemas.microsoft.com/office/drawing/2014/main" id="{3CAC8379-0546-4614-A70A-BDF7F85632E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4" name="Line 8">
          <a:extLst>
            <a:ext uri="{FF2B5EF4-FFF2-40B4-BE49-F238E27FC236}">
              <a16:creationId xmlns:a16="http://schemas.microsoft.com/office/drawing/2014/main" id="{07182052-2FC8-46B8-AAB7-CCC13F1E3D9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5" name="Line 9">
          <a:extLst>
            <a:ext uri="{FF2B5EF4-FFF2-40B4-BE49-F238E27FC236}">
              <a16:creationId xmlns:a16="http://schemas.microsoft.com/office/drawing/2014/main" id="{942CF603-9F72-49C8-B324-6C0E16FF731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6" name="Line 10">
          <a:extLst>
            <a:ext uri="{FF2B5EF4-FFF2-40B4-BE49-F238E27FC236}">
              <a16:creationId xmlns:a16="http://schemas.microsoft.com/office/drawing/2014/main" id="{970A5410-3094-4998-9400-AF9A78BC58D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7" name="Line 11">
          <a:extLst>
            <a:ext uri="{FF2B5EF4-FFF2-40B4-BE49-F238E27FC236}">
              <a16:creationId xmlns:a16="http://schemas.microsoft.com/office/drawing/2014/main" id="{6C3D9FD9-F095-47CB-B141-8647F6363BF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8" name="Line 12">
          <a:extLst>
            <a:ext uri="{FF2B5EF4-FFF2-40B4-BE49-F238E27FC236}">
              <a16:creationId xmlns:a16="http://schemas.microsoft.com/office/drawing/2014/main" id="{12013783-AF1E-4B97-93A6-E0D7CABF07C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9" name="Line 13">
          <a:extLst>
            <a:ext uri="{FF2B5EF4-FFF2-40B4-BE49-F238E27FC236}">
              <a16:creationId xmlns:a16="http://schemas.microsoft.com/office/drawing/2014/main" id="{CAF089C6-AC17-406E-9449-39DFA22508B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0" name="Line 14">
          <a:extLst>
            <a:ext uri="{FF2B5EF4-FFF2-40B4-BE49-F238E27FC236}">
              <a16:creationId xmlns:a16="http://schemas.microsoft.com/office/drawing/2014/main" id="{9F06AEBD-104D-4DFB-A625-4F214F11C9D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1" name="Line 15">
          <a:extLst>
            <a:ext uri="{FF2B5EF4-FFF2-40B4-BE49-F238E27FC236}">
              <a16:creationId xmlns:a16="http://schemas.microsoft.com/office/drawing/2014/main" id="{87E3F28F-CE62-4D46-A6A4-F1F195A2C8A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2" name="Line 16">
          <a:extLst>
            <a:ext uri="{FF2B5EF4-FFF2-40B4-BE49-F238E27FC236}">
              <a16:creationId xmlns:a16="http://schemas.microsoft.com/office/drawing/2014/main" id="{C3AFA4FE-ADAB-4AD7-874E-283E5A2FB65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3" name="Line 17">
          <a:extLst>
            <a:ext uri="{FF2B5EF4-FFF2-40B4-BE49-F238E27FC236}">
              <a16:creationId xmlns:a16="http://schemas.microsoft.com/office/drawing/2014/main" id="{9E544668-4564-43A5-8A3D-0594DF77501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4" name="Line 18">
          <a:extLst>
            <a:ext uri="{FF2B5EF4-FFF2-40B4-BE49-F238E27FC236}">
              <a16:creationId xmlns:a16="http://schemas.microsoft.com/office/drawing/2014/main" id="{744F4452-FDB0-41B4-A939-D809BA14533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5" name="Line 19">
          <a:extLst>
            <a:ext uri="{FF2B5EF4-FFF2-40B4-BE49-F238E27FC236}">
              <a16:creationId xmlns:a16="http://schemas.microsoft.com/office/drawing/2014/main" id="{4F20A7E8-0D27-4D0F-ACE0-11C049071A9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6" name="Line 20">
          <a:extLst>
            <a:ext uri="{FF2B5EF4-FFF2-40B4-BE49-F238E27FC236}">
              <a16:creationId xmlns:a16="http://schemas.microsoft.com/office/drawing/2014/main" id="{23E79B1C-27E5-4394-BA69-A2D108B692E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7" name="Line 21">
          <a:extLst>
            <a:ext uri="{FF2B5EF4-FFF2-40B4-BE49-F238E27FC236}">
              <a16:creationId xmlns:a16="http://schemas.microsoft.com/office/drawing/2014/main" id="{A279CA72-D09F-4578-BE7C-05C5B91D767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8" name="Line 22">
          <a:extLst>
            <a:ext uri="{FF2B5EF4-FFF2-40B4-BE49-F238E27FC236}">
              <a16:creationId xmlns:a16="http://schemas.microsoft.com/office/drawing/2014/main" id="{8F07B364-DD59-4A80-99B4-24412C35B96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9" name="Line 23">
          <a:extLst>
            <a:ext uri="{FF2B5EF4-FFF2-40B4-BE49-F238E27FC236}">
              <a16:creationId xmlns:a16="http://schemas.microsoft.com/office/drawing/2014/main" id="{3C3DCCF0-05FE-4CF9-A648-D993E7C026A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0" name="Line 24">
          <a:extLst>
            <a:ext uri="{FF2B5EF4-FFF2-40B4-BE49-F238E27FC236}">
              <a16:creationId xmlns:a16="http://schemas.microsoft.com/office/drawing/2014/main" id="{DB934648-3B97-492D-B7FF-B7F462C0611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1" name="Line 25">
          <a:extLst>
            <a:ext uri="{FF2B5EF4-FFF2-40B4-BE49-F238E27FC236}">
              <a16:creationId xmlns:a16="http://schemas.microsoft.com/office/drawing/2014/main" id="{AFA142DE-4061-40EC-8FBA-C71FB3142F8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2" name="Line 26">
          <a:extLst>
            <a:ext uri="{FF2B5EF4-FFF2-40B4-BE49-F238E27FC236}">
              <a16:creationId xmlns:a16="http://schemas.microsoft.com/office/drawing/2014/main" id="{CAD8795F-745C-4A65-86D5-4A867E2A75E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3" name="Line 27">
          <a:extLst>
            <a:ext uri="{FF2B5EF4-FFF2-40B4-BE49-F238E27FC236}">
              <a16:creationId xmlns:a16="http://schemas.microsoft.com/office/drawing/2014/main" id="{9793BE5C-BB91-4508-AB2B-BB8C6BC34F0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4" name="Line 28">
          <a:extLst>
            <a:ext uri="{FF2B5EF4-FFF2-40B4-BE49-F238E27FC236}">
              <a16:creationId xmlns:a16="http://schemas.microsoft.com/office/drawing/2014/main" id="{1ED323ED-0463-48A8-B45C-9B0BE582E5C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5" name="Line 29">
          <a:extLst>
            <a:ext uri="{FF2B5EF4-FFF2-40B4-BE49-F238E27FC236}">
              <a16:creationId xmlns:a16="http://schemas.microsoft.com/office/drawing/2014/main" id="{6BB5B25E-9E35-4829-B2C6-D22852908B3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6" name="Line 30">
          <a:extLst>
            <a:ext uri="{FF2B5EF4-FFF2-40B4-BE49-F238E27FC236}">
              <a16:creationId xmlns:a16="http://schemas.microsoft.com/office/drawing/2014/main" id="{7B6250A3-0A46-4329-AC0E-AEB45E2C6A5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7" name="Line 31">
          <a:extLst>
            <a:ext uri="{FF2B5EF4-FFF2-40B4-BE49-F238E27FC236}">
              <a16:creationId xmlns:a16="http://schemas.microsoft.com/office/drawing/2014/main" id="{8B10992C-2DEA-4085-BFA7-E6754B2F144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8" name="Line 32">
          <a:extLst>
            <a:ext uri="{FF2B5EF4-FFF2-40B4-BE49-F238E27FC236}">
              <a16:creationId xmlns:a16="http://schemas.microsoft.com/office/drawing/2014/main" id="{9369A31A-0E89-4F9B-8665-6E6945F12DC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9" name="Line 33">
          <a:extLst>
            <a:ext uri="{FF2B5EF4-FFF2-40B4-BE49-F238E27FC236}">
              <a16:creationId xmlns:a16="http://schemas.microsoft.com/office/drawing/2014/main" id="{9E0080D0-BBC3-447A-88AD-B71B0AF9B57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0" name="Line 34">
          <a:extLst>
            <a:ext uri="{FF2B5EF4-FFF2-40B4-BE49-F238E27FC236}">
              <a16:creationId xmlns:a16="http://schemas.microsoft.com/office/drawing/2014/main" id="{B49988F4-788F-48E0-8BA0-02190314889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1" name="Line 35">
          <a:extLst>
            <a:ext uri="{FF2B5EF4-FFF2-40B4-BE49-F238E27FC236}">
              <a16:creationId xmlns:a16="http://schemas.microsoft.com/office/drawing/2014/main" id="{B2AA88DE-DF9A-43B7-9934-1A411F7EDBA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2" name="Line 36">
          <a:extLst>
            <a:ext uri="{FF2B5EF4-FFF2-40B4-BE49-F238E27FC236}">
              <a16:creationId xmlns:a16="http://schemas.microsoft.com/office/drawing/2014/main" id="{68CC3100-D6A6-4203-AF82-B83A1785857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3" name="Line 37">
          <a:extLst>
            <a:ext uri="{FF2B5EF4-FFF2-40B4-BE49-F238E27FC236}">
              <a16:creationId xmlns:a16="http://schemas.microsoft.com/office/drawing/2014/main" id="{934B997F-90D7-480C-AA61-A8630682D48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4" name="Line 38">
          <a:extLst>
            <a:ext uri="{FF2B5EF4-FFF2-40B4-BE49-F238E27FC236}">
              <a16:creationId xmlns:a16="http://schemas.microsoft.com/office/drawing/2014/main" id="{1D03CAC7-8FF0-4918-BCB9-2F2CD83C51F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5" name="Line 39">
          <a:extLst>
            <a:ext uri="{FF2B5EF4-FFF2-40B4-BE49-F238E27FC236}">
              <a16:creationId xmlns:a16="http://schemas.microsoft.com/office/drawing/2014/main" id="{B83F9EDA-C631-4F7B-A681-B9073397990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6" name="Line 40">
          <a:extLst>
            <a:ext uri="{FF2B5EF4-FFF2-40B4-BE49-F238E27FC236}">
              <a16:creationId xmlns:a16="http://schemas.microsoft.com/office/drawing/2014/main" id="{D6044570-A9D0-4AC2-9740-7EE28F234A3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7" name="Line 41">
          <a:extLst>
            <a:ext uri="{FF2B5EF4-FFF2-40B4-BE49-F238E27FC236}">
              <a16:creationId xmlns:a16="http://schemas.microsoft.com/office/drawing/2014/main" id="{B058A29C-DEE3-4C3E-BE58-1DEB050AFC4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8" name="Line 42">
          <a:extLst>
            <a:ext uri="{FF2B5EF4-FFF2-40B4-BE49-F238E27FC236}">
              <a16:creationId xmlns:a16="http://schemas.microsoft.com/office/drawing/2014/main" id="{3DA803E9-F4F4-4F4A-847E-C8DF87DE965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9" name="Line 43">
          <a:extLst>
            <a:ext uri="{FF2B5EF4-FFF2-40B4-BE49-F238E27FC236}">
              <a16:creationId xmlns:a16="http://schemas.microsoft.com/office/drawing/2014/main" id="{DAFB1C40-D77D-4D50-BF48-95AEF4CB040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0" name="Line 44">
          <a:extLst>
            <a:ext uri="{FF2B5EF4-FFF2-40B4-BE49-F238E27FC236}">
              <a16:creationId xmlns:a16="http://schemas.microsoft.com/office/drawing/2014/main" id="{B405B7FA-5D86-40E5-8D05-E6E8947D0C0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1" name="Line 45">
          <a:extLst>
            <a:ext uri="{FF2B5EF4-FFF2-40B4-BE49-F238E27FC236}">
              <a16:creationId xmlns:a16="http://schemas.microsoft.com/office/drawing/2014/main" id="{70BB4AB3-3120-4C61-A4C6-11B98F1C3CA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2" name="Line 46">
          <a:extLst>
            <a:ext uri="{FF2B5EF4-FFF2-40B4-BE49-F238E27FC236}">
              <a16:creationId xmlns:a16="http://schemas.microsoft.com/office/drawing/2014/main" id="{E8B2E324-9330-42F0-87DB-610478DCBB2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3" name="Line 47">
          <a:extLst>
            <a:ext uri="{FF2B5EF4-FFF2-40B4-BE49-F238E27FC236}">
              <a16:creationId xmlns:a16="http://schemas.microsoft.com/office/drawing/2014/main" id="{D3682165-ACD1-4101-ABCC-6B416F39631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4" name="Line 48">
          <a:extLst>
            <a:ext uri="{FF2B5EF4-FFF2-40B4-BE49-F238E27FC236}">
              <a16:creationId xmlns:a16="http://schemas.microsoft.com/office/drawing/2014/main" id="{ADF3F106-EAFD-4712-A368-24DF74F3489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5" name="Line 49">
          <a:extLst>
            <a:ext uri="{FF2B5EF4-FFF2-40B4-BE49-F238E27FC236}">
              <a16:creationId xmlns:a16="http://schemas.microsoft.com/office/drawing/2014/main" id="{5C741A9E-C8FB-4219-AE7E-16B7B68F898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6" name="Line 50">
          <a:extLst>
            <a:ext uri="{FF2B5EF4-FFF2-40B4-BE49-F238E27FC236}">
              <a16:creationId xmlns:a16="http://schemas.microsoft.com/office/drawing/2014/main" id="{5DC06232-BCCE-4CB8-88B4-6B842BF64CB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7" name="Line 1">
          <a:extLst>
            <a:ext uri="{FF2B5EF4-FFF2-40B4-BE49-F238E27FC236}">
              <a16:creationId xmlns:a16="http://schemas.microsoft.com/office/drawing/2014/main" id="{1A648B80-1FBB-478E-9005-7198B81DF0E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8" name="Line 2">
          <a:extLst>
            <a:ext uri="{FF2B5EF4-FFF2-40B4-BE49-F238E27FC236}">
              <a16:creationId xmlns:a16="http://schemas.microsoft.com/office/drawing/2014/main" id="{C331405B-6605-4B77-9592-F89150A5AAE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9" name="Line 5">
          <a:extLst>
            <a:ext uri="{FF2B5EF4-FFF2-40B4-BE49-F238E27FC236}">
              <a16:creationId xmlns:a16="http://schemas.microsoft.com/office/drawing/2014/main" id="{925D34E8-13BE-4871-A709-35CBA31860E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0" name="Line 6">
          <a:extLst>
            <a:ext uri="{FF2B5EF4-FFF2-40B4-BE49-F238E27FC236}">
              <a16:creationId xmlns:a16="http://schemas.microsoft.com/office/drawing/2014/main" id="{2C4478F3-E53C-4D5A-B36B-634AE00061B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1" name="Line 7">
          <a:extLst>
            <a:ext uri="{FF2B5EF4-FFF2-40B4-BE49-F238E27FC236}">
              <a16:creationId xmlns:a16="http://schemas.microsoft.com/office/drawing/2014/main" id="{19E7A4E2-1522-4B2C-9EEF-36D6EF04315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2" name="Line 8">
          <a:extLst>
            <a:ext uri="{FF2B5EF4-FFF2-40B4-BE49-F238E27FC236}">
              <a16:creationId xmlns:a16="http://schemas.microsoft.com/office/drawing/2014/main" id="{7ADB4FBE-AA65-432E-9BB7-4C7FA31C1B5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3" name="Line 9">
          <a:extLst>
            <a:ext uri="{FF2B5EF4-FFF2-40B4-BE49-F238E27FC236}">
              <a16:creationId xmlns:a16="http://schemas.microsoft.com/office/drawing/2014/main" id="{D98C4C72-1E88-445C-9618-94381809B01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4" name="Line 10">
          <a:extLst>
            <a:ext uri="{FF2B5EF4-FFF2-40B4-BE49-F238E27FC236}">
              <a16:creationId xmlns:a16="http://schemas.microsoft.com/office/drawing/2014/main" id="{4334C975-1428-4643-87D2-2BA8B9DE18D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5" name="Line 11">
          <a:extLst>
            <a:ext uri="{FF2B5EF4-FFF2-40B4-BE49-F238E27FC236}">
              <a16:creationId xmlns:a16="http://schemas.microsoft.com/office/drawing/2014/main" id="{3629F8D0-5E89-4572-813E-80956B1C894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6" name="Line 12">
          <a:extLst>
            <a:ext uri="{FF2B5EF4-FFF2-40B4-BE49-F238E27FC236}">
              <a16:creationId xmlns:a16="http://schemas.microsoft.com/office/drawing/2014/main" id="{43AE4182-750A-49E8-BA94-1D164A51FCA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7" name="Line 13">
          <a:extLst>
            <a:ext uri="{FF2B5EF4-FFF2-40B4-BE49-F238E27FC236}">
              <a16:creationId xmlns:a16="http://schemas.microsoft.com/office/drawing/2014/main" id="{E13C959B-9169-4D6D-BA6A-9E0DB6ABB3B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8" name="Line 14">
          <a:extLst>
            <a:ext uri="{FF2B5EF4-FFF2-40B4-BE49-F238E27FC236}">
              <a16:creationId xmlns:a16="http://schemas.microsoft.com/office/drawing/2014/main" id="{B82503A1-626E-43B4-9A11-258091E1840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9" name="Line 15">
          <a:extLst>
            <a:ext uri="{FF2B5EF4-FFF2-40B4-BE49-F238E27FC236}">
              <a16:creationId xmlns:a16="http://schemas.microsoft.com/office/drawing/2014/main" id="{8F8E9C51-0D41-4C45-AACD-620A0222979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0" name="Line 16">
          <a:extLst>
            <a:ext uri="{FF2B5EF4-FFF2-40B4-BE49-F238E27FC236}">
              <a16:creationId xmlns:a16="http://schemas.microsoft.com/office/drawing/2014/main" id="{609F635A-1BA0-4597-8C4D-666CAE76C76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1" name="Line 17">
          <a:extLst>
            <a:ext uri="{FF2B5EF4-FFF2-40B4-BE49-F238E27FC236}">
              <a16:creationId xmlns:a16="http://schemas.microsoft.com/office/drawing/2014/main" id="{82F69EB4-49BF-46FC-BBDC-06D94E16692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2" name="Line 18">
          <a:extLst>
            <a:ext uri="{FF2B5EF4-FFF2-40B4-BE49-F238E27FC236}">
              <a16:creationId xmlns:a16="http://schemas.microsoft.com/office/drawing/2014/main" id="{B0D9EEBC-B988-4817-B90D-D62279BEB35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3" name="Line 19">
          <a:extLst>
            <a:ext uri="{FF2B5EF4-FFF2-40B4-BE49-F238E27FC236}">
              <a16:creationId xmlns:a16="http://schemas.microsoft.com/office/drawing/2014/main" id="{93FA09D7-3AC2-42B4-9F6B-E1E7147BFF1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4" name="Line 20">
          <a:extLst>
            <a:ext uri="{FF2B5EF4-FFF2-40B4-BE49-F238E27FC236}">
              <a16:creationId xmlns:a16="http://schemas.microsoft.com/office/drawing/2014/main" id="{46D91AC6-EA68-4BC8-9D5D-4A574199914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5" name="Line 21">
          <a:extLst>
            <a:ext uri="{FF2B5EF4-FFF2-40B4-BE49-F238E27FC236}">
              <a16:creationId xmlns:a16="http://schemas.microsoft.com/office/drawing/2014/main" id="{B60DCF52-6B67-4980-823D-E7230DBA2D3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6" name="Line 22">
          <a:extLst>
            <a:ext uri="{FF2B5EF4-FFF2-40B4-BE49-F238E27FC236}">
              <a16:creationId xmlns:a16="http://schemas.microsoft.com/office/drawing/2014/main" id="{2AC898C4-9361-4DA8-97A4-C2786052B6B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7" name="Line 23">
          <a:extLst>
            <a:ext uri="{FF2B5EF4-FFF2-40B4-BE49-F238E27FC236}">
              <a16:creationId xmlns:a16="http://schemas.microsoft.com/office/drawing/2014/main" id="{58BF90FB-9153-456B-9C97-271EB8C53AE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8" name="Line 24">
          <a:extLst>
            <a:ext uri="{FF2B5EF4-FFF2-40B4-BE49-F238E27FC236}">
              <a16:creationId xmlns:a16="http://schemas.microsoft.com/office/drawing/2014/main" id="{2C61A0D4-C954-42C6-A8DD-DA53B86587D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9" name="Line 25">
          <a:extLst>
            <a:ext uri="{FF2B5EF4-FFF2-40B4-BE49-F238E27FC236}">
              <a16:creationId xmlns:a16="http://schemas.microsoft.com/office/drawing/2014/main" id="{050FE7BB-DBDD-465D-8C52-BD99A97A998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0" name="Line 26">
          <a:extLst>
            <a:ext uri="{FF2B5EF4-FFF2-40B4-BE49-F238E27FC236}">
              <a16:creationId xmlns:a16="http://schemas.microsoft.com/office/drawing/2014/main" id="{949C6E99-8172-4582-A1D6-7EEB2B4C012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1" name="Line 27">
          <a:extLst>
            <a:ext uri="{FF2B5EF4-FFF2-40B4-BE49-F238E27FC236}">
              <a16:creationId xmlns:a16="http://schemas.microsoft.com/office/drawing/2014/main" id="{9B9E0FF6-034D-4A81-8137-05DF6D07DD6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2" name="Line 28">
          <a:extLst>
            <a:ext uri="{FF2B5EF4-FFF2-40B4-BE49-F238E27FC236}">
              <a16:creationId xmlns:a16="http://schemas.microsoft.com/office/drawing/2014/main" id="{CAE8471B-9508-46BA-9EFC-99F99B66792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3" name="Line 29">
          <a:extLst>
            <a:ext uri="{FF2B5EF4-FFF2-40B4-BE49-F238E27FC236}">
              <a16:creationId xmlns:a16="http://schemas.microsoft.com/office/drawing/2014/main" id="{46BC36A2-0E31-4D86-875E-84372F98D69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4" name="Line 30">
          <a:extLst>
            <a:ext uri="{FF2B5EF4-FFF2-40B4-BE49-F238E27FC236}">
              <a16:creationId xmlns:a16="http://schemas.microsoft.com/office/drawing/2014/main" id="{69E52C6C-8E6C-4809-85B3-759C705C675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5" name="Line 31">
          <a:extLst>
            <a:ext uri="{FF2B5EF4-FFF2-40B4-BE49-F238E27FC236}">
              <a16:creationId xmlns:a16="http://schemas.microsoft.com/office/drawing/2014/main" id="{D850BCC2-E003-4F8F-8E72-2007B251C4D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6" name="Line 32">
          <a:extLst>
            <a:ext uri="{FF2B5EF4-FFF2-40B4-BE49-F238E27FC236}">
              <a16:creationId xmlns:a16="http://schemas.microsoft.com/office/drawing/2014/main" id="{AF1B885F-67FD-4519-836B-4F33708A771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7" name="Line 33">
          <a:extLst>
            <a:ext uri="{FF2B5EF4-FFF2-40B4-BE49-F238E27FC236}">
              <a16:creationId xmlns:a16="http://schemas.microsoft.com/office/drawing/2014/main" id="{B901BDCE-ACDC-49E7-B4F4-8D8EE4B474B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8" name="Line 34">
          <a:extLst>
            <a:ext uri="{FF2B5EF4-FFF2-40B4-BE49-F238E27FC236}">
              <a16:creationId xmlns:a16="http://schemas.microsoft.com/office/drawing/2014/main" id="{4ED66F9F-00A6-4F12-8357-C660BC6EB55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9" name="Line 35">
          <a:extLst>
            <a:ext uri="{FF2B5EF4-FFF2-40B4-BE49-F238E27FC236}">
              <a16:creationId xmlns:a16="http://schemas.microsoft.com/office/drawing/2014/main" id="{B7ABBEFA-ACDB-46E3-AA0B-63FF69106CB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0" name="Line 36">
          <a:extLst>
            <a:ext uri="{FF2B5EF4-FFF2-40B4-BE49-F238E27FC236}">
              <a16:creationId xmlns:a16="http://schemas.microsoft.com/office/drawing/2014/main" id="{10A52E73-2CA4-4D54-8023-C6DE4E4ED47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1" name="Line 37">
          <a:extLst>
            <a:ext uri="{FF2B5EF4-FFF2-40B4-BE49-F238E27FC236}">
              <a16:creationId xmlns:a16="http://schemas.microsoft.com/office/drawing/2014/main" id="{FA9F1AC8-3A25-436B-BA79-4B070256551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2" name="Line 38">
          <a:extLst>
            <a:ext uri="{FF2B5EF4-FFF2-40B4-BE49-F238E27FC236}">
              <a16:creationId xmlns:a16="http://schemas.microsoft.com/office/drawing/2014/main" id="{59D09D7B-BDB5-4047-9286-5849C467FD5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3" name="Line 39">
          <a:extLst>
            <a:ext uri="{FF2B5EF4-FFF2-40B4-BE49-F238E27FC236}">
              <a16:creationId xmlns:a16="http://schemas.microsoft.com/office/drawing/2014/main" id="{A855AD16-035D-4A54-BD34-25C4122E76A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4" name="Line 40">
          <a:extLst>
            <a:ext uri="{FF2B5EF4-FFF2-40B4-BE49-F238E27FC236}">
              <a16:creationId xmlns:a16="http://schemas.microsoft.com/office/drawing/2014/main" id="{CD2DE58B-7D4E-48FF-97AD-CD543CB73EB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5" name="Line 41">
          <a:extLst>
            <a:ext uri="{FF2B5EF4-FFF2-40B4-BE49-F238E27FC236}">
              <a16:creationId xmlns:a16="http://schemas.microsoft.com/office/drawing/2014/main" id="{E514F6DF-C17A-43A8-80B2-9C90ADA3A99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6" name="Line 42">
          <a:extLst>
            <a:ext uri="{FF2B5EF4-FFF2-40B4-BE49-F238E27FC236}">
              <a16:creationId xmlns:a16="http://schemas.microsoft.com/office/drawing/2014/main" id="{13BD1FD5-7161-43B2-B068-2673A69763E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7" name="Line 43">
          <a:extLst>
            <a:ext uri="{FF2B5EF4-FFF2-40B4-BE49-F238E27FC236}">
              <a16:creationId xmlns:a16="http://schemas.microsoft.com/office/drawing/2014/main" id="{D226B59D-E6BF-4E51-87E4-1B42E89139E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8" name="Line 44">
          <a:extLst>
            <a:ext uri="{FF2B5EF4-FFF2-40B4-BE49-F238E27FC236}">
              <a16:creationId xmlns:a16="http://schemas.microsoft.com/office/drawing/2014/main" id="{7CBAA46A-25A5-4BDE-81E5-BBEB60862A0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9" name="Line 45">
          <a:extLst>
            <a:ext uri="{FF2B5EF4-FFF2-40B4-BE49-F238E27FC236}">
              <a16:creationId xmlns:a16="http://schemas.microsoft.com/office/drawing/2014/main" id="{9FC08EF9-E2B0-43F3-8B3D-CB72E0D3194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0" name="Line 46">
          <a:extLst>
            <a:ext uri="{FF2B5EF4-FFF2-40B4-BE49-F238E27FC236}">
              <a16:creationId xmlns:a16="http://schemas.microsoft.com/office/drawing/2014/main" id="{4AF8D8B8-B991-4B71-AEA0-B76CF053C40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1" name="Line 47">
          <a:extLst>
            <a:ext uri="{FF2B5EF4-FFF2-40B4-BE49-F238E27FC236}">
              <a16:creationId xmlns:a16="http://schemas.microsoft.com/office/drawing/2014/main" id="{2D950820-F3E0-47E2-A274-5CEF3942828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2" name="Line 48">
          <a:extLst>
            <a:ext uri="{FF2B5EF4-FFF2-40B4-BE49-F238E27FC236}">
              <a16:creationId xmlns:a16="http://schemas.microsoft.com/office/drawing/2014/main" id="{AF8C27A3-C6C4-48E5-BD2F-F055A8BAE65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3" name="Line 49">
          <a:extLst>
            <a:ext uri="{FF2B5EF4-FFF2-40B4-BE49-F238E27FC236}">
              <a16:creationId xmlns:a16="http://schemas.microsoft.com/office/drawing/2014/main" id="{2C1AD63F-97D5-430D-B156-7FC63239722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4" name="Line 50">
          <a:extLst>
            <a:ext uri="{FF2B5EF4-FFF2-40B4-BE49-F238E27FC236}">
              <a16:creationId xmlns:a16="http://schemas.microsoft.com/office/drawing/2014/main" id="{5A1039CC-F100-48EF-8E06-D39C476A061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5" name="Line 1">
          <a:extLst>
            <a:ext uri="{FF2B5EF4-FFF2-40B4-BE49-F238E27FC236}">
              <a16:creationId xmlns:a16="http://schemas.microsoft.com/office/drawing/2014/main" id="{78C8AE68-4FA9-4A5F-810A-EF62B9C2AFA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6" name="Line 2">
          <a:extLst>
            <a:ext uri="{FF2B5EF4-FFF2-40B4-BE49-F238E27FC236}">
              <a16:creationId xmlns:a16="http://schemas.microsoft.com/office/drawing/2014/main" id="{9EB1B87C-F6BB-4D29-B856-752CD92574A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7" name="Line 5">
          <a:extLst>
            <a:ext uri="{FF2B5EF4-FFF2-40B4-BE49-F238E27FC236}">
              <a16:creationId xmlns:a16="http://schemas.microsoft.com/office/drawing/2014/main" id="{F20E2C4B-86F1-461A-9E5C-0197D2B52CA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8" name="Line 6">
          <a:extLst>
            <a:ext uri="{FF2B5EF4-FFF2-40B4-BE49-F238E27FC236}">
              <a16:creationId xmlns:a16="http://schemas.microsoft.com/office/drawing/2014/main" id="{DB9E52B7-0162-497E-A31E-E3A85E763D5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9" name="Line 7">
          <a:extLst>
            <a:ext uri="{FF2B5EF4-FFF2-40B4-BE49-F238E27FC236}">
              <a16:creationId xmlns:a16="http://schemas.microsoft.com/office/drawing/2014/main" id="{75120A04-6B9F-4ED5-AB6E-8B8B309DE28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0" name="Line 8">
          <a:extLst>
            <a:ext uri="{FF2B5EF4-FFF2-40B4-BE49-F238E27FC236}">
              <a16:creationId xmlns:a16="http://schemas.microsoft.com/office/drawing/2014/main" id="{72431D33-04E1-4D48-BAE2-82C2FA2AF73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1" name="Line 9">
          <a:extLst>
            <a:ext uri="{FF2B5EF4-FFF2-40B4-BE49-F238E27FC236}">
              <a16:creationId xmlns:a16="http://schemas.microsoft.com/office/drawing/2014/main" id="{CAF4D475-41F1-455B-B8CB-A120121A7E1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2" name="Line 10">
          <a:extLst>
            <a:ext uri="{FF2B5EF4-FFF2-40B4-BE49-F238E27FC236}">
              <a16:creationId xmlns:a16="http://schemas.microsoft.com/office/drawing/2014/main" id="{51FC4DC8-2FE7-458E-8725-EACAE7BC21B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3" name="Line 11">
          <a:extLst>
            <a:ext uri="{FF2B5EF4-FFF2-40B4-BE49-F238E27FC236}">
              <a16:creationId xmlns:a16="http://schemas.microsoft.com/office/drawing/2014/main" id="{E799CC5D-446E-42C5-BE75-8E78201917C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4" name="Line 12">
          <a:extLst>
            <a:ext uri="{FF2B5EF4-FFF2-40B4-BE49-F238E27FC236}">
              <a16:creationId xmlns:a16="http://schemas.microsoft.com/office/drawing/2014/main" id="{B54B2BF4-769F-407B-A36C-436A16559E9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5" name="Line 13">
          <a:extLst>
            <a:ext uri="{FF2B5EF4-FFF2-40B4-BE49-F238E27FC236}">
              <a16:creationId xmlns:a16="http://schemas.microsoft.com/office/drawing/2014/main" id="{03958C1F-2B15-4B83-ADF2-DA14D27BDED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6" name="Line 14">
          <a:extLst>
            <a:ext uri="{FF2B5EF4-FFF2-40B4-BE49-F238E27FC236}">
              <a16:creationId xmlns:a16="http://schemas.microsoft.com/office/drawing/2014/main" id="{3BA3D73C-316C-4049-8EDA-C48EBD72BB7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7" name="Line 15">
          <a:extLst>
            <a:ext uri="{FF2B5EF4-FFF2-40B4-BE49-F238E27FC236}">
              <a16:creationId xmlns:a16="http://schemas.microsoft.com/office/drawing/2014/main" id="{7C1DD661-4404-4623-ADC1-FC29EEA94E8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8" name="Line 16">
          <a:extLst>
            <a:ext uri="{FF2B5EF4-FFF2-40B4-BE49-F238E27FC236}">
              <a16:creationId xmlns:a16="http://schemas.microsoft.com/office/drawing/2014/main" id="{597B58D4-34E9-4361-898A-0A5F0790B1E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9" name="Line 17">
          <a:extLst>
            <a:ext uri="{FF2B5EF4-FFF2-40B4-BE49-F238E27FC236}">
              <a16:creationId xmlns:a16="http://schemas.microsoft.com/office/drawing/2014/main" id="{E2762C0D-012B-43E3-8801-91136578612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0" name="Line 18">
          <a:extLst>
            <a:ext uri="{FF2B5EF4-FFF2-40B4-BE49-F238E27FC236}">
              <a16:creationId xmlns:a16="http://schemas.microsoft.com/office/drawing/2014/main" id="{68CA59B0-14BB-4802-AAD4-1749FBB8E9E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1" name="Line 19">
          <a:extLst>
            <a:ext uri="{FF2B5EF4-FFF2-40B4-BE49-F238E27FC236}">
              <a16:creationId xmlns:a16="http://schemas.microsoft.com/office/drawing/2014/main" id="{DE7DE632-E50D-4AE4-8C9E-568494EA339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2" name="Line 20">
          <a:extLst>
            <a:ext uri="{FF2B5EF4-FFF2-40B4-BE49-F238E27FC236}">
              <a16:creationId xmlns:a16="http://schemas.microsoft.com/office/drawing/2014/main" id="{8C363FD7-91C6-452F-BD25-CEA996AB738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3" name="Line 21">
          <a:extLst>
            <a:ext uri="{FF2B5EF4-FFF2-40B4-BE49-F238E27FC236}">
              <a16:creationId xmlns:a16="http://schemas.microsoft.com/office/drawing/2014/main" id="{317EB4A9-F203-40D8-A1E6-6185731F659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4" name="Line 22">
          <a:extLst>
            <a:ext uri="{FF2B5EF4-FFF2-40B4-BE49-F238E27FC236}">
              <a16:creationId xmlns:a16="http://schemas.microsoft.com/office/drawing/2014/main" id="{E395E63C-D88A-4FF3-9B64-EBE7CD81954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5" name="Line 23">
          <a:extLst>
            <a:ext uri="{FF2B5EF4-FFF2-40B4-BE49-F238E27FC236}">
              <a16:creationId xmlns:a16="http://schemas.microsoft.com/office/drawing/2014/main" id="{15AC9EF3-D174-458A-8A1C-9B0A365BC63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6" name="Line 24">
          <a:extLst>
            <a:ext uri="{FF2B5EF4-FFF2-40B4-BE49-F238E27FC236}">
              <a16:creationId xmlns:a16="http://schemas.microsoft.com/office/drawing/2014/main" id="{55FDB596-AB8C-4AB6-ABEA-3EF3B9A291B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7" name="Line 25">
          <a:extLst>
            <a:ext uri="{FF2B5EF4-FFF2-40B4-BE49-F238E27FC236}">
              <a16:creationId xmlns:a16="http://schemas.microsoft.com/office/drawing/2014/main" id="{13D1A1C1-C417-4EF9-98D5-CAC99673F4A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8" name="Line 26">
          <a:extLst>
            <a:ext uri="{FF2B5EF4-FFF2-40B4-BE49-F238E27FC236}">
              <a16:creationId xmlns:a16="http://schemas.microsoft.com/office/drawing/2014/main" id="{8D37E6B6-3463-400F-957D-B03D3451D34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9" name="Line 27">
          <a:extLst>
            <a:ext uri="{FF2B5EF4-FFF2-40B4-BE49-F238E27FC236}">
              <a16:creationId xmlns:a16="http://schemas.microsoft.com/office/drawing/2014/main" id="{DD1707AE-D337-4844-93BE-0B121954CBD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0" name="Line 28">
          <a:extLst>
            <a:ext uri="{FF2B5EF4-FFF2-40B4-BE49-F238E27FC236}">
              <a16:creationId xmlns:a16="http://schemas.microsoft.com/office/drawing/2014/main" id="{1A484C60-7364-4D67-9D6B-B13E5751394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1" name="Line 29">
          <a:extLst>
            <a:ext uri="{FF2B5EF4-FFF2-40B4-BE49-F238E27FC236}">
              <a16:creationId xmlns:a16="http://schemas.microsoft.com/office/drawing/2014/main" id="{C1D24C16-B0D0-473D-AC06-715BB166024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2" name="Line 30">
          <a:extLst>
            <a:ext uri="{FF2B5EF4-FFF2-40B4-BE49-F238E27FC236}">
              <a16:creationId xmlns:a16="http://schemas.microsoft.com/office/drawing/2014/main" id="{1418FC3D-DA09-4DFC-8179-147325C34DB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3" name="Line 31">
          <a:extLst>
            <a:ext uri="{FF2B5EF4-FFF2-40B4-BE49-F238E27FC236}">
              <a16:creationId xmlns:a16="http://schemas.microsoft.com/office/drawing/2014/main" id="{E84E47F2-D6F0-41B4-9CA9-3C7F5EE7883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4" name="Line 32">
          <a:extLst>
            <a:ext uri="{FF2B5EF4-FFF2-40B4-BE49-F238E27FC236}">
              <a16:creationId xmlns:a16="http://schemas.microsoft.com/office/drawing/2014/main" id="{727FEA25-FC63-411E-883F-5011864836B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5" name="Line 33">
          <a:extLst>
            <a:ext uri="{FF2B5EF4-FFF2-40B4-BE49-F238E27FC236}">
              <a16:creationId xmlns:a16="http://schemas.microsoft.com/office/drawing/2014/main" id="{CD6DA5F0-6870-4E56-BD02-F34380E7974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6" name="Line 34">
          <a:extLst>
            <a:ext uri="{FF2B5EF4-FFF2-40B4-BE49-F238E27FC236}">
              <a16:creationId xmlns:a16="http://schemas.microsoft.com/office/drawing/2014/main" id="{CE2D7632-79F7-4C40-B019-DC082FF6948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7" name="Line 35">
          <a:extLst>
            <a:ext uri="{FF2B5EF4-FFF2-40B4-BE49-F238E27FC236}">
              <a16:creationId xmlns:a16="http://schemas.microsoft.com/office/drawing/2014/main" id="{9F00E54F-4DB8-48D6-9651-191E2BCBC36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8" name="Line 36">
          <a:extLst>
            <a:ext uri="{FF2B5EF4-FFF2-40B4-BE49-F238E27FC236}">
              <a16:creationId xmlns:a16="http://schemas.microsoft.com/office/drawing/2014/main" id="{BF4F48AC-D3A9-4F16-B047-AF8FE3D59A1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9" name="Line 37">
          <a:extLst>
            <a:ext uri="{FF2B5EF4-FFF2-40B4-BE49-F238E27FC236}">
              <a16:creationId xmlns:a16="http://schemas.microsoft.com/office/drawing/2014/main" id="{749A1042-8A36-41AA-999F-546CBBF1ED2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0" name="Line 38">
          <a:extLst>
            <a:ext uri="{FF2B5EF4-FFF2-40B4-BE49-F238E27FC236}">
              <a16:creationId xmlns:a16="http://schemas.microsoft.com/office/drawing/2014/main" id="{30ACC6F9-5696-4F26-9F7D-0A721817264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1" name="Line 39">
          <a:extLst>
            <a:ext uri="{FF2B5EF4-FFF2-40B4-BE49-F238E27FC236}">
              <a16:creationId xmlns:a16="http://schemas.microsoft.com/office/drawing/2014/main" id="{339775C6-8039-4E75-9707-197614D7602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2" name="Line 40">
          <a:extLst>
            <a:ext uri="{FF2B5EF4-FFF2-40B4-BE49-F238E27FC236}">
              <a16:creationId xmlns:a16="http://schemas.microsoft.com/office/drawing/2014/main" id="{00C9E796-C4FA-4564-83EE-ED463E31972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3" name="Line 41">
          <a:extLst>
            <a:ext uri="{FF2B5EF4-FFF2-40B4-BE49-F238E27FC236}">
              <a16:creationId xmlns:a16="http://schemas.microsoft.com/office/drawing/2014/main" id="{988600D7-01E4-4037-A7C3-092BBC1EE2D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4" name="Line 42">
          <a:extLst>
            <a:ext uri="{FF2B5EF4-FFF2-40B4-BE49-F238E27FC236}">
              <a16:creationId xmlns:a16="http://schemas.microsoft.com/office/drawing/2014/main" id="{F67D2C7A-4359-4EAE-BA42-08F24F02E0D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5" name="Line 43">
          <a:extLst>
            <a:ext uri="{FF2B5EF4-FFF2-40B4-BE49-F238E27FC236}">
              <a16:creationId xmlns:a16="http://schemas.microsoft.com/office/drawing/2014/main" id="{D2319AEC-4F86-46C4-9322-B83F277E287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6" name="Line 44">
          <a:extLst>
            <a:ext uri="{FF2B5EF4-FFF2-40B4-BE49-F238E27FC236}">
              <a16:creationId xmlns:a16="http://schemas.microsoft.com/office/drawing/2014/main" id="{61530571-DE48-4C16-9327-A5FE98DA3BA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7" name="Line 45">
          <a:extLst>
            <a:ext uri="{FF2B5EF4-FFF2-40B4-BE49-F238E27FC236}">
              <a16:creationId xmlns:a16="http://schemas.microsoft.com/office/drawing/2014/main" id="{4780F25D-98C4-4D4E-9FEF-591AFE33EA0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8" name="Line 46">
          <a:extLst>
            <a:ext uri="{FF2B5EF4-FFF2-40B4-BE49-F238E27FC236}">
              <a16:creationId xmlns:a16="http://schemas.microsoft.com/office/drawing/2014/main" id="{4357C956-36AA-4A43-9548-E20E7B83341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9" name="Line 47">
          <a:extLst>
            <a:ext uri="{FF2B5EF4-FFF2-40B4-BE49-F238E27FC236}">
              <a16:creationId xmlns:a16="http://schemas.microsoft.com/office/drawing/2014/main" id="{C15F5BF1-F74D-4E74-8936-075F0CECC26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0" name="Line 48">
          <a:extLst>
            <a:ext uri="{FF2B5EF4-FFF2-40B4-BE49-F238E27FC236}">
              <a16:creationId xmlns:a16="http://schemas.microsoft.com/office/drawing/2014/main" id="{798E91AC-EF52-4B6D-9A85-0E1ADCF4CE6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1" name="Line 49">
          <a:extLst>
            <a:ext uri="{FF2B5EF4-FFF2-40B4-BE49-F238E27FC236}">
              <a16:creationId xmlns:a16="http://schemas.microsoft.com/office/drawing/2014/main" id="{575C2212-2A1B-4E31-A68B-FA1444F238C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2" name="Line 50">
          <a:extLst>
            <a:ext uri="{FF2B5EF4-FFF2-40B4-BE49-F238E27FC236}">
              <a16:creationId xmlns:a16="http://schemas.microsoft.com/office/drawing/2014/main" id="{39641876-465C-49AE-AF4C-0AEA56EDA92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3" name="Line 1">
          <a:extLst>
            <a:ext uri="{FF2B5EF4-FFF2-40B4-BE49-F238E27FC236}">
              <a16:creationId xmlns:a16="http://schemas.microsoft.com/office/drawing/2014/main" id="{F53E902A-98BD-4FF4-90B2-869F3339925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4" name="Line 2">
          <a:extLst>
            <a:ext uri="{FF2B5EF4-FFF2-40B4-BE49-F238E27FC236}">
              <a16:creationId xmlns:a16="http://schemas.microsoft.com/office/drawing/2014/main" id="{F660621A-5BA1-4296-B818-566013C3581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5" name="Line 5">
          <a:extLst>
            <a:ext uri="{FF2B5EF4-FFF2-40B4-BE49-F238E27FC236}">
              <a16:creationId xmlns:a16="http://schemas.microsoft.com/office/drawing/2014/main" id="{4B6B71D1-B74F-4531-941A-C4D74485E0D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6" name="Line 6">
          <a:extLst>
            <a:ext uri="{FF2B5EF4-FFF2-40B4-BE49-F238E27FC236}">
              <a16:creationId xmlns:a16="http://schemas.microsoft.com/office/drawing/2014/main" id="{5A773FE2-93B4-4A33-B308-64AB612A4BA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7" name="Line 7">
          <a:extLst>
            <a:ext uri="{FF2B5EF4-FFF2-40B4-BE49-F238E27FC236}">
              <a16:creationId xmlns:a16="http://schemas.microsoft.com/office/drawing/2014/main" id="{8C9DD5D3-9E97-4C9E-A6E1-AB4F0E9CD19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8" name="Line 8">
          <a:extLst>
            <a:ext uri="{FF2B5EF4-FFF2-40B4-BE49-F238E27FC236}">
              <a16:creationId xmlns:a16="http://schemas.microsoft.com/office/drawing/2014/main" id="{D3AE7A5D-9FEA-4E76-9037-8A25FC3358F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9" name="Line 9">
          <a:extLst>
            <a:ext uri="{FF2B5EF4-FFF2-40B4-BE49-F238E27FC236}">
              <a16:creationId xmlns:a16="http://schemas.microsoft.com/office/drawing/2014/main" id="{73622E1D-75D7-4F1F-B7A4-DEF32CC4C6C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0" name="Line 10">
          <a:extLst>
            <a:ext uri="{FF2B5EF4-FFF2-40B4-BE49-F238E27FC236}">
              <a16:creationId xmlns:a16="http://schemas.microsoft.com/office/drawing/2014/main" id="{DE9F8055-8029-4EF8-BCB0-ED3E3D02978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1" name="Line 11">
          <a:extLst>
            <a:ext uri="{FF2B5EF4-FFF2-40B4-BE49-F238E27FC236}">
              <a16:creationId xmlns:a16="http://schemas.microsoft.com/office/drawing/2014/main" id="{3B210312-65CC-4450-A442-21D1395C323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2" name="Line 12">
          <a:extLst>
            <a:ext uri="{FF2B5EF4-FFF2-40B4-BE49-F238E27FC236}">
              <a16:creationId xmlns:a16="http://schemas.microsoft.com/office/drawing/2014/main" id="{4183ABAA-5C4D-4499-9757-23F378747D1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3" name="Line 13">
          <a:extLst>
            <a:ext uri="{FF2B5EF4-FFF2-40B4-BE49-F238E27FC236}">
              <a16:creationId xmlns:a16="http://schemas.microsoft.com/office/drawing/2014/main" id="{3C9BDE96-7C7D-4ACA-97A7-7C5EAB5AD23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4" name="Line 14">
          <a:extLst>
            <a:ext uri="{FF2B5EF4-FFF2-40B4-BE49-F238E27FC236}">
              <a16:creationId xmlns:a16="http://schemas.microsoft.com/office/drawing/2014/main" id="{5DEDED5F-C8CC-4834-AA91-6FF3E6BD944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5" name="Line 15">
          <a:extLst>
            <a:ext uri="{FF2B5EF4-FFF2-40B4-BE49-F238E27FC236}">
              <a16:creationId xmlns:a16="http://schemas.microsoft.com/office/drawing/2014/main" id="{E1E3326F-4A56-4808-AD2F-92A0B87517F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6" name="Line 16">
          <a:extLst>
            <a:ext uri="{FF2B5EF4-FFF2-40B4-BE49-F238E27FC236}">
              <a16:creationId xmlns:a16="http://schemas.microsoft.com/office/drawing/2014/main" id="{3F9CB091-3CFC-491D-A545-D6D0C6D40E5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7" name="Line 17">
          <a:extLst>
            <a:ext uri="{FF2B5EF4-FFF2-40B4-BE49-F238E27FC236}">
              <a16:creationId xmlns:a16="http://schemas.microsoft.com/office/drawing/2014/main" id="{3A0984C1-7B21-4D40-97D9-F250F2DEC47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8" name="Line 18">
          <a:extLst>
            <a:ext uri="{FF2B5EF4-FFF2-40B4-BE49-F238E27FC236}">
              <a16:creationId xmlns:a16="http://schemas.microsoft.com/office/drawing/2014/main" id="{66E3D028-6436-4799-A7F3-E86EC9C96E4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9" name="Line 19">
          <a:extLst>
            <a:ext uri="{FF2B5EF4-FFF2-40B4-BE49-F238E27FC236}">
              <a16:creationId xmlns:a16="http://schemas.microsoft.com/office/drawing/2014/main" id="{6DDDC3A1-730B-48D9-B954-296085E445A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0" name="Line 20">
          <a:extLst>
            <a:ext uri="{FF2B5EF4-FFF2-40B4-BE49-F238E27FC236}">
              <a16:creationId xmlns:a16="http://schemas.microsoft.com/office/drawing/2014/main" id="{35E51422-8EC8-4B3B-BC6C-9155206893A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1" name="Line 21">
          <a:extLst>
            <a:ext uri="{FF2B5EF4-FFF2-40B4-BE49-F238E27FC236}">
              <a16:creationId xmlns:a16="http://schemas.microsoft.com/office/drawing/2014/main" id="{D876F8AF-995F-4872-812E-5B9AF1A6E13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2" name="Line 22">
          <a:extLst>
            <a:ext uri="{FF2B5EF4-FFF2-40B4-BE49-F238E27FC236}">
              <a16:creationId xmlns:a16="http://schemas.microsoft.com/office/drawing/2014/main" id="{9EB43DB7-C077-4A1E-968C-F83F698A0AD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3" name="Line 23">
          <a:extLst>
            <a:ext uri="{FF2B5EF4-FFF2-40B4-BE49-F238E27FC236}">
              <a16:creationId xmlns:a16="http://schemas.microsoft.com/office/drawing/2014/main" id="{806F7E06-BB66-422C-9DA1-9F844788ADA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4" name="Line 24">
          <a:extLst>
            <a:ext uri="{FF2B5EF4-FFF2-40B4-BE49-F238E27FC236}">
              <a16:creationId xmlns:a16="http://schemas.microsoft.com/office/drawing/2014/main" id="{AE14EE02-B592-4147-9F43-C858C22B3A0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5" name="Line 25">
          <a:extLst>
            <a:ext uri="{FF2B5EF4-FFF2-40B4-BE49-F238E27FC236}">
              <a16:creationId xmlns:a16="http://schemas.microsoft.com/office/drawing/2014/main" id="{F26C9C49-EFE6-4FBB-AA0B-932073D63A2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6" name="Line 26">
          <a:extLst>
            <a:ext uri="{FF2B5EF4-FFF2-40B4-BE49-F238E27FC236}">
              <a16:creationId xmlns:a16="http://schemas.microsoft.com/office/drawing/2014/main" id="{E9035F80-5164-4761-AF26-1A22464B9C5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7" name="Line 27">
          <a:extLst>
            <a:ext uri="{FF2B5EF4-FFF2-40B4-BE49-F238E27FC236}">
              <a16:creationId xmlns:a16="http://schemas.microsoft.com/office/drawing/2014/main" id="{62B98BF0-8A4A-43AC-AFD4-D621319ADC4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8" name="Line 28">
          <a:extLst>
            <a:ext uri="{FF2B5EF4-FFF2-40B4-BE49-F238E27FC236}">
              <a16:creationId xmlns:a16="http://schemas.microsoft.com/office/drawing/2014/main" id="{EF06C40B-8E84-4541-A26D-0E16953AED5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9" name="Line 29">
          <a:extLst>
            <a:ext uri="{FF2B5EF4-FFF2-40B4-BE49-F238E27FC236}">
              <a16:creationId xmlns:a16="http://schemas.microsoft.com/office/drawing/2014/main" id="{A41B24A1-E0A2-4121-90A4-F76C6C9B7BB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0" name="Line 30">
          <a:extLst>
            <a:ext uri="{FF2B5EF4-FFF2-40B4-BE49-F238E27FC236}">
              <a16:creationId xmlns:a16="http://schemas.microsoft.com/office/drawing/2014/main" id="{514E7A07-C866-4956-9C12-952DC5D9400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1" name="Line 31">
          <a:extLst>
            <a:ext uri="{FF2B5EF4-FFF2-40B4-BE49-F238E27FC236}">
              <a16:creationId xmlns:a16="http://schemas.microsoft.com/office/drawing/2014/main" id="{728EF132-7E9C-4F99-96A8-342D97528D7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2" name="Line 32">
          <a:extLst>
            <a:ext uri="{FF2B5EF4-FFF2-40B4-BE49-F238E27FC236}">
              <a16:creationId xmlns:a16="http://schemas.microsoft.com/office/drawing/2014/main" id="{791CEC9E-916D-44B1-84BF-271AF4CD0D6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3" name="Line 33">
          <a:extLst>
            <a:ext uri="{FF2B5EF4-FFF2-40B4-BE49-F238E27FC236}">
              <a16:creationId xmlns:a16="http://schemas.microsoft.com/office/drawing/2014/main" id="{2C979869-337E-4EEA-A096-B0A81D30624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4" name="Line 34">
          <a:extLst>
            <a:ext uri="{FF2B5EF4-FFF2-40B4-BE49-F238E27FC236}">
              <a16:creationId xmlns:a16="http://schemas.microsoft.com/office/drawing/2014/main" id="{A6076CF9-F041-4742-96E2-905ABB474A6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5" name="Line 35">
          <a:extLst>
            <a:ext uri="{FF2B5EF4-FFF2-40B4-BE49-F238E27FC236}">
              <a16:creationId xmlns:a16="http://schemas.microsoft.com/office/drawing/2014/main" id="{00F189AD-DB32-4AD7-8679-9AD71E94B14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6" name="Line 36">
          <a:extLst>
            <a:ext uri="{FF2B5EF4-FFF2-40B4-BE49-F238E27FC236}">
              <a16:creationId xmlns:a16="http://schemas.microsoft.com/office/drawing/2014/main" id="{158636C5-B1D3-4B17-B701-1C0490262ED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7" name="Line 37">
          <a:extLst>
            <a:ext uri="{FF2B5EF4-FFF2-40B4-BE49-F238E27FC236}">
              <a16:creationId xmlns:a16="http://schemas.microsoft.com/office/drawing/2014/main" id="{C2CBBC99-BE18-4450-8EA7-34DFF86865C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8" name="Line 38">
          <a:extLst>
            <a:ext uri="{FF2B5EF4-FFF2-40B4-BE49-F238E27FC236}">
              <a16:creationId xmlns:a16="http://schemas.microsoft.com/office/drawing/2014/main" id="{8D900FCC-C0CD-45F4-ACDC-E4495452469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9" name="Line 39">
          <a:extLst>
            <a:ext uri="{FF2B5EF4-FFF2-40B4-BE49-F238E27FC236}">
              <a16:creationId xmlns:a16="http://schemas.microsoft.com/office/drawing/2014/main" id="{7D289598-21C4-4FA9-9984-BC05846C0FD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0" name="Line 40">
          <a:extLst>
            <a:ext uri="{FF2B5EF4-FFF2-40B4-BE49-F238E27FC236}">
              <a16:creationId xmlns:a16="http://schemas.microsoft.com/office/drawing/2014/main" id="{F2CE1D2C-07E5-4C45-826A-4D005BC0235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1" name="Line 41">
          <a:extLst>
            <a:ext uri="{FF2B5EF4-FFF2-40B4-BE49-F238E27FC236}">
              <a16:creationId xmlns:a16="http://schemas.microsoft.com/office/drawing/2014/main" id="{6C827053-DAFA-444C-A50D-56852663DB4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2" name="Line 42">
          <a:extLst>
            <a:ext uri="{FF2B5EF4-FFF2-40B4-BE49-F238E27FC236}">
              <a16:creationId xmlns:a16="http://schemas.microsoft.com/office/drawing/2014/main" id="{39360023-BBAE-4FF5-9D32-47407B83596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3" name="Line 43">
          <a:extLst>
            <a:ext uri="{FF2B5EF4-FFF2-40B4-BE49-F238E27FC236}">
              <a16:creationId xmlns:a16="http://schemas.microsoft.com/office/drawing/2014/main" id="{6DEC87E6-2356-475E-A50F-03E4AC91BFA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4" name="Line 44">
          <a:extLst>
            <a:ext uri="{FF2B5EF4-FFF2-40B4-BE49-F238E27FC236}">
              <a16:creationId xmlns:a16="http://schemas.microsoft.com/office/drawing/2014/main" id="{A3909B5C-269F-442C-95EE-6BDEE9137FF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5" name="Line 45">
          <a:extLst>
            <a:ext uri="{FF2B5EF4-FFF2-40B4-BE49-F238E27FC236}">
              <a16:creationId xmlns:a16="http://schemas.microsoft.com/office/drawing/2014/main" id="{561CDECA-3778-4D05-AB8B-D172004D768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6" name="Line 46">
          <a:extLst>
            <a:ext uri="{FF2B5EF4-FFF2-40B4-BE49-F238E27FC236}">
              <a16:creationId xmlns:a16="http://schemas.microsoft.com/office/drawing/2014/main" id="{31F1BE48-5A85-4260-A734-E8BCC42EEE6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7" name="Line 47">
          <a:extLst>
            <a:ext uri="{FF2B5EF4-FFF2-40B4-BE49-F238E27FC236}">
              <a16:creationId xmlns:a16="http://schemas.microsoft.com/office/drawing/2014/main" id="{0474DF75-7F8A-4CF8-8F30-194AFED54A0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8" name="Line 48">
          <a:extLst>
            <a:ext uri="{FF2B5EF4-FFF2-40B4-BE49-F238E27FC236}">
              <a16:creationId xmlns:a16="http://schemas.microsoft.com/office/drawing/2014/main" id="{06352F3B-277D-46C1-B006-05B77193B66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9" name="Line 49">
          <a:extLst>
            <a:ext uri="{FF2B5EF4-FFF2-40B4-BE49-F238E27FC236}">
              <a16:creationId xmlns:a16="http://schemas.microsoft.com/office/drawing/2014/main" id="{26DBA65B-4882-4E1C-9E61-710AEE28EA9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90" name="Line 50">
          <a:extLst>
            <a:ext uri="{FF2B5EF4-FFF2-40B4-BE49-F238E27FC236}">
              <a16:creationId xmlns:a16="http://schemas.microsoft.com/office/drawing/2014/main" id="{447E934C-5C9B-4B46-AFD7-BC658879FD0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tabSelected="1" workbookViewId="0">
      <selection sqref="A1:E1"/>
    </sheetView>
  </sheetViews>
  <sheetFormatPr defaultColWidth="8" defaultRowHeight="30" customHeight="1"/>
  <cols>
    <col min="1" max="1" width="35" style="1663" customWidth="1"/>
    <col min="2" max="4" width="9.28515625" style="1662" customWidth="1"/>
    <col min="5" max="5" width="35" style="1662" customWidth="1"/>
    <col min="6" max="16384" width="8" style="1662"/>
  </cols>
  <sheetData>
    <row r="1" spans="1:11" ht="33" customHeight="1">
      <c r="A1" s="1668" t="s">
        <v>788</v>
      </c>
      <c r="B1" s="1668"/>
      <c r="C1" s="1668"/>
      <c r="D1" s="1668"/>
      <c r="E1" s="1668"/>
      <c r="J1" s="1670"/>
      <c r="K1" s="1669" t="s">
        <v>787</v>
      </c>
    </row>
    <row r="2" spans="1:11" ht="33" customHeight="1">
      <c r="A2" s="1668" t="s">
        <v>789</v>
      </c>
      <c r="B2" s="1668"/>
      <c r="C2" s="1668"/>
      <c r="D2" s="1668"/>
      <c r="E2" s="1668"/>
    </row>
    <row r="3" spans="1:11" ht="33" customHeight="1">
      <c r="A3" s="1668" t="s">
        <v>790</v>
      </c>
      <c r="B3" s="1668"/>
      <c r="C3" s="1668"/>
      <c r="D3" s="1668"/>
      <c r="E3" s="1668"/>
    </row>
    <row r="4" spans="1:11" ht="33" customHeight="1">
      <c r="A4" s="1668" t="s">
        <v>791</v>
      </c>
      <c r="B4" s="1668"/>
      <c r="C4" s="1668"/>
      <c r="D4" s="1668"/>
      <c r="E4" s="1668"/>
    </row>
    <row r="5" spans="1:11" ht="33" customHeight="1"/>
    <row r="6" spans="1:11" ht="33" customHeight="1"/>
    <row r="7" spans="1:11" ht="33" customHeight="1"/>
    <row r="8" spans="1:11" ht="33" customHeight="1">
      <c r="A8" s="1671">
        <v>42856</v>
      </c>
      <c r="B8" s="1667"/>
      <c r="C8" s="1667"/>
      <c r="D8" s="1667"/>
      <c r="E8" s="1667"/>
    </row>
    <row r="9" spans="1:11" ht="33" customHeight="1"/>
    <row r="10" spans="1:11" ht="33" customHeight="1">
      <c r="A10" s="1666" t="s">
        <v>792</v>
      </c>
      <c r="B10" s="1666"/>
      <c r="C10" s="1666"/>
      <c r="D10" s="1666"/>
      <c r="E10" s="1666"/>
    </row>
    <row r="11" spans="1:11" ht="33" customHeight="1">
      <c r="A11" s="1666"/>
      <c r="B11" s="1666"/>
      <c r="C11" s="1666"/>
      <c r="D11" s="1666"/>
      <c r="E11" s="1666"/>
    </row>
    <row r="12" spans="1:11" ht="33" customHeight="1">
      <c r="A12" s="1666"/>
      <c r="B12" s="1666"/>
      <c r="C12" s="1666"/>
      <c r="D12" s="1666"/>
      <c r="E12" s="1666"/>
    </row>
    <row r="13" spans="1:11" ht="30" customHeight="1">
      <c r="A13" s="1665"/>
      <c r="B13" s="1664"/>
      <c r="C13" s="1664"/>
      <c r="D13" s="1664"/>
      <c r="E13" s="1664"/>
    </row>
    <row r="14" spans="1:11" ht="30" customHeight="1">
      <c r="A14" s="1665"/>
      <c r="B14" s="1664"/>
      <c r="C14" s="1664"/>
      <c r="D14" s="1664"/>
      <c r="E14" s="1664"/>
    </row>
  </sheetData>
  <sheetProtection algorithmName="SHA-512" hashValue="916W3f3l2bz7OEiJ84pCNrIAbJbSzANIW2MEqZJ8/IoN4z99HSF+ZJdYS2B2HcFoZak+gqzfNJ4+su7kkqjSdg==" saltValue="VklLX/iuoMm1hrKPA+XlpQ==" spinCount="100000" sheet="1" scenarios="1" insertRows="0" deleteRows="0" sort="0" autoFilter="0"/>
  <mergeCells count="8">
    <mergeCell ref="A8:E8"/>
    <mergeCell ref="A10:E10"/>
    <mergeCell ref="A12:E12"/>
    <mergeCell ref="A1:E1"/>
    <mergeCell ref="A2:E2"/>
    <mergeCell ref="A3:E3"/>
    <mergeCell ref="A4:E4"/>
    <mergeCell ref="A11:E11"/>
  </mergeCells>
  <phoneticPr fontId="3"/>
  <printOptions horizontalCentered="1" verticalCentered="1"/>
  <pageMargins left="0.78740157480314965" right="0.78740157480314965" top="1.29" bottom="0.44" header="0.51181102362204722" footer="0.32"/>
  <pageSetup paperSize="9" orientation="landscape" horizontalDpi="400" verticalDpi="4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B96"/>
  <sheetViews>
    <sheetView showGridLines="0" zoomScale="80" zoomScaleNormal="80" workbookViewId="0"/>
  </sheetViews>
  <sheetFormatPr defaultColWidth="8.42578125" defaultRowHeight="15" customHeight="1"/>
  <cols>
    <col min="1" max="1" width="7.7109375" style="108" customWidth="1"/>
    <col min="2" max="26" width="7.7109375" style="54" customWidth="1"/>
    <col min="27" max="16384" width="8.42578125" style="54"/>
  </cols>
  <sheetData>
    <row r="1" spans="1:28" s="53" customFormat="1" ht="26.1" customHeight="1">
      <c r="A1" s="233" t="s">
        <v>185</v>
      </c>
      <c r="B1" s="50"/>
      <c r="C1" s="50"/>
      <c r="D1" s="50"/>
      <c r="E1" s="50"/>
      <c r="F1" s="50"/>
      <c r="G1" s="50"/>
      <c r="H1" s="50"/>
      <c r="I1" s="50"/>
      <c r="J1" s="50"/>
      <c r="K1" s="50"/>
      <c r="L1" s="50"/>
      <c r="M1" s="50"/>
      <c r="N1" s="50"/>
      <c r="O1" s="50"/>
      <c r="P1" s="50"/>
      <c r="Q1" s="50"/>
      <c r="R1" s="50"/>
      <c r="S1" s="50"/>
      <c r="T1" s="50"/>
      <c r="U1" s="50"/>
      <c r="V1" s="50"/>
      <c r="W1" s="50"/>
      <c r="X1" s="50"/>
      <c r="Y1" s="50"/>
      <c r="Z1" s="50"/>
      <c r="AA1" s="50"/>
      <c r="AB1" s="52"/>
    </row>
    <row r="2" spans="1:28" ht="15" customHeight="1">
      <c r="V2" s="234"/>
      <c r="W2" s="234"/>
    </row>
    <row r="3" spans="1:28" ht="15" customHeight="1">
      <c r="A3" s="108" t="s">
        <v>155</v>
      </c>
      <c r="C3" s="235" t="s">
        <v>22</v>
      </c>
      <c r="D3" s="235"/>
      <c r="E3" s="61"/>
      <c r="F3" s="61"/>
      <c r="O3" s="61"/>
      <c r="P3" s="61"/>
      <c r="Q3" s="61"/>
      <c r="R3" s="61"/>
      <c r="S3" s="61"/>
      <c r="T3" s="61"/>
      <c r="U3" s="61"/>
      <c r="V3" s="234"/>
      <c r="W3" s="54" t="s">
        <v>156</v>
      </c>
    </row>
    <row r="4" spans="1:28" ht="15" customHeight="1">
      <c r="A4" s="108" t="s">
        <v>157</v>
      </c>
      <c r="C4" s="235" t="s">
        <v>186</v>
      </c>
      <c r="D4" s="235"/>
      <c r="E4" s="61"/>
      <c r="F4" s="61"/>
      <c r="O4" s="236" t="s">
        <v>158</v>
      </c>
      <c r="P4" s="237"/>
      <c r="Q4" s="237"/>
      <c r="R4" s="237"/>
      <c r="S4" s="237"/>
      <c r="T4" s="237"/>
      <c r="U4" s="238"/>
      <c r="V4" s="234"/>
      <c r="W4" s="178" t="s">
        <v>187</v>
      </c>
    </row>
    <row r="5" spans="1:28" ht="15" customHeight="1">
      <c r="O5" s="239" t="s">
        <v>75</v>
      </c>
      <c r="P5" s="240" t="s">
        <v>159</v>
      </c>
      <c r="Q5" s="240" t="s">
        <v>160</v>
      </c>
      <c r="R5" s="240" t="s">
        <v>161</v>
      </c>
      <c r="S5" s="240" t="s">
        <v>162</v>
      </c>
      <c r="T5" s="240" t="s">
        <v>163</v>
      </c>
      <c r="U5" s="241" t="s">
        <v>164</v>
      </c>
      <c r="W5" s="178" t="s">
        <v>188</v>
      </c>
    </row>
    <row r="6" spans="1:28" ht="15" customHeight="1">
      <c r="O6" s="242"/>
      <c r="P6" s="243"/>
      <c r="Q6" s="243"/>
      <c r="R6" s="243"/>
      <c r="S6" s="243"/>
      <c r="T6" s="243"/>
      <c r="U6" s="244"/>
      <c r="W6" s="178" t="s">
        <v>189</v>
      </c>
    </row>
    <row r="7" spans="1:28" ht="15" customHeight="1">
      <c r="Q7" s="234"/>
      <c r="R7" s="234"/>
      <c r="S7" s="234"/>
      <c r="T7" s="234"/>
      <c r="U7" s="234"/>
      <c r="W7" s="178" t="s">
        <v>190</v>
      </c>
    </row>
    <row r="8" spans="1:28" ht="15" customHeight="1">
      <c r="P8" s="234"/>
      <c r="Q8" s="234"/>
      <c r="R8" s="234"/>
      <c r="S8" s="234"/>
      <c r="T8" s="234"/>
      <c r="U8" s="234"/>
      <c r="W8" s="178" t="s">
        <v>191</v>
      </c>
    </row>
    <row r="9" spans="1:28" ht="15" customHeight="1" thickBot="1">
      <c r="G9" s="54" t="s">
        <v>165</v>
      </c>
      <c r="L9" s="54" t="s">
        <v>166</v>
      </c>
      <c r="P9" s="234"/>
      <c r="Q9" s="234"/>
      <c r="R9" s="234"/>
      <c r="S9" s="234"/>
      <c r="T9" s="234"/>
      <c r="U9" s="234"/>
      <c r="W9" s="83" t="s">
        <v>192</v>
      </c>
    </row>
    <row r="10" spans="1:28" ht="15" customHeight="1">
      <c r="A10" s="245" t="s">
        <v>29</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146"/>
    </row>
    <row r="11" spans="1:28" ht="15" customHeight="1">
      <c r="A11" s="246"/>
      <c r="B11" s="247"/>
      <c r="C11" s="248"/>
      <c r="D11" s="249"/>
      <c r="E11" s="148">
        <v>1</v>
      </c>
      <c r="F11" s="149">
        <v>2</v>
      </c>
      <c r="G11" s="149">
        <v>3</v>
      </c>
      <c r="H11" s="149">
        <v>4</v>
      </c>
      <c r="I11" s="149">
        <v>5</v>
      </c>
      <c r="J11" s="149">
        <v>6</v>
      </c>
      <c r="K11" s="149">
        <v>7</v>
      </c>
      <c r="L11" s="149">
        <v>8</v>
      </c>
      <c r="M11" s="149">
        <v>9</v>
      </c>
      <c r="N11" s="149">
        <v>10</v>
      </c>
      <c r="O11" s="149">
        <v>11</v>
      </c>
      <c r="P11" s="149">
        <v>12</v>
      </c>
      <c r="Q11" s="149">
        <v>13</v>
      </c>
      <c r="R11" s="149">
        <v>14</v>
      </c>
      <c r="S11" s="149">
        <v>15</v>
      </c>
      <c r="T11" s="149">
        <v>16</v>
      </c>
      <c r="U11" s="149">
        <v>17</v>
      </c>
      <c r="V11" s="149">
        <v>18</v>
      </c>
      <c r="W11" s="151">
        <v>19</v>
      </c>
      <c r="X11" s="151">
        <v>20</v>
      </c>
      <c r="Y11" s="151">
        <v>21</v>
      </c>
      <c r="Z11" s="151">
        <v>22</v>
      </c>
      <c r="AA11" s="151">
        <v>23</v>
      </c>
      <c r="AB11" s="152">
        <v>24</v>
      </c>
    </row>
    <row r="12" spans="1:28" ht="15" customHeight="1" thickBot="1">
      <c r="A12" s="250" t="s">
        <v>167</v>
      </c>
      <c r="B12" s="251" t="s">
        <v>168</v>
      </c>
      <c r="C12" s="252"/>
      <c r="D12" s="253"/>
      <c r="E12" s="254">
        <v>0</v>
      </c>
      <c r="F12" s="255">
        <v>0</v>
      </c>
      <c r="G12" s="255">
        <v>0</v>
      </c>
      <c r="H12" s="255">
        <v>0</v>
      </c>
      <c r="I12" s="255">
        <v>7</v>
      </c>
      <c r="J12" s="255">
        <v>56</v>
      </c>
      <c r="K12" s="255">
        <v>120</v>
      </c>
      <c r="L12" s="255">
        <v>187</v>
      </c>
      <c r="M12" s="255">
        <v>247</v>
      </c>
      <c r="N12" s="255">
        <v>294</v>
      </c>
      <c r="O12" s="255">
        <v>321</v>
      </c>
      <c r="P12" s="255">
        <v>325</v>
      </c>
      <c r="Q12" s="255">
        <v>307</v>
      </c>
      <c r="R12" s="255">
        <v>272</v>
      </c>
      <c r="S12" s="255">
        <v>220</v>
      </c>
      <c r="T12" s="255">
        <v>158</v>
      </c>
      <c r="U12" s="255">
        <v>94</v>
      </c>
      <c r="V12" s="255">
        <v>24</v>
      </c>
      <c r="W12" s="255">
        <v>0</v>
      </c>
      <c r="X12" s="255">
        <v>0</v>
      </c>
      <c r="Y12" s="255">
        <v>0</v>
      </c>
      <c r="Z12" s="255">
        <v>0</v>
      </c>
      <c r="AA12" s="255">
        <v>0</v>
      </c>
      <c r="AB12" s="256">
        <v>0</v>
      </c>
    </row>
    <row r="13" spans="1:28" ht="15" customHeight="1" thickBot="1">
      <c r="A13" s="257" t="s">
        <v>169</v>
      </c>
      <c r="B13" s="258" t="s">
        <v>170</v>
      </c>
      <c r="C13" s="259"/>
      <c r="D13" s="260"/>
      <c r="E13" s="261">
        <v>0</v>
      </c>
      <c r="F13" s="262">
        <v>0</v>
      </c>
      <c r="G13" s="262">
        <v>0</v>
      </c>
      <c r="H13" s="262">
        <v>0</v>
      </c>
      <c r="I13" s="262">
        <v>4</v>
      </c>
      <c r="J13" s="262">
        <v>31</v>
      </c>
      <c r="K13" s="262">
        <v>63</v>
      </c>
      <c r="L13" s="262">
        <v>93</v>
      </c>
      <c r="M13" s="262">
        <v>116</v>
      </c>
      <c r="N13" s="262">
        <v>130</v>
      </c>
      <c r="O13" s="262">
        <v>135</v>
      </c>
      <c r="P13" s="262">
        <v>135</v>
      </c>
      <c r="Q13" s="262">
        <v>133</v>
      </c>
      <c r="R13" s="262">
        <v>125</v>
      </c>
      <c r="S13" s="262">
        <v>107</v>
      </c>
      <c r="T13" s="262">
        <v>81</v>
      </c>
      <c r="U13" s="262">
        <v>49</v>
      </c>
      <c r="V13" s="262">
        <v>14</v>
      </c>
      <c r="W13" s="262">
        <v>0</v>
      </c>
      <c r="X13" s="262">
        <v>0</v>
      </c>
      <c r="Y13" s="262">
        <v>0</v>
      </c>
      <c r="Z13" s="262">
        <v>0</v>
      </c>
      <c r="AA13" s="262">
        <v>0</v>
      </c>
      <c r="AB13" s="263">
        <v>0</v>
      </c>
    </row>
    <row r="14" spans="1:28" ht="15" customHeight="1" thickBot="1">
      <c r="A14" s="264" t="s">
        <v>68</v>
      </c>
      <c r="B14" s="258" t="s">
        <v>171</v>
      </c>
      <c r="C14" s="259"/>
      <c r="D14" s="260"/>
      <c r="E14" s="261">
        <v>0</v>
      </c>
      <c r="F14" s="262">
        <v>0</v>
      </c>
      <c r="G14" s="262">
        <v>0</v>
      </c>
      <c r="H14" s="262">
        <v>0</v>
      </c>
      <c r="I14" s="262">
        <v>7</v>
      </c>
      <c r="J14" s="262">
        <v>71</v>
      </c>
      <c r="K14" s="262">
        <v>179</v>
      </c>
      <c r="L14" s="262">
        <v>298</v>
      </c>
      <c r="M14" s="262">
        <v>413</v>
      </c>
      <c r="N14" s="262">
        <v>498</v>
      </c>
      <c r="O14" s="262">
        <v>554</v>
      </c>
      <c r="P14" s="262">
        <v>571</v>
      </c>
      <c r="Q14" s="262">
        <v>549</v>
      </c>
      <c r="R14" s="262">
        <v>481</v>
      </c>
      <c r="S14" s="262">
        <v>372</v>
      </c>
      <c r="T14" s="262">
        <v>246</v>
      </c>
      <c r="U14" s="262">
        <v>132</v>
      </c>
      <c r="V14" s="262">
        <v>26</v>
      </c>
      <c r="W14" s="262">
        <v>0</v>
      </c>
      <c r="X14" s="262">
        <v>0</v>
      </c>
      <c r="Y14" s="262">
        <v>0</v>
      </c>
      <c r="Z14" s="262">
        <v>0</v>
      </c>
      <c r="AA14" s="262">
        <v>0</v>
      </c>
      <c r="AB14" s="263">
        <v>0</v>
      </c>
    </row>
    <row r="15" spans="1:28" ht="15" customHeight="1">
      <c r="A15" s="265" t="s">
        <v>69</v>
      </c>
      <c r="B15" s="266" t="s">
        <v>172</v>
      </c>
      <c r="C15" s="267"/>
      <c r="D15" s="268"/>
      <c r="E15" s="284">
        <v>0</v>
      </c>
      <c r="F15" s="285">
        <v>0</v>
      </c>
      <c r="G15" s="285">
        <v>0</v>
      </c>
      <c r="H15" s="285">
        <v>0</v>
      </c>
      <c r="I15" s="285">
        <v>12</v>
      </c>
      <c r="J15" s="285">
        <v>89</v>
      </c>
      <c r="K15" s="285">
        <v>84</v>
      </c>
      <c r="L15" s="285">
        <v>63</v>
      </c>
      <c r="M15" s="285">
        <v>17</v>
      </c>
      <c r="N15" s="285">
        <v>0</v>
      </c>
      <c r="O15" s="285">
        <v>0</v>
      </c>
      <c r="P15" s="285">
        <v>0</v>
      </c>
      <c r="Q15" s="285">
        <v>0</v>
      </c>
      <c r="R15" s="285">
        <v>0</v>
      </c>
      <c r="S15" s="285">
        <v>0</v>
      </c>
      <c r="T15" s="285">
        <v>0</v>
      </c>
      <c r="U15" s="285">
        <v>0</v>
      </c>
      <c r="V15" s="285">
        <v>0</v>
      </c>
      <c r="W15" s="285">
        <v>0</v>
      </c>
      <c r="X15" s="285">
        <v>0</v>
      </c>
      <c r="Y15" s="285">
        <v>0</v>
      </c>
      <c r="Z15" s="285">
        <v>0</v>
      </c>
      <c r="AA15" s="285">
        <v>0</v>
      </c>
      <c r="AB15" s="286">
        <v>0</v>
      </c>
    </row>
    <row r="16" spans="1:28" ht="15" customHeight="1">
      <c r="A16" s="269"/>
      <c r="B16" s="270" t="s">
        <v>173</v>
      </c>
      <c r="C16" s="271"/>
      <c r="D16" s="272"/>
      <c r="E16" s="287">
        <v>1</v>
      </c>
      <c r="F16" s="288">
        <v>1</v>
      </c>
      <c r="G16" s="288">
        <v>1</v>
      </c>
      <c r="H16" s="288">
        <v>1</v>
      </c>
      <c r="I16" s="288">
        <v>1</v>
      </c>
      <c r="J16" s="288">
        <v>1</v>
      </c>
      <c r="K16" s="288">
        <v>1</v>
      </c>
      <c r="L16" s="288">
        <v>1</v>
      </c>
      <c r="M16" s="288">
        <v>1</v>
      </c>
      <c r="N16" s="288">
        <v>1</v>
      </c>
      <c r="O16" s="288">
        <v>1</v>
      </c>
      <c r="P16" s="288">
        <v>1</v>
      </c>
      <c r="Q16" s="288">
        <v>1</v>
      </c>
      <c r="R16" s="288">
        <v>1</v>
      </c>
      <c r="S16" s="288">
        <v>1</v>
      </c>
      <c r="T16" s="288">
        <v>1</v>
      </c>
      <c r="U16" s="288">
        <v>1</v>
      </c>
      <c r="V16" s="288">
        <v>1</v>
      </c>
      <c r="W16" s="288">
        <v>1</v>
      </c>
      <c r="X16" s="288">
        <v>1</v>
      </c>
      <c r="Y16" s="288">
        <v>1</v>
      </c>
      <c r="Z16" s="288">
        <v>1</v>
      </c>
      <c r="AA16" s="288">
        <v>1</v>
      </c>
      <c r="AB16" s="289">
        <v>1</v>
      </c>
    </row>
    <row r="17" spans="1:28" ht="15" customHeight="1" thickBot="1">
      <c r="A17" s="273"/>
      <c r="B17" s="274" t="s">
        <v>174</v>
      </c>
      <c r="C17" s="275"/>
      <c r="D17" s="276"/>
      <c r="E17" s="290">
        <v>0</v>
      </c>
      <c r="F17" s="291">
        <v>0</v>
      </c>
      <c r="G17" s="291">
        <v>0</v>
      </c>
      <c r="H17" s="291">
        <v>0</v>
      </c>
      <c r="I17" s="291">
        <v>16</v>
      </c>
      <c r="J17" s="291">
        <v>120</v>
      </c>
      <c r="K17" s="291">
        <v>147</v>
      </c>
      <c r="L17" s="291">
        <v>156</v>
      </c>
      <c r="M17" s="291">
        <v>133</v>
      </c>
      <c r="N17" s="291">
        <v>130</v>
      </c>
      <c r="O17" s="291">
        <v>135</v>
      </c>
      <c r="P17" s="291">
        <v>136</v>
      </c>
      <c r="Q17" s="291">
        <v>134</v>
      </c>
      <c r="R17" s="291">
        <v>125</v>
      </c>
      <c r="S17" s="291">
        <v>107</v>
      </c>
      <c r="T17" s="291">
        <v>80</v>
      </c>
      <c r="U17" s="291">
        <v>50</v>
      </c>
      <c r="V17" s="291">
        <v>14</v>
      </c>
      <c r="W17" s="291">
        <v>0</v>
      </c>
      <c r="X17" s="291">
        <v>0</v>
      </c>
      <c r="Y17" s="291">
        <v>0</v>
      </c>
      <c r="Z17" s="291">
        <v>0</v>
      </c>
      <c r="AA17" s="291">
        <v>0</v>
      </c>
      <c r="AB17" s="292">
        <v>0</v>
      </c>
    </row>
    <row r="18" spans="1:28" ht="15" customHeight="1">
      <c r="A18" s="265" t="s">
        <v>70</v>
      </c>
      <c r="B18" s="266" t="s">
        <v>172</v>
      </c>
      <c r="C18" s="267"/>
      <c r="D18" s="268"/>
      <c r="E18" s="284">
        <v>0</v>
      </c>
      <c r="F18" s="285">
        <v>0</v>
      </c>
      <c r="G18" s="285">
        <v>0</v>
      </c>
      <c r="H18" s="285">
        <v>0</v>
      </c>
      <c r="I18" s="285">
        <v>18</v>
      </c>
      <c r="J18" s="285">
        <v>163</v>
      </c>
      <c r="K18" s="285">
        <v>194</v>
      </c>
      <c r="L18" s="285">
        <v>216</v>
      </c>
      <c r="M18" s="285">
        <v>179</v>
      </c>
      <c r="N18" s="285">
        <v>99</v>
      </c>
      <c r="O18" s="285">
        <v>11</v>
      </c>
      <c r="P18" s="285">
        <v>0</v>
      </c>
      <c r="Q18" s="285">
        <v>0</v>
      </c>
      <c r="R18" s="285">
        <v>0</v>
      </c>
      <c r="S18" s="285">
        <v>0</v>
      </c>
      <c r="T18" s="285">
        <v>0</v>
      </c>
      <c r="U18" s="285">
        <v>0</v>
      </c>
      <c r="V18" s="285">
        <v>0</v>
      </c>
      <c r="W18" s="285">
        <v>0</v>
      </c>
      <c r="X18" s="285">
        <v>0</v>
      </c>
      <c r="Y18" s="285">
        <v>0</v>
      </c>
      <c r="Z18" s="285">
        <v>0</v>
      </c>
      <c r="AA18" s="285">
        <v>0</v>
      </c>
      <c r="AB18" s="286">
        <v>0</v>
      </c>
    </row>
    <row r="19" spans="1:28" ht="15" customHeight="1">
      <c r="A19" s="269"/>
      <c r="B19" s="270" t="s">
        <v>173</v>
      </c>
      <c r="C19" s="271"/>
      <c r="D19" s="272"/>
      <c r="E19" s="287">
        <v>1</v>
      </c>
      <c r="F19" s="288">
        <v>1</v>
      </c>
      <c r="G19" s="288">
        <v>1</v>
      </c>
      <c r="H19" s="288">
        <v>1</v>
      </c>
      <c r="I19" s="288">
        <v>1</v>
      </c>
      <c r="J19" s="288">
        <v>1</v>
      </c>
      <c r="K19" s="288">
        <v>1</v>
      </c>
      <c r="L19" s="288">
        <v>1</v>
      </c>
      <c r="M19" s="288">
        <v>1</v>
      </c>
      <c r="N19" s="288">
        <v>1</v>
      </c>
      <c r="O19" s="288">
        <v>1</v>
      </c>
      <c r="P19" s="288">
        <v>1</v>
      </c>
      <c r="Q19" s="288">
        <v>1</v>
      </c>
      <c r="R19" s="288">
        <v>1</v>
      </c>
      <c r="S19" s="288">
        <v>1</v>
      </c>
      <c r="T19" s="288">
        <v>1</v>
      </c>
      <c r="U19" s="288">
        <v>1</v>
      </c>
      <c r="V19" s="288">
        <v>1</v>
      </c>
      <c r="W19" s="288">
        <v>1</v>
      </c>
      <c r="X19" s="288">
        <v>1</v>
      </c>
      <c r="Y19" s="288">
        <v>1</v>
      </c>
      <c r="Z19" s="288">
        <v>1</v>
      </c>
      <c r="AA19" s="288">
        <v>1</v>
      </c>
      <c r="AB19" s="289">
        <v>1</v>
      </c>
    </row>
    <row r="20" spans="1:28" ht="15" customHeight="1" thickBot="1">
      <c r="A20" s="273"/>
      <c r="B20" s="274" t="s">
        <v>174</v>
      </c>
      <c r="C20" s="275"/>
      <c r="D20" s="276"/>
      <c r="E20" s="290">
        <v>0</v>
      </c>
      <c r="F20" s="291">
        <v>0</v>
      </c>
      <c r="G20" s="291">
        <v>0</v>
      </c>
      <c r="H20" s="291">
        <v>0</v>
      </c>
      <c r="I20" s="291">
        <v>22</v>
      </c>
      <c r="J20" s="291">
        <v>194</v>
      </c>
      <c r="K20" s="291">
        <v>257</v>
      </c>
      <c r="L20" s="291">
        <v>309</v>
      </c>
      <c r="M20" s="291">
        <v>295</v>
      </c>
      <c r="N20" s="291">
        <v>229</v>
      </c>
      <c r="O20" s="291">
        <v>146</v>
      </c>
      <c r="P20" s="291">
        <v>136</v>
      </c>
      <c r="Q20" s="291">
        <v>134</v>
      </c>
      <c r="R20" s="291">
        <v>125</v>
      </c>
      <c r="S20" s="291">
        <v>107</v>
      </c>
      <c r="T20" s="291">
        <v>80</v>
      </c>
      <c r="U20" s="291">
        <v>50</v>
      </c>
      <c r="V20" s="291">
        <v>14</v>
      </c>
      <c r="W20" s="291">
        <v>0</v>
      </c>
      <c r="X20" s="291">
        <v>0</v>
      </c>
      <c r="Y20" s="291">
        <v>0</v>
      </c>
      <c r="Z20" s="291">
        <v>0</v>
      </c>
      <c r="AA20" s="291">
        <v>0</v>
      </c>
      <c r="AB20" s="292">
        <v>0</v>
      </c>
    </row>
    <row r="21" spans="1:28" ht="15" customHeight="1">
      <c r="A21" s="265" t="s">
        <v>71</v>
      </c>
      <c r="B21" s="266" t="s">
        <v>172</v>
      </c>
      <c r="C21" s="267"/>
      <c r="D21" s="268"/>
      <c r="E21" s="284">
        <v>0</v>
      </c>
      <c r="F21" s="285">
        <v>0</v>
      </c>
      <c r="G21" s="285">
        <v>0</v>
      </c>
      <c r="H21" s="285">
        <v>0</v>
      </c>
      <c r="I21" s="285">
        <v>12</v>
      </c>
      <c r="J21" s="285">
        <v>130</v>
      </c>
      <c r="K21" s="285">
        <v>179</v>
      </c>
      <c r="L21" s="285">
        <v>229</v>
      </c>
      <c r="M21" s="285">
        <v>228</v>
      </c>
      <c r="N21" s="285">
        <v>180</v>
      </c>
      <c r="O21" s="285">
        <v>96</v>
      </c>
      <c r="P21" s="285">
        <v>11</v>
      </c>
      <c r="Q21" s="285">
        <v>0</v>
      </c>
      <c r="R21" s="285">
        <v>0</v>
      </c>
      <c r="S21" s="285">
        <v>0</v>
      </c>
      <c r="T21" s="285">
        <v>0</v>
      </c>
      <c r="U21" s="285">
        <v>0</v>
      </c>
      <c r="V21" s="285">
        <v>0</v>
      </c>
      <c r="W21" s="285">
        <v>0</v>
      </c>
      <c r="X21" s="285">
        <v>0</v>
      </c>
      <c r="Y21" s="285">
        <v>0</v>
      </c>
      <c r="Z21" s="285">
        <v>0</v>
      </c>
      <c r="AA21" s="285">
        <v>0</v>
      </c>
      <c r="AB21" s="286">
        <v>0</v>
      </c>
    </row>
    <row r="22" spans="1:28" ht="15" customHeight="1">
      <c r="A22" s="269"/>
      <c r="B22" s="270" t="s">
        <v>175</v>
      </c>
      <c r="C22" s="271"/>
      <c r="D22" s="272"/>
      <c r="E22" s="287">
        <v>1</v>
      </c>
      <c r="F22" s="288">
        <v>1</v>
      </c>
      <c r="G22" s="288">
        <v>1</v>
      </c>
      <c r="H22" s="288">
        <v>1</v>
      </c>
      <c r="I22" s="288">
        <v>1</v>
      </c>
      <c r="J22" s="288">
        <v>1</v>
      </c>
      <c r="K22" s="288">
        <v>1</v>
      </c>
      <c r="L22" s="288">
        <v>1</v>
      </c>
      <c r="M22" s="288">
        <v>1</v>
      </c>
      <c r="N22" s="288">
        <v>1</v>
      </c>
      <c r="O22" s="288">
        <v>1</v>
      </c>
      <c r="P22" s="288">
        <v>1</v>
      </c>
      <c r="Q22" s="288">
        <v>1</v>
      </c>
      <c r="R22" s="288">
        <v>1</v>
      </c>
      <c r="S22" s="288">
        <v>1</v>
      </c>
      <c r="T22" s="288">
        <v>1</v>
      </c>
      <c r="U22" s="288">
        <v>1</v>
      </c>
      <c r="V22" s="288">
        <v>1</v>
      </c>
      <c r="W22" s="288">
        <v>1</v>
      </c>
      <c r="X22" s="288">
        <v>1</v>
      </c>
      <c r="Y22" s="288">
        <v>1</v>
      </c>
      <c r="Z22" s="288">
        <v>1</v>
      </c>
      <c r="AA22" s="288">
        <v>1</v>
      </c>
      <c r="AB22" s="289">
        <v>1</v>
      </c>
    </row>
    <row r="23" spans="1:28" ht="15" customHeight="1" thickBot="1">
      <c r="A23" s="273"/>
      <c r="B23" s="274" t="s">
        <v>174</v>
      </c>
      <c r="C23" s="275"/>
      <c r="D23" s="276"/>
      <c r="E23" s="290">
        <v>0</v>
      </c>
      <c r="F23" s="291">
        <v>0</v>
      </c>
      <c r="G23" s="291">
        <v>0</v>
      </c>
      <c r="H23" s="291">
        <v>0</v>
      </c>
      <c r="I23" s="291">
        <v>16</v>
      </c>
      <c r="J23" s="291">
        <v>161</v>
      </c>
      <c r="K23" s="291">
        <v>242</v>
      </c>
      <c r="L23" s="291">
        <v>322</v>
      </c>
      <c r="M23" s="291">
        <v>344</v>
      </c>
      <c r="N23" s="291">
        <v>310</v>
      </c>
      <c r="O23" s="291">
        <v>231</v>
      </c>
      <c r="P23" s="291">
        <v>147</v>
      </c>
      <c r="Q23" s="291">
        <v>134</v>
      </c>
      <c r="R23" s="291">
        <v>125</v>
      </c>
      <c r="S23" s="291">
        <v>107</v>
      </c>
      <c r="T23" s="291">
        <v>80</v>
      </c>
      <c r="U23" s="291">
        <v>50</v>
      </c>
      <c r="V23" s="291">
        <v>14</v>
      </c>
      <c r="W23" s="291">
        <v>0</v>
      </c>
      <c r="X23" s="291">
        <v>0</v>
      </c>
      <c r="Y23" s="291">
        <v>0</v>
      </c>
      <c r="Z23" s="291">
        <v>0</v>
      </c>
      <c r="AA23" s="291">
        <v>0</v>
      </c>
      <c r="AB23" s="292">
        <v>0</v>
      </c>
    </row>
    <row r="24" spans="1:28" ht="15" customHeight="1">
      <c r="A24" s="265" t="s">
        <v>72</v>
      </c>
      <c r="B24" s="266" t="s">
        <v>172</v>
      </c>
      <c r="C24" s="267"/>
      <c r="D24" s="268"/>
      <c r="E24" s="284">
        <v>0</v>
      </c>
      <c r="F24" s="285">
        <v>0</v>
      </c>
      <c r="G24" s="285">
        <v>0</v>
      </c>
      <c r="H24" s="285">
        <v>0</v>
      </c>
      <c r="I24" s="285">
        <v>0</v>
      </c>
      <c r="J24" s="285">
        <v>0</v>
      </c>
      <c r="K24" s="285">
        <v>0</v>
      </c>
      <c r="L24" s="285">
        <v>44</v>
      </c>
      <c r="M24" s="285">
        <v>90</v>
      </c>
      <c r="N24" s="285">
        <v>115</v>
      </c>
      <c r="O24" s="285">
        <v>112</v>
      </c>
      <c r="P24" s="285">
        <v>82</v>
      </c>
      <c r="Q24" s="285">
        <v>35</v>
      </c>
      <c r="R24" s="285">
        <v>0</v>
      </c>
      <c r="S24" s="285">
        <v>0</v>
      </c>
      <c r="T24" s="285">
        <v>0</v>
      </c>
      <c r="U24" s="285">
        <v>0</v>
      </c>
      <c r="V24" s="285">
        <v>0</v>
      </c>
      <c r="W24" s="285">
        <v>0</v>
      </c>
      <c r="X24" s="285">
        <v>0</v>
      </c>
      <c r="Y24" s="285">
        <v>0</v>
      </c>
      <c r="Z24" s="285">
        <v>0</v>
      </c>
      <c r="AA24" s="285">
        <v>0</v>
      </c>
      <c r="AB24" s="286">
        <v>0</v>
      </c>
    </row>
    <row r="25" spans="1:28" ht="15" customHeight="1">
      <c r="A25" s="269"/>
      <c r="B25" s="270" t="s">
        <v>175</v>
      </c>
      <c r="C25" s="271"/>
      <c r="D25" s="272"/>
      <c r="E25" s="287">
        <v>1</v>
      </c>
      <c r="F25" s="288">
        <v>1</v>
      </c>
      <c r="G25" s="288">
        <v>1</v>
      </c>
      <c r="H25" s="288">
        <v>1</v>
      </c>
      <c r="I25" s="288">
        <v>1</v>
      </c>
      <c r="J25" s="288">
        <v>1</v>
      </c>
      <c r="K25" s="288">
        <v>1</v>
      </c>
      <c r="L25" s="288">
        <v>1</v>
      </c>
      <c r="M25" s="288">
        <v>1</v>
      </c>
      <c r="N25" s="288">
        <v>1</v>
      </c>
      <c r="O25" s="288">
        <v>1</v>
      </c>
      <c r="P25" s="288">
        <v>1</v>
      </c>
      <c r="Q25" s="288">
        <v>1</v>
      </c>
      <c r="R25" s="288">
        <v>1</v>
      </c>
      <c r="S25" s="288">
        <v>1</v>
      </c>
      <c r="T25" s="288">
        <v>1</v>
      </c>
      <c r="U25" s="288">
        <v>1</v>
      </c>
      <c r="V25" s="288">
        <v>1</v>
      </c>
      <c r="W25" s="288">
        <v>1</v>
      </c>
      <c r="X25" s="288">
        <v>1</v>
      </c>
      <c r="Y25" s="288">
        <v>1</v>
      </c>
      <c r="Z25" s="288">
        <v>1</v>
      </c>
      <c r="AA25" s="288">
        <v>1</v>
      </c>
      <c r="AB25" s="289">
        <v>1</v>
      </c>
    </row>
    <row r="26" spans="1:28" ht="15" customHeight="1" thickBot="1">
      <c r="A26" s="273"/>
      <c r="B26" s="274" t="s">
        <v>174</v>
      </c>
      <c r="C26" s="275"/>
      <c r="D26" s="276"/>
      <c r="E26" s="290">
        <v>0</v>
      </c>
      <c r="F26" s="291">
        <v>0</v>
      </c>
      <c r="G26" s="291">
        <v>0</v>
      </c>
      <c r="H26" s="291">
        <v>0</v>
      </c>
      <c r="I26" s="291">
        <v>4</v>
      </c>
      <c r="J26" s="291">
        <v>31</v>
      </c>
      <c r="K26" s="291">
        <v>63</v>
      </c>
      <c r="L26" s="291">
        <v>137</v>
      </c>
      <c r="M26" s="291">
        <v>206</v>
      </c>
      <c r="N26" s="291">
        <v>245</v>
      </c>
      <c r="O26" s="291">
        <v>247</v>
      </c>
      <c r="P26" s="291">
        <v>218</v>
      </c>
      <c r="Q26" s="291">
        <v>169</v>
      </c>
      <c r="R26" s="291">
        <v>125</v>
      </c>
      <c r="S26" s="291">
        <v>107</v>
      </c>
      <c r="T26" s="291">
        <v>80</v>
      </c>
      <c r="U26" s="291">
        <v>50</v>
      </c>
      <c r="V26" s="291">
        <v>14</v>
      </c>
      <c r="W26" s="291">
        <v>0</v>
      </c>
      <c r="X26" s="291">
        <v>0</v>
      </c>
      <c r="Y26" s="291">
        <v>0</v>
      </c>
      <c r="Z26" s="291">
        <v>0</v>
      </c>
      <c r="AA26" s="291">
        <v>0</v>
      </c>
      <c r="AB26" s="292">
        <v>0</v>
      </c>
    </row>
    <row r="27" spans="1:28" ht="15" customHeight="1">
      <c r="A27" s="265" t="s">
        <v>73</v>
      </c>
      <c r="B27" s="266" t="s">
        <v>172</v>
      </c>
      <c r="C27" s="267"/>
      <c r="D27" s="268"/>
      <c r="E27" s="284">
        <v>0</v>
      </c>
      <c r="F27" s="285">
        <v>0</v>
      </c>
      <c r="G27" s="285">
        <v>0</v>
      </c>
      <c r="H27" s="285">
        <v>0</v>
      </c>
      <c r="I27" s="285">
        <v>0</v>
      </c>
      <c r="J27" s="285">
        <v>0</v>
      </c>
      <c r="K27" s="285">
        <v>0</v>
      </c>
      <c r="L27" s="285">
        <v>0</v>
      </c>
      <c r="M27" s="285">
        <v>0</v>
      </c>
      <c r="N27" s="285">
        <v>0</v>
      </c>
      <c r="O27" s="285">
        <v>28</v>
      </c>
      <c r="P27" s="285">
        <v>93</v>
      </c>
      <c r="Q27" s="285">
        <v>135</v>
      </c>
      <c r="R27" s="285">
        <v>142</v>
      </c>
      <c r="S27" s="285">
        <v>117</v>
      </c>
      <c r="T27" s="285">
        <v>76</v>
      </c>
      <c r="U27" s="285">
        <v>34</v>
      </c>
      <c r="V27" s="285">
        <v>2</v>
      </c>
      <c r="W27" s="285">
        <v>0</v>
      </c>
      <c r="X27" s="285">
        <v>0</v>
      </c>
      <c r="Y27" s="285">
        <v>0</v>
      </c>
      <c r="Z27" s="285">
        <v>0</v>
      </c>
      <c r="AA27" s="285">
        <v>0</v>
      </c>
      <c r="AB27" s="286">
        <v>0</v>
      </c>
    </row>
    <row r="28" spans="1:28" ht="15" customHeight="1">
      <c r="A28" s="269"/>
      <c r="B28" s="270" t="s">
        <v>176</v>
      </c>
      <c r="C28" s="271"/>
      <c r="D28" s="272"/>
      <c r="E28" s="287">
        <v>1</v>
      </c>
      <c r="F28" s="288">
        <v>1</v>
      </c>
      <c r="G28" s="288">
        <v>1</v>
      </c>
      <c r="H28" s="288">
        <v>1</v>
      </c>
      <c r="I28" s="288">
        <v>1</v>
      </c>
      <c r="J28" s="288">
        <v>1</v>
      </c>
      <c r="K28" s="288">
        <v>1</v>
      </c>
      <c r="L28" s="288">
        <v>1</v>
      </c>
      <c r="M28" s="288">
        <v>1</v>
      </c>
      <c r="N28" s="288">
        <v>1</v>
      </c>
      <c r="O28" s="288">
        <v>1</v>
      </c>
      <c r="P28" s="288">
        <v>1</v>
      </c>
      <c r="Q28" s="288">
        <v>1</v>
      </c>
      <c r="R28" s="288">
        <v>1</v>
      </c>
      <c r="S28" s="288">
        <v>1</v>
      </c>
      <c r="T28" s="288">
        <v>1</v>
      </c>
      <c r="U28" s="288">
        <v>1</v>
      </c>
      <c r="V28" s="288">
        <v>1</v>
      </c>
      <c r="W28" s="288">
        <v>1</v>
      </c>
      <c r="X28" s="288">
        <v>1</v>
      </c>
      <c r="Y28" s="288">
        <v>1</v>
      </c>
      <c r="Z28" s="288">
        <v>1</v>
      </c>
      <c r="AA28" s="288">
        <v>1</v>
      </c>
      <c r="AB28" s="289">
        <v>1</v>
      </c>
    </row>
    <row r="29" spans="1:28" ht="15" customHeight="1" thickBot="1">
      <c r="A29" s="273"/>
      <c r="B29" s="274" t="s">
        <v>174</v>
      </c>
      <c r="C29" s="275"/>
      <c r="D29" s="276"/>
      <c r="E29" s="290">
        <v>0</v>
      </c>
      <c r="F29" s="291">
        <v>0</v>
      </c>
      <c r="G29" s="291">
        <v>0</v>
      </c>
      <c r="H29" s="291">
        <v>0</v>
      </c>
      <c r="I29" s="291">
        <v>4</v>
      </c>
      <c r="J29" s="291">
        <v>31</v>
      </c>
      <c r="K29" s="291">
        <v>63</v>
      </c>
      <c r="L29" s="291">
        <v>93</v>
      </c>
      <c r="M29" s="291">
        <v>116</v>
      </c>
      <c r="N29" s="291">
        <v>130</v>
      </c>
      <c r="O29" s="291">
        <v>163</v>
      </c>
      <c r="P29" s="291">
        <v>229</v>
      </c>
      <c r="Q29" s="291">
        <v>269</v>
      </c>
      <c r="R29" s="291">
        <v>267</v>
      </c>
      <c r="S29" s="291">
        <v>224</v>
      </c>
      <c r="T29" s="291">
        <v>156</v>
      </c>
      <c r="U29" s="291">
        <v>84</v>
      </c>
      <c r="V29" s="291">
        <v>16</v>
      </c>
      <c r="W29" s="291">
        <v>0</v>
      </c>
      <c r="X29" s="291">
        <v>0</v>
      </c>
      <c r="Y29" s="291">
        <v>0</v>
      </c>
      <c r="Z29" s="291">
        <v>0</v>
      </c>
      <c r="AA29" s="291">
        <v>0</v>
      </c>
      <c r="AB29" s="292">
        <v>0</v>
      </c>
    </row>
    <row r="30" spans="1:28" ht="15" customHeight="1">
      <c r="A30" s="265" t="s">
        <v>74</v>
      </c>
      <c r="B30" s="266" t="s">
        <v>172</v>
      </c>
      <c r="C30" s="267"/>
      <c r="D30" s="268"/>
      <c r="E30" s="284">
        <v>0</v>
      </c>
      <c r="F30" s="285">
        <v>0</v>
      </c>
      <c r="G30" s="285">
        <v>0</v>
      </c>
      <c r="H30" s="285">
        <v>0</v>
      </c>
      <c r="I30" s="285">
        <v>0</v>
      </c>
      <c r="J30" s="285">
        <v>0</v>
      </c>
      <c r="K30" s="285">
        <v>0</v>
      </c>
      <c r="L30" s="285">
        <v>0</v>
      </c>
      <c r="M30" s="285">
        <v>0</v>
      </c>
      <c r="N30" s="285">
        <v>0</v>
      </c>
      <c r="O30" s="285">
        <v>0</v>
      </c>
      <c r="P30" s="285">
        <v>21</v>
      </c>
      <c r="Q30" s="285">
        <v>130</v>
      </c>
      <c r="R30" s="285">
        <v>217</v>
      </c>
      <c r="S30" s="285">
        <v>242</v>
      </c>
      <c r="T30" s="285">
        <v>218</v>
      </c>
      <c r="U30" s="285">
        <v>157</v>
      </c>
      <c r="V30" s="285">
        <v>39</v>
      </c>
      <c r="W30" s="285">
        <v>0</v>
      </c>
      <c r="X30" s="285">
        <v>0</v>
      </c>
      <c r="Y30" s="285">
        <v>0</v>
      </c>
      <c r="Z30" s="285">
        <v>0</v>
      </c>
      <c r="AA30" s="285">
        <v>0</v>
      </c>
      <c r="AB30" s="286">
        <v>0</v>
      </c>
    </row>
    <row r="31" spans="1:28" ht="15" customHeight="1">
      <c r="A31" s="269"/>
      <c r="B31" s="270" t="s">
        <v>177</v>
      </c>
      <c r="C31" s="271"/>
      <c r="D31" s="272"/>
      <c r="E31" s="287">
        <v>1</v>
      </c>
      <c r="F31" s="288">
        <v>1</v>
      </c>
      <c r="G31" s="288">
        <v>1</v>
      </c>
      <c r="H31" s="288">
        <v>1</v>
      </c>
      <c r="I31" s="288">
        <v>1</v>
      </c>
      <c r="J31" s="288">
        <v>1</v>
      </c>
      <c r="K31" s="288">
        <v>1</v>
      </c>
      <c r="L31" s="288">
        <v>1</v>
      </c>
      <c r="M31" s="288">
        <v>1</v>
      </c>
      <c r="N31" s="288">
        <v>1</v>
      </c>
      <c r="O31" s="288">
        <v>1</v>
      </c>
      <c r="P31" s="288">
        <v>1</v>
      </c>
      <c r="Q31" s="288">
        <v>1</v>
      </c>
      <c r="R31" s="288">
        <v>1</v>
      </c>
      <c r="S31" s="288">
        <v>1</v>
      </c>
      <c r="T31" s="288">
        <v>1</v>
      </c>
      <c r="U31" s="288">
        <v>1</v>
      </c>
      <c r="V31" s="288">
        <v>1</v>
      </c>
      <c r="W31" s="288">
        <v>1</v>
      </c>
      <c r="X31" s="288">
        <v>1</v>
      </c>
      <c r="Y31" s="288">
        <v>1</v>
      </c>
      <c r="Z31" s="288">
        <v>1</v>
      </c>
      <c r="AA31" s="288">
        <v>1</v>
      </c>
      <c r="AB31" s="289">
        <v>1</v>
      </c>
    </row>
    <row r="32" spans="1:28" ht="15" customHeight="1" thickBot="1">
      <c r="A32" s="273"/>
      <c r="B32" s="274" t="s">
        <v>174</v>
      </c>
      <c r="C32" s="275"/>
      <c r="D32" s="276"/>
      <c r="E32" s="290">
        <v>0</v>
      </c>
      <c r="F32" s="291">
        <v>0</v>
      </c>
      <c r="G32" s="291">
        <v>0</v>
      </c>
      <c r="H32" s="291">
        <v>0</v>
      </c>
      <c r="I32" s="291">
        <v>4</v>
      </c>
      <c r="J32" s="291">
        <v>31</v>
      </c>
      <c r="K32" s="291">
        <v>63</v>
      </c>
      <c r="L32" s="291">
        <v>93</v>
      </c>
      <c r="M32" s="291">
        <v>116</v>
      </c>
      <c r="N32" s="291">
        <v>130</v>
      </c>
      <c r="O32" s="291">
        <v>135</v>
      </c>
      <c r="P32" s="291">
        <v>157</v>
      </c>
      <c r="Q32" s="291">
        <v>264</v>
      </c>
      <c r="R32" s="291">
        <v>342</v>
      </c>
      <c r="S32" s="291">
        <v>349</v>
      </c>
      <c r="T32" s="291">
        <v>298</v>
      </c>
      <c r="U32" s="291">
        <v>207</v>
      </c>
      <c r="V32" s="291">
        <v>53</v>
      </c>
      <c r="W32" s="291">
        <v>0</v>
      </c>
      <c r="X32" s="291">
        <v>0</v>
      </c>
      <c r="Y32" s="291">
        <v>0</v>
      </c>
      <c r="Z32" s="291">
        <v>0</v>
      </c>
      <c r="AA32" s="291">
        <v>0</v>
      </c>
      <c r="AB32" s="292">
        <v>0</v>
      </c>
    </row>
    <row r="33" spans="1:28" ht="15" customHeight="1">
      <c r="A33" s="265" t="s">
        <v>75</v>
      </c>
      <c r="B33" s="266" t="s">
        <v>172</v>
      </c>
      <c r="C33" s="267"/>
      <c r="D33" s="268"/>
      <c r="E33" s="284">
        <v>0</v>
      </c>
      <c r="F33" s="285">
        <v>0</v>
      </c>
      <c r="G33" s="285">
        <v>0</v>
      </c>
      <c r="H33" s="285">
        <v>0</v>
      </c>
      <c r="I33" s="285">
        <v>0</v>
      </c>
      <c r="J33" s="285">
        <v>0</v>
      </c>
      <c r="K33" s="285">
        <v>0</v>
      </c>
      <c r="L33" s="285">
        <v>0</v>
      </c>
      <c r="M33" s="285">
        <v>0</v>
      </c>
      <c r="N33" s="285">
        <v>0</v>
      </c>
      <c r="O33" s="285">
        <v>0</v>
      </c>
      <c r="P33" s="285">
        <v>0</v>
      </c>
      <c r="Q33" s="285">
        <v>14</v>
      </c>
      <c r="R33" s="285">
        <v>117</v>
      </c>
      <c r="S33" s="285">
        <v>201</v>
      </c>
      <c r="T33" s="285">
        <v>219</v>
      </c>
      <c r="U33" s="285">
        <v>182</v>
      </c>
      <c r="V33" s="285">
        <v>52</v>
      </c>
      <c r="W33" s="285">
        <v>0</v>
      </c>
      <c r="X33" s="285">
        <v>0</v>
      </c>
      <c r="Y33" s="285">
        <v>0</v>
      </c>
      <c r="Z33" s="285">
        <v>0</v>
      </c>
      <c r="AA33" s="285">
        <v>0</v>
      </c>
      <c r="AB33" s="286">
        <v>0</v>
      </c>
    </row>
    <row r="34" spans="1:28" ht="15" customHeight="1">
      <c r="A34" s="269"/>
      <c r="B34" s="270" t="s">
        <v>178</v>
      </c>
      <c r="C34" s="271"/>
      <c r="D34" s="272"/>
      <c r="E34" s="287">
        <v>1</v>
      </c>
      <c r="F34" s="288">
        <v>1</v>
      </c>
      <c r="G34" s="288">
        <v>1</v>
      </c>
      <c r="H34" s="288">
        <v>1</v>
      </c>
      <c r="I34" s="288">
        <v>1</v>
      </c>
      <c r="J34" s="288">
        <v>1</v>
      </c>
      <c r="K34" s="288">
        <v>1</v>
      </c>
      <c r="L34" s="288">
        <v>1</v>
      </c>
      <c r="M34" s="288">
        <v>1</v>
      </c>
      <c r="N34" s="288">
        <v>1</v>
      </c>
      <c r="O34" s="288">
        <v>1</v>
      </c>
      <c r="P34" s="288">
        <v>1</v>
      </c>
      <c r="Q34" s="288">
        <v>1</v>
      </c>
      <c r="R34" s="288">
        <v>1</v>
      </c>
      <c r="S34" s="288">
        <v>1</v>
      </c>
      <c r="T34" s="288">
        <v>1</v>
      </c>
      <c r="U34" s="288">
        <v>1</v>
      </c>
      <c r="V34" s="288">
        <v>1</v>
      </c>
      <c r="W34" s="288">
        <v>1</v>
      </c>
      <c r="X34" s="288">
        <v>1</v>
      </c>
      <c r="Y34" s="288">
        <v>1</v>
      </c>
      <c r="Z34" s="288">
        <v>1</v>
      </c>
      <c r="AA34" s="288">
        <v>1</v>
      </c>
      <c r="AB34" s="289">
        <v>1</v>
      </c>
    </row>
    <row r="35" spans="1:28" ht="15" customHeight="1" thickBot="1">
      <c r="A35" s="273"/>
      <c r="B35" s="274" t="s">
        <v>174</v>
      </c>
      <c r="C35" s="275"/>
      <c r="D35" s="276"/>
      <c r="E35" s="290">
        <v>0</v>
      </c>
      <c r="F35" s="291">
        <v>0</v>
      </c>
      <c r="G35" s="291">
        <v>0</v>
      </c>
      <c r="H35" s="291">
        <v>0</v>
      </c>
      <c r="I35" s="291">
        <v>4</v>
      </c>
      <c r="J35" s="291">
        <v>31</v>
      </c>
      <c r="K35" s="291">
        <v>63</v>
      </c>
      <c r="L35" s="291">
        <v>93</v>
      </c>
      <c r="M35" s="291">
        <v>116</v>
      </c>
      <c r="N35" s="291">
        <v>130</v>
      </c>
      <c r="O35" s="291">
        <v>135</v>
      </c>
      <c r="P35" s="291">
        <v>136</v>
      </c>
      <c r="Q35" s="291">
        <v>148</v>
      </c>
      <c r="R35" s="291">
        <v>242</v>
      </c>
      <c r="S35" s="291">
        <v>308</v>
      </c>
      <c r="T35" s="291">
        <v>299</v>
      </c>
      <c r="U35" s="291">
        <v>232</v>
      </c>
      <c r="V35" s="291">
        <v>66</v>
      </c>
      <c r="W35" s="291">
        <v>0</v>
      </c>
      <c r="X35" s="291">
        <v>0</v>
      </c>
      <c r="Y35" s="291">
        <v>0</v>
      </c>
      <c r="Z35" s="291">
        <v>0</v>
      </c>
      <c r="AA35" s="291">
        <v>0</v>
      </c>
      <c r="AB35" s="292">
        <v>0</v>
      </c>
    </row>
    <row r="36" spans="1:28" ht="15" customHeight="1">
      <c r="A36" s="277" t="s">
        <v>76</v>
      </c>
      <c r="B36" s="266" t="s">
        <v>172</v>
      </c>
      <c r="C36" s="267"/>
      <c r="D36" s="268"/>
      <c r="E36" s="284">
        <v>0</v>
      </c>
      <c r="F36" s="285">
        <v>0</v>
      </c>
      <c r="G36" s="285">
        <v>0</v>
      </c>
      <c r="H36" s="285">
        <v>0</v>
      </c>
      <c r="I36" s="285">
        <v>0</v>
      </c>
      <c r="J36" s="285">
        <v>0</v>
      </c>
      <c r="K36" s="285">
        <v>0</v>
      </c>
      <c r="L36" s="285">
        <v>0</v>
      </c>
      <c r="M36" s="285">
        <v>0</v>
      </c>
      <c r="N36" s="285">
        <v>0</v>
      </c>
      <c r="O36" s="285">
        <v>0</v>
      </c>
      <c r="P36" s="285">
        <v>0</v>
      </c>
      <c r="Q36" s="285">
        <v>0</v>
      </c>
      <c r="R36" s="285">
        <v>0</v>
      </c>
      <c r="S36" s="285">
        <v>0</v>
      </c>
      <c r="T36" s="285">
        <v>26</v>
      </c>
      <c r="U36" s="285">
        <v>62</v>
      </c>
      <c r="V36" s="285">
        <v>28</v>
      </c>
      <c r="W36" s="285">
        <v>0</v>
      </c>
      <c r="X36" s="285">
        <v>0</v>
      </c>
      <c r="Y36" s="285">
        <v>0</v>
      </c>
      <c r="Z36" s="285">
        <v>0</v>
      </c>
      <c r="AA36" s="285">
        <v>0</v>
      </c>
      <c r="AB36" s="286">
        <v>0</v>
      </c>
    </row>
    <row r="37" spans="1:28" ht="15" customHeight="1">
      <c r="A37" s="278"/>
      <c r="B37" s="270" t="s">
        <v>173</v>
      </c>
      <c r="C37" s="271"/>
      <c r="D37" s="272"/>
      <c r="E37" s="287">
        <v>1</v>
      </c>
      <c r="F37" s="288">
        <v>1</v>
      </c>
      <c r="G37" s="288">
        <v>1</v>
      </c>
      <c r="H37" s="288">
        <v>1</v>
      </c>
      <c r="I37" s="288">
        <v>1</v>
      </c>
      <c r="J37" s="288">
        <v>1</v>
      </c>
      <c r="K37" s="288">
        <v>1</v>
      </c>
      <c r="L37" s="288">
        <v>1</v>
      </c>
      <c r="M37" s="288">
        <v>1</v>
      </c>
      <c r="N37" s="288">
        <v>1</v>
      </c>
      <c r="O37" s="288">
        <v>1</v>
      </c>
      <c r="P37" s="288">
        <v>1</v>
      </c>
      <c r="Q37" s="288">
        <v>1</v>
      </c>
      <c r="R37" s="288">
        <v>1</v>
      </c>
      <c r="S37" s="288">
        <v>1</v>
      </c>
      <c r="T37" s="288">
        <v>1</v>
      </c>
      <c r="U37" s="288">
        <v>1</v>
      </c>
      <c r="V37" s="288">
        <v>1</v>
      </c>
      <c r="W37" s="288">
        <v>1</v>
      </c>
      <c r="X37" s="288">
        <v>1</v>
      </c>
      <c r="Y37" s="288">
        <v>1</v>
      </c>
      <c r="Z37" s="288">
        <v>1</v>
      </c>
      <c r="AA37" s="288">
        <v>1</v>
      </c>
      <c r="AB37" s="289">
        <v>1</v>
      </c>
    </row>
    <row r="38" spans="1:28" ht="15" customHeight="1" thickBot="1">
      <c r="A38" s="279"/>
      <c r="B38" s="274" t="s">
        <v>174</v>
      </c>
      <c r="C38" s="275"/>
      <c r="D38" s="276"/>
      <c r="E38" s="290">
        <v>0</v>
      </c>
      <c r="F38" s="291">
        <v>0</v>
      </c>
      <c r="G38" s="291">
        <v>0</v>
      </c>
      <c r="H38" s="291">
        <v>0</v>
      </c>
      <c r="I38" s="291">
        <v>4</v>
      </c>
      <c r="J38" s="291">
        <v>31</v>
      </c>
      <c r="K38" s="291">
        <v>63</v>
      </c>
      <c r="L38" s="291">
        <v>93</v>
      </c>
      <c r="M38" s="291">
        <v>116</v>
      </c>
      <c r="N38" s="291">
        <v>130</v>
      </c>
      <c r="O38" s="291">
        <v>135</v>
      </c>
      <c r="P38" s="291">
        <v>136</v>
      </c>
      <c r="Q38" s="291">
        <v>134</v>
      </c>
      <c r="R38" s="291">
        <v>125</v>
      </c>
      <c r="S38" s="291">
        <v>107</v>
      </c>
      <c r="T38" s="291">
        <v>106</v>
      </c>
      <c r="U38" s="291">
        <v>112</v>
      </c>
      <c r="V38" s="291">
        <v>42</v>
      </c>
      <c r="W38" s="291">
        <v>0</v>
      </c>
      <c r="X38" s="291">
        <v>0</v>
      </c>
      <c r="Y38" s="291">
        <v>0</v>
      </c>
      <c r="Z38" s="291">
        <v>0</v>
      </c>
      <c r="AA38" s="291">
        <v>0</v>
      </c>
      <c r="AB38" s="292">
        <v>0</v>
      </c>
    </row>
    <row r="39" spans="1:28" ht="15" customHeight="1">
      <c r="A39" s="280" t="s">
        <v>179</v>
      </c>
      <c r="AB39" s="146"/>
    </row>
    <row r="40" spans="1:28" ht="15" customHeight="1">
      <c r="A40" s="246"/>
      <c r="B40" s="247"/>
      <c r="C40" s="248"/>
      <c r="D40" s="249"/>
      <c r="E40" s="148">
        <v>1</v>
      </c>
      <c r="F40" s="149">
        <v>2</v>
      </c>
      <c r="G40" s="149">
        <v>3</v>
      </c>
      <c r="H40" s="149">
        <v>4</v>
      </c>
      <c r="I40" s="149">
        <v>5</v>
      </c>
      <c r="J40" s="149">
        <v>6</v>
      </c>
      <c r="K40" s="149">
        <v>7</v>
      </c>
      <c r="L40" s="149">
        <v>8</v>
      </c>
      <c r="M40" s="149">
        <v>9</v>
      </c>
      <c r="N40" s="149">
        <v>10</v>
      </c>
      <c r="O40" s="149">
        <v>11</v>
      </c>
      <c r="P40" s="149">
        <v>12</v>
      </c>
      <c r="Q40" s="149">
        <v>13</v>
      </c>
      <c r="R40" s="149">
        <v>14</v>
      </c>
      <c r="S40" s="149">
        <v>15</v>
      </c>
      <c r="T40" s="149">
        <v>16</v>
      </c>
      <c r="U40" s="149">
        <v>17</v>
      </c>
      <c r="V40" s="149">
        <v>18</v>
      </c>
      <c r="W40" s="151">
        <v>19</v>
      </c>
      <c r="X40" s="151">
        <v>20</v>
      </c>
      <c r="Y40" s="151">
        <v>21</v>
      </c>
      <c r="Z40" s="151">
        <v>22</v>
      </c>
      <c r="AA40" s="151">
        <v>23</v>
      </c>
      <c r="AB40" s="152">
        <v>24</v>
      </c>
    </row>
    <row r="41" spans="1:28" ht="15" customHeight="1" thickBot="1">
      <c r="A41" s="250" t="s">
        <v>180</v>
      </c>
      <c r="B41" s="251" t="s">
        <v>168</v>
      </c>
      <c r="C41" s="252"/>
      <c r="D41" s="253"/>
      <c r="E41" s="255">
        <v>0</v>
      </c>
      <c r="F41" s="255">
        <v>0</v>
      </c>
      <c r="G41" s="255">
        <v>0</v>
      </c>
      <c r="H41" s="255">
        <v>0</v>
      </c>
      <c r="I41" s="255">
        <v>9</v>
      </c>
      <c r="J41" s="255">
        <v>56</v>
      </c>
      <c r="K41" s="255">
        <v>96</v>
      </c>
      <c r="L41" s="255">
        <v>134</v>
      </c>
      <c r="M41" s="255">
        <v>174</v>
      </c>
      <c r="N41" s="255">
        <v>205</v>
      </c>
      <c r="O41" s="255">
        <v>225</v>
      </c>
      <c r="P41" s="255">
        <v>227</v>
      </c>
      <c r="Q41" s="255">
        <v>218</v>
      </c>
      <c r="R41" s="255">
        <v>194</v>
      </c>
      <c r="S41" s="255">
        <v>160</v>
      </c>
      <c r="T41" s="255">
        <v>122</v>
      </c>
      <c r="U41" s="255">
        <v>80</v>
      </c>
      <c r="V41" s="255">
        <v>33</v>
      </c>
      <c r="W41" s="255">
        <v>2</v>
      </c>
      <c r="X41" s="255">
        <v>0</v>
      </c>
      <c r="Y41" s="255">
        <v>0</v>
      </c>
      <c r="Z41" s="255">
        <v>0</v>
      </c>
      <c r="AA41" s="255">
        <v>0</v>
      </c>
      <c r="AB41" s="256">
        <v>0</v>
      </c>
    </row>
    <row r="42" spans="1:28" ht="15" customHeight="1" thickBot="1">
      <c r="A42" s="257" t="s">
        <v>181</v>
      </c>
      <c r="B42" s="258" t="s">
        <v>170</v>
      </c>
      <c r="C42" s="259"/>
      <c r="D42" s="260"/>
      <c r="E42" s="262">
        <v>0</v>
      </c>
      <c r="F42" s="262">
        <v>0</v>
      </c>
      <c r="G42" s="262">
        <v>0</v>
      </c>
      <c r="H42" s="262">
        <v>0</v>
      </c>
      <c r="I42" s="262">
        <v>5</v>
      </c>
      <c r="J42" s="262">
        <v>35</v>
      </c>
      <c r="K42" s="262">
        <v>62</v>
      </c>
      <c r="L42" s="262">
        <v>86</v>
      </c>
      <c r="M42" s="262">
        <v>103</v>
      </c>
      <c r="N42" s="262">
        <v>110</v>
      </c>
      <c r="O42" s="262">
        <v>111</v>
      </c>
      <c r="P42" s="262">
        <v>110</v>
      </c>
      <c r="Q42" s="262">
        <v>111</v>
      </c>
      <c r="R42" s="262">
        <v>108</v>
      </c>
      <c r="S42" s="262">
        <v>98</v>
      </c>
      <c r="T42" s="262">
        <v>76</v>
      </c>
      <c r="U42" s="262">
        <v>51</v>
      </c>
      <c r="V42" s="262">
        <v>21</v>
      </c>
      <c r="W42" s="262">
        <v>1</v>
      </c>
      <c r="X42" s="262">
        <v>0</v>
      </c>
      <c r="Y42" s="262">
        <v>0</v>
      </c>
      <c r="Z42" s="262">
        <v>0</v>
      </c>
      <c r="AA42" s="262">
        <v>0</v>
      </c>
      <c r="AB42" s="263">
        <v>0</v>
      </c>
    </row>
    <row r="43" spans="1:28" ht="15" customHeight="1" thickBot="1">
      <c r="A43" s="264" t="s">
        <v>68</v>
      </c>
      <c r="B43" s="258" t="s">
        <v>171</v>
      </c>
      <c r="C43" s="259"/>
      <c r="D43" s="260"/>
      <c r="E43" s="262">
        <v>0</v>
      </c>
      <c r="F43" s="262">
        <v>0</v>
      </c>
      <c r="G43" s="262">
        <v>0</v>
      </c>
      <c r="H43" s="262">
        <v>0</v>
      </c>
      <c r="I43" s="262">
        <v>9</v>
      </c>
      <c r="J43" s="262">
        <v>96</v>
      </c>
      <c r="K43" s="262">
        <v>250</v>
      </c>
      <c r="L43" s="262">
        <v>409</v>
      </c>
      <c r="M43" s="262">
        <v>545</v>
      </c>
      <c r="N43" s="262">
        <v>647</v>
      </c>
      <c r="O43" s="262">
        <v>706</v>
      </c>
      <c r="P43" s="262">
        <v>721</v>
      </c>
      <c r="Q43" s="262">
        <v>687</v>
      </c>
      <c r="R43" s="262">
        <v>606</v>
      </c>
      <c r="S43" s="262">
        <v>487</v>
      </c>
      <c r="T43" s="262">
        <v>336</v>
      </c>
      <c r="U43" s="262">
        <v>179</v>
      </c>
      <c r="V43" s="262">
        <v>43</v>
      </c>
      <c r="W43" s="262">
        <v>2</v>
      </c>
      <c r="X43" s="262">
        <v>0</v>
      </c>
      <c r="Y43" s="262">
        <v>0</v>
      </c>
      <c r="Z43" s="262">
        <v>0</v>
      </c>
      <c r="AA43" s="262">
        <v>0</v>
      </c>
      <c r="AB43" s="263">
        <v>0</v>
      </c>
    </row>
    <row r="44" spans="1:28" ht="15" customHeight="1">
      <c r="A44" s="265" t="s">
        <v>69</v>
      </c>
      <c r="B44" s="266" t="s">
        <v>172</v>
      </c>
      <c r="C44" s="267"/>
      <c r="D44" s="268"/>
      <c r="E44" s="285">
        <v>0</v>
      </c>
      <c r="F44" s="285">
        <v>0</v>
      </c>
      <c r="G44" s="285">
        <v>0</v>
      </c>
      <c r="H44" s="285">
        <v>0</v>
      </c>
      <c r="I44" s="285">
        <v>49</v>
      </c>
      <c r="J44" s="285">
        <v>198</v>
      </c>
      <c r="K44" s="285">
        <v>191</v>
      </c>
      <c r="L44" s="285">
        <v>121</v>
      </c>
      <c r="M44" s="285">
        <v>30</v>
      </c>
      <c r="N44" s="285">
        <v>0</v>
      </c>
      <c r="O44" s="285">
        <v>0</v>
      </c>
      <c r="P44" s="285">
        <v>0</v>
      </c>
      <c r="Q44" s="285">
        <v>0</v>
      </c>
      <c r="R44" s="285">
        <v>0</v>
      </c>
      <c r="S44" s="285">
        <v>0</v>
      </c>
      <c r="T44" s="285">
        <v>0</v>
      </c>
      <c r="U44" s="285">
        <v>0</v>
      </c>
      <c r="V44" s="285">
        <v>0</v>
      </c>
      <c r="W44" s="285">
        <v>0</v>
      </c>
      <c r="X44" s="285">
        <v>0</v>
      </c>
      <c r="Y44" s="285">
        <v>0</v>
      </c>
      <c r="Z44" s="285">
        <v>0</v>
      </c>
      <c r="AA44" s="285">
        <v>0</v>
      </c>
      <c r="AB44" s="286">
        <v>0</v>
      </c>
    </row>
    <row r="45" spans="1:28" ht="15" customHeight="1">
      <c r="A45" s="269"/>
      <c r="B45" s="270" t="s">
        <v>182</v>
      </c>
      <c r="C45" s="271"/>
      <c r="D45" s="272"/>
      <c r="E45" s="288">
        <v>1</v>
      </c>
      <c r="F45" s="288">
        <v>1</v>
      </c>
      <c r="G45" s="288">
        <v>1</v>
      </c>
      <c r="H45" s="288">
        <v>1</v>
      </c>
      <c r="I45" s="288">
        <v>1</v>
      </c>
      <c r="J45" s="288">
        <v>1</v>
      </c>
      <c r="K45" s="288">
        <v>1</v>
      </c>
      <c r="L45" s="288">
        <v>1</v>
      </c>
      <c r="M45" s="288">
        <v>1</v>
      </c>
      <c r="N45" s="288">
        <v>1</v>
      </c>
      <c r="O45" s="288">
        <v>1</v>
      </c>
      <c r="P45" s="288">
        <v>1</v>
      </c>
      <c r="Q45" s="288">
        <v>1</v>
      </c>
      <c r="R45" s="288">
        <v>1</v>
      </c>
      <c r="S45" s="288">
        <v>1</v>
      </c>
      <c r="T45" s="288">
        <v>1</v>
      </c>
      <c r="U45" s="288">
        <v>1</v>
      </c>
      <c r="V45" s="288">
        <v>1</v>
      </c>
      <c r="W45" s="288">
        <v>1</v>
      </c>
      <c r="X45" s="288">
        <v>1</v>
      </c>
      <c r="Y45" s="288">
        <v>1</v>
      </c>
      <c r="Z45" s="288">
        <v>1</v>
      </c>
      <c r="AA45" s="288">
        <v>1</v>
      </c>
      <c r="AB45" s="289">
        <v>1</v>
      </c>
    </row>
    <row r="46" spans="1:28" ht="15" customHeight="1" thickBot="1">
      <c r="A46" s="273"/>
      <c r="B46" s="274" t="s">
        <v>174</v>
      </c>
      <c r="C46" s="275"/>
      <c r="D46" s="276"/>
      <c r="E46" s="291">
        <v>0</v>
      </c>
      <c r="F46" s="291">
        <v>0</v>
      </c>
      <c r="G46" s="291">
        <v>0</v>
      </c>
      <c r="H46" s="291">
        <v>0</v>
      </c>
      <c r="I46" s="291">
        <v>55</v>
      </c>
      <c r="J46" s="291">
        <v>233</v>
      </c>
      <c r="K46" s="291">
        <v>253</v>
      </c>
      <c r="L46" s="291">
        <v>208</v>
      </c>
      <c r="M46" s="291">
        <v>133</v>
      </c>
      <c r="N46" s="291">
        <v>110</v>
      </c>
      <c r="O46" s="291">
        <v>111</v>
      </c>
      <c r="P46" s="291">
        <v>110</v>
      </c>
      <c r="Q46" s="291">
        <v>112</v>
      </c>
      <c r="R46" s="291">
        <v>109</v>
      </c>
      <c r="S46" s="291">
        <v>98</v>
      </c>
      <c r="T46" s="291">
        <v>76</v>
      </c>
      <c r="U46" s="291">
        <v>51</v>
      </c>
      <c r="V46" s="291">
        <v>21</v>
      </c>
      <c r="W46" s="291">
        <v>2</v>
      </c>
      <c r="X46" s="291">
        <v>0</v>
      </c>
      <c r="Y46" s="291">
        <v>0</v>
      </c>
      <c r="Z46" s="291">
        <v>0</v>
      </c>
      <c r="AA46" s="291">
        <v>0</v>
      </c>
      <c r="AB46" s="292">
        <v>0</v>
      </c>
    </row>
    <row r="47" spans="1:28" ht="15" customHeight="1">
      <c r="A47" s="265" t="s">
        <v>70</v>
      </c>
      <c r="B47" s="266" t="s">
        <v>172</v>
      </c>
      <c r="C47" s="267"/>
      <c r="D47" s="268"/>
      <c r="E47" s="285">
        <v>0</v>
      </c>
      <c r="F47" s="285">
        <v>0</v>
      </c>
      <c r="G47" s="285">
        <v>0</v>
      </c>
      <c r="H47" s="285">
        <v>0</v>
      </c>
      <c r="I47" s="285">
        <v>74</v>
      </c>
      <c r="J47" s="285">
        <v>361</v>
      </c>
      <c r="K47" s="285">
        <v>443</v>
      </c>
      <c r="L47" s="285">
        <v>415</v>
      </c>
      <c r="M47" s="285">
        <v>311</v>
      </c>
      <c r="N47" s="285">
        <v>164</v>
      </c>
      <c r="O47" s="285">
        <v>18</v>
      </c>
      <c r="P47" s="285">
        <v>0</v>
      </c>
      <c r="Q47" s="285">
        <v>0</v>
      </c>
      <c r="R47" s="285">
        <v>0</v>
      </c>
      <c r="S47" s="285">
        <v>0</v>
      </c>
      <c r="T47" s="285">
        <v>0</v>
      </c>
      <c r="U47" s="285">
        <v>0</v>
      </c>
      <c r="V47" s="285">
        <v>0</v>
      </c>
      <c r="W47" s="285">
        <v>0</v>
      </c>
      <c r="X47" s="285">
        <v>0</v>
      </c>
      <c r="Y47" s="285">
        <v>0</v>
      </c>
      <c r="Z47" s="285">
        <v>0</v>
      </c>
      <c r="AA47" s="285">
        <v>0</v>
      </c>
      <c r="AB47" s="286">
        <v>0</v>
      </c>
    </row>
    <row r="48" spans="1:28" ht="15" customHeight="1">
      <c r="A48" s="269"/>
      <c r="B48" s="270" t="s">
        <v>176</v>
      </c>
      <c r="C48" s="271"/>
      <c r="D48" s="272"/>
      <c r="E48" s="288">
        <v>1</v>
      </c>
      <c r="F48" s="288">
        <v>1</v>
      </c>
      <c r="G48" s="288">
        <v>1</v>
      </c>
      <c r="H48" s="288">
        <v>1</v>
      </c>
      <c r="I48" s="288">
        <v>1</v>
      </c>
      <c r="J48" s="288">
        <v>1</v>
      </c>
      <c r="K48" s="288">
        <v>1</v>
      </c>
      <c r="L48" s="288">
        <v>1</v>
      </c>
      <c r="M48" s="288">
        <v>1</v>
      </c>
      <c r="N48" s="288">
        <v>1</v>
      </c>
      <c r="O48" s="288">
        <v>1</v>
      </c>
      <c r="P48" s="288">
        <v>1</v>
      </c>
      <c r="Q48" s="288">
        <v>1</v>
      </c>
      <c r="R48" s="288">
        <v>1</v>
      </c>
      <c r="S48" s="288">
        <v>1</v>
      </c>
      <c r="T48" s="288">
        <v>1</v>
      </c>
      <c r="U48" s="288">
        <v>1</v>
      </c>
      <c r="V48" s="288">
        <v>1</v>
      </c>
      <c r="W48" s="288">
        <v>1</v>
      </c>
      <c r="X48" s="288">
        <v>1</v>
      </c>
      <c r="Y48" s="288">
        <v>1</v>
      </c>
      <c r="Z48" s="288">
        <v>1</v>
      </c>
      <c r="AA48" s="288">
        <v>1</v>
      </c>
      <c r="AB48" s="289">
        <v>1</v>
      </c>
    </row>
    <row r="49" spans="1:28" ht="15" customHeight="1" thickBot="1">
      <c r="A49" s="273"/>
      <c r="B49" s="274" t="s">
        <v>174</v>
      </c>
      <c r="C49" s="275"/>
      <c r="D49" s="276"/>
      <c r="E49" s="291">
        <v>0</v>
      </c>
      <c r="F49" s="291">
        <v>0</v>
      </c>
      <c r="G49" s="291">
        <v>0</v>
      </c>
      <c r="H49" s="291">
        <v>0</v>
      </c>
      <c r="I49" s="291">
        <v>80</v>
      </c>
      <c r="J49" s="291">
        <v>396</v>
      </c>
      <c r="K49" s="291">
        <v>505</v>
      </c>
      <c r="L49" s="291">
        <v>502</v>
      </c>
      <c r="M49" s="291">
        <v>414</v>
      </c>
      <c r="N49" s="291">
        <v>274</v>
      </c>
      <c r="O49" s="291">
        <v>129</v>
      </c>
      <c r="P49" s="291">
        <v>110</v>
      </c>
      <c r="Q49" s="291">
        <v>112</v>
      </c>
      <c r="R49" s="291">
        <v>109</v>
      </c>
      <c r="S49" s="291">
        <v>98</v>
      </c>
      <c r="T49" s="291">
        <v>76</v>
      </c>
      <c r="U49" s="291">
        <v>51</v>
      </c>
      <c r="V49" s="291">
        <v>21</v>
      </c>
      <c r="W49" s="291">
        <v>2</v>
      </c>
      <c r="X49" s="291">
        <v>0</v>
      </c>
      <c r="Y49" s="291">
        <v>0</v>
      </c>
      <c r="Z49" s="291">
        <v>0</v>
      </c>
      <c r="AA49" s="291">
        <v>0</v>
      </c>
      <c r="AB49" s="292">
        <v>0</v>
      </c>
    </row>
    <row r="50" spans="1:28" ht="15" customHeight="1">
      <c r="A50" s="265" t="s">
        <v>71</v>
      </c>
      <c r="B50" s="266" t="s">
        <v>172</v>
      </c>
      <c r="C50" s="267"/>
      <c r="D50" s="268"/>
      <c r="E50" s="285">
        <v>0</v>
      </c>
      <c r="F50" s="285">
        <v>0</v>
      </c>
      <c r="G50" s="285">
        <v>0</v>
      </c>
      <c r="H50" s="285">
        <v>0</v>
      </c>
      <c r="I50" s="285">
        <v>50</v>
      </c>
      <c r="J50" s="285">
        <v>290</v>
      </c>
      <c r="K50" s="285">
        <v>409</v>
      </c>
      <c r="L50" s="285">
        <v>440</v>
      </c>
      <c r="M50" s="285">
        <v>395</v>
      </c>
      <c r="N50" s="285">
        <v>296</v>
      </c>
      <c r="O50" s="285">
        <v>152</v>
      </c>
      <c r="P50" s="285">
        <v>17</v>
      </c>
      <c r="Q50" s="285">
        <v>0</v>
      </c>
      <c r="R50" s="285">
        <v>0</v>
      </c>
      <c r="S50" s="285">
        <v>0</v>
      </c>
      <c r="T50" s="285">
        <v>0</v>
      </c>
      <c r="U50" s="285">
        <v>0</v>
      </c>
      <c r="V50" s="285">
        <v>0</v>
      </c>
      <c r="W50" s="285">
        <v>-1</v>
      </c>
      <c r="X50" s="285">
        <v>0</v>
      </c>
      <c r="Y50" s="285">
        <v>0</v>
      </c>
      <c r="Z50" s="285">
        <v>0</v>
      </c>
      <c r="AA50" s="285">
        <v>0</v>
      </c>
      <c r="AB50" s="286">
        <v>0</v>
      </c>
    </row>
    <row r="51" spans="1:28" ht="15" customHeight="1">
      <c r="A51" s="269"/>
      <c r="B51" s="270" t="s">
        <v>178</v>
      </c>
      <c r="C51" s="271"/>
      <c r="D51" s="272"/>
      <c r="E51" s="288">
        <v>1</v>
      </c>
      <c r="F51" s="288">
        <v>1</v>
      </c>
      <c r="G51" s="288">
        <v>1</v>
      </c>
      <c r="H51" s="288">
        <v>1</v>
      </c>
      <c r="I51" s="288">
        <v>1</v>
      </c>
      <c r="J51" s="288">
        <v>1</v>
      </c>
      <c r="K51" s="288">
        <v>1</v>
      </c>
      <c r="L51" s="288">
        <v>1</v>
      </c>
      <c r="M51" s="288">
        <v>1</v>
      </c>
      <c r="N51" s="288">
        <v>1</v>
      </c>
      <c r="O51" s="288">
        <v>1</v>
      </c>
      <c r="P51" s="288">
        <v>1</v>
      </c>
      <c r="Q51" s="288">
        <v>1</v>
      </c>
      <c r="R51" s="288">
        <v>1</v>
      </c>
      <c r="S51" s="288">
        <v>1</v>
      </c>
      <c r="T51" s="288">
        <v>1</v>
      </c>
      <c r="U51" s="288">
        <v>1</v>
      </c>
      <c r="V51" s="288">
        <v>1</v>
      </c>
      <c r="W51" s="288">
        <v>1</v>
      </c>
      <c r="X51" s="288">
        <v>1</v>
      </c>
      <c r="Y51" s="288">
        <v>1</v>
      </c>
      <c r="Z51" s="288">
        <v>1</v>
      </c>
      <c r="AA51" s="288">
        <v>1</v>
      </c>
      <c r="AB51" s="289">
        <v>1</v>
      </c>
    </row>
    <row r="52" spans="1:28" ht="15" customHeight="1" thickBot="1">
      <c r="A52" s="273"/>
      <c r="B52" s="274" t="s">
        <v>174</v>
      </c>
      <c r="C52" s="275"/>
      <c r="D52" s="276"/>
      <c r="E52" s="291">
        <v>0</v>
      </c>
      <c r="F52" s="291">
        <v>0</v>
      </c>
      <c r="G52" s="291">
        <v>0</v>
      </c>
      <c r="H52" s="291">
        <v>0</v>
      </c>
      <c r="I52" s="291">
        <v>56</v>
      </c>
      <c r="J52" s="291">
        <v>325</v>
      </c>
      <c r="K52" s="291">
        <v>471</v>
      </c>
      <c r="L52" s="291">
        <v>527</v>
      </c>
      <c r="M52" s="291">
        <v>498</v>
      </c>
      <c r="N52" s="291">
        <v>406</v>
      </c>
      <c r="O52" s="291">
        <v>263</v>
      </c>
      <c r="P52" s="291">
        <v>127</v>
      </c>
      <c r="Q52" s="291">
        <v>112</v>
      </c>
      <c r="R52" s="291">
        <v>109</v>
      </c>
      <c r="S52" s="291">
        <v>98</v>
      </c>
      <c r="T52" s="291">
        <v>76</v>
      </c>
      <c r="U52" s="291">
        <v>51</v>
      </c>
      <c r="V52" s="291">
        <v>21</v>
      </c>
      <c r="W52" s="291">
        <v>1</v>
      </c>
      <c r="X52" s="291">
        <v>0</v>
      </c>
      <c r="Y52" s="291">
        <v>0</v>
      </c>
      <c r="Z52" s="291">
        <v>0</v>
      </c>
      <c r="AA52" s="291">
        <v>0</v>
      </c>
      <c r="AB52" s="292">
        <v>0</v>
      </c>
    </row>
    <row r="53" spans="1:28" ht="15" customHeight="1">
      <c r="A53" s="265" t="s">
        <v>72</v>
      </c>
      <c r="B53" s="266" t="s">
        <v>172</v>
      </c>
      <c r="C53" s="267"/>
      <c r="D53" s="268"/>
      <c r="E53" s="285">
        <v>0</v>
      </c>
      <c r="F53" s="285">
        <v>0</v>
      </c>
      <c r="G53" s="285">
        <v>0</v>
      </c>
      <c r="H53" s="285">
        <v>0</v>
      </c>
      <c r="I53" s="285">
        <v>0</v>
      </c>
      <c r="J53" s="285">
        <v>0</v>
      </c>
      <c r="K53" s="285">
        <v>0</v>
      </c>
      <c r="L53" s="285">
        <v>84</v>
      </c>
      <c r="M53" s="285">
        <v>156</v>
      </c>
      <c r="N53" s="285">
        <v>189</v>
      </c>
      <c r="O53" s="285">
        <v>177</v>
      </c>
      <c r="P53" s="285">
        <v>127</v>
      </c>
      <c r="Q53" s="285">
        <v>54</v>
      </c>
      <c r="R53" s="285">
        <v>0</v>
      </c>
      <c r="S53" s="285">
        <v>0</v>
      </c>
      <c r="T53" s="285">
        <v>0</v>
      </c>
      <c r="U53" s="285">
        <v>0</v>
      </c>
      <c r="V53" s="285">
        <v>0</v>
      </c>
      <c r="W53" s="285">
        <v>-2</v>
      </c>
      <c r="X53" s="285">
        <v>0</v>
      </c>
      <c r="Y53" s="285">
        <v>0</v>
      </c>
      <c r="Z53" s="285">
        <v>0</v>
      </c>
      <c r="AA53" s="285">
        <v>0</v>
      </c>
      <c r="AB53" s="286">
        <v>0</v>
      </c>
    </row>
    <row r="54" spans="1:28" ht="15" customHeight="1">
      <c r="A54" s="269"/>
      <c r="B54" s="270" t="s">
        <v>173</v>
      </c>
      <c r="C54" s="271"/>
      <c r="D54" s="272"/>
      <c r="E54" s="288">
        <v>1</v>
      </c>
      <c r="F54" s="288">
        <v>1</v>
      </c>
      <c r="G54" s="288">
        <v>1</v>
      </c>
      <c r="H54" s="288">
        <v>1</v>
      </c>
      <c r="I54" s="288">
        <v>1</v>
      </c>
      <c r="J54" s="288">
        <v>1</v>
      </c>
      <c r="K54" s="288">
        <v>1</v>
      </c>
      <c r="L54" s="288">
        <v>1</v>
      </c>
      <c r="M54" s="288">
        <v>1</v>
      </c>
      <c r="N54" s="288">
        <v>1</v>
      </c>
      <c r="O54" s="288">
        <v>1</v>
      </c>
      <c r="P54" s="288">
        <v>1</v>
      </c>
      <c r="Q54" s="288">
        <v>1</v>
      </c>
      <c r="R54" s="288">
        <v>1</v>
      </c>
      <c r="S54" s="288">
        <v>1</v>
      </c>
      <c r="T54" s="288">
        <v>1</v>
      </c>
      <c r="U54" s="288">
        <v>1</v>
      </c>
      <c r="V54" s="288">
        <v>1</v>
      </c>
      <c r="W54" s="288">
        <v>1</v>
      </c>
      <c r="X54" s="288">
        <v>1</v>
      </c>
      <c r="Y54" s="288">
        <v>1</v>
      </c>
      <c r="Z54" s="288">
        <v>1</v>
      </c>
      <c r="AA54" s="288">
        <v>1</v>
      </c>
      <c r="AB54" s="289">
        <v>1</v>
      </c>
    </row>
    <row r="55" spans="1:28" ht="15" customHeight="1" thickBot="1">
      <c r="A55" s="273"/>
      <c r="B55" s="274" t="s">
        <v>174</v>
      </c>
      <c r="C55" s="275"/>
      <c r="D55" s="276"/>
      <c r="E55" s="291">
        <v>0</v>
      </c>
      <c r="F55" s="291">
        <v>0</v>
      </c>
      <c r="G55" s="291">
        <v>0</v>
      </c>
      <c r="H55" s="291">
        <v>0</v>
      </c>
      <c r="I55" s="291">
        <v>6</v>
      </c>
      <c r="J55" s="291">
        <v>35</v>
      </c>
      <c r="K55" s="291">
        <v>62</v>
      </c>
      <c r="L55" s="291">
        <v>171</v>
      </c>
      <c r="M55" s="291">
        <v>259</v>
      </c>
      <c r="N55" s="291">
        <v>299</v>
      </c>
      <c r="O55" s="291">
        <v>288</v>
      </c>
      <c r="P55" s="291">
        <v>237</v>
      </c>
      <c r="Q55" s="291">
        <v>166</v>
      </c>
      <c r="R55" s="291">
        <v>109</v>
      </c>
      <c r="S55" s="291">
        <v>98</v>
      </c>
      <c r="T55" s="291">
        <v>76</v>
      </c>
      <c r="U55" s="291">
        <v>51</v>
      </c>
      <c r="V55" s="291">
        <v>21</v>
      </c>
      <c r="W55" s="291">
        <v>0</v>
      </c>
      <c r="X55" s="291">
        <v>0</v>
      </c>
      <c r="Y55" s="291">
        <v>0</v>
      </c>
      <c r="Z55" s="291">
        <v>0</v>
      </c>
      <c r="AA55" s="291">
        <v>0</v>
      </c>
      <c r="AB55" s="292">
        <v>0</v>
      </c>
    </row>
    <row r="56" spans="1:28" ht="15" customHeight="1">
      <c r="A56" s="265" t="s">
        <v>73</v>
      </c>
      <c r="B56" s="266" t="s">
        <v>172</v>
      </c>
      <c r="C56" s="267"/>
      <c r="D56" s="268"/>
      <c r="E56" s="285">
        <v>0</v>
      </c>
      <c r="F56" s="285">
        <v>0</v>
      </c>
      <c r="G56" s="285">
        <v>0</v>
      </c>
      <c r="H56" s="285">
        <v>0</v>
      </c>
      <c r="I56" s="285">
        <v>0</v>
      </c>
      <c r="J56" s="285">
        <v>0</v>
      </c>
      <c r="K56" s="285">
        <v>0</v>
      </c>
      <c r="L56" s="285">
        <v>0</v>
      </c>
      <c r="M56" s="285">
        <v>0</v>
      </c>
      <c r="N56" s="285">
        <v>0</v>
      </c>
      <c r="O56" s="285">
        <v>44</v>
      </c>
      <c r="P56" s="285">
        <v>144</v>
      </c>
      <c r="Q56" s="285">
        <v>208</v>
      </c>
      <c r="R56" s="285">
        <v>225</v>
      </c>
      <c r="S56" s="285">
        <v>203</v>
      </c>
      <c r="T56" s="285">
        <v>146</v>
      </c>
      <c r="U56" s="285">
        <v>79</v>
      </c>
      <c r="V56" s="285">
        <v>11</v>
      </c>
      <c r="W56" s="285">
        <v>-2</v>
      </c>
      <c r="X56" s="285">
        <v>0</v>
      </c>
      <c r="Y56" s="285">
        <v>0</v>
      </c>
      <c r="Z56" s="285">
        <v>0</v>
      </c>
      <c r="AA56" s="285">
        <v>0</v>
      </c>
      <c r="AB56" s="286">
        <v>0</v>
      </c>
    </row>
    <row r="57" spans="1:28" ht="15" customHeight="1">
      <c r="A57" s="269"/>
      <c r="B57" s="270" t="s">
        <v>173</v>
      </c>
      <c r="C57" s="271"/>
      <c r="D57" s="272"/>
      <c r="E57" s="288">
        <v>1</v>
      </c>
      <c r="F57" s="288">
        <v>1</v>
      </c>
      <c r="G57" s="288">
        <v>1</v>
      </c>
      <c r="H57" s="288">
        <v>1</v>
      </c>
      <c r="I57" s="288">
        <v>1</v>
      </c>
      <c r="J57" s="288">
        <v>1</v>
      </c>
      <c r="K57" s="288">
        <v>1</v>
      </c>
      <c r="L57" s="288">
        <v>1</v>
      </c>
      <c r="M57" s="288">
        <v>1</v>
      </c>
      <c r="N57" s="288">
        <v>1</v>
      </c>
      <c r="O57" s="288">
        <v>1</v>
      </c>
      <c r="P57" s="288">
        <v>1</v>
      </c>
      <c r="Q57" s="288">
        <v>1</v>
      </c>
      <c r="R57" s="288">
        <v>1</v>
      </c>
      <c r="S57" s="288">
        <v>1</v>
      </c>
      <c r="T57" s="288">
        <v>1</v>
      </c>
      <c r="U57" s="288">
        <v>1</v>
      </c>
      <c r="V57" s="288">
        <v>1</v>
      </c>
      <c r="W57" s="288">
        <v>1</v>
      </c>
      <c r="X57" s="288">
        <v>1</v>
      </c>
      <c r="Y57" s="288">
        <v>1</v>
      </c>
      <c r="Z57" s="288">
        <v>1</v>
      </c>
      <c r="AA57" s="288">
        <v>1</v>
      </c>
      <c r="AB57" s="289">
        <v>1</v>
      </c>
    </row>
    <row r="58" spans="1:28" ht="15" customHeight="1" thickBot="1">
      <c r="A58" s="273"/>
      <c r="B58" s="274" t="s">
        <v>174</v>
      </c>
      <c r="C58" s="275"/>
      <c r="D58" s="276"/>
      <c r="E58" s="291">
        <v>0</v>
      </c>
      <c r="F58" s="291">
        <v>0</v>
      </c>
      <c r="G58" s="291">
        <v>0</v>
      </c>
      <c r="H58" s="291">
        <v>0</v>
      </c>
      <c r="I58" s="291">
        <v>6</v>
      </c>
      <c r="J58" s="291">
        <v>35</v>
      </c>
      <c r="K58" s="291">
        <v>62</v>
      </c>
      <c r="L58" s="291">
        <v>87</v>
      </c>
      <c r="M58" s="291">
        <v>103</v>
      </c>
      <c r="N58" s="291">
        <v>110</v>
      </c>
      <c r="O58" s="291">
        <v>155</v>
      </c>
      <c r="P58" s="291">
        <v>254</v>
      </c>
      <c r="Q58" s="291">
        <v>320</v>
      </c>
      <c r="R58" s="291">
        <v>334</v>
      </c>
      <c r="S58" s="291">
        <v>301</v>
      </c>
      <c r="T58" s="291">
        <v>222</v>
      </c>
      <c r="U58" s="291">
        <v>130</v>
      </c>
      <c r="V58" s="291">
        <v>32</v>
      </c>
      <c r="W58" s="291">
        <v>0</v>
      </c>
      <c r="X58" s="291">
        <v>0</v>
      </c>
      <c r="Y58" s="291">
        <v>0</v>
      </c>
      <c r="Z58" s="291">
        <v>0</v>
      </c>
      <c r="AA58" s="291">
        <v>0</v>
      </c>
      <c r="AB58" s="292">
        <v>0</v>
      </c>
    </row>
    <row r="59" spans="1:28" ht="15" customHeight="1">
      <c r="A59" s="265" t="s">
        <v>74</v>
      </c>
      <c r="B59" s="266" t="s">
        <v>172</v>
      </c>
      <c r="C59" s="267"/>
      <c r="D59" s="268"/>
      <c r="E59" s="285">
        <v>0</v>
      </c>
      <c r="F59" s="285">
        <v>0</v>
      </c>
      <c r="G59" s="285">
        <v>0</v>
      </c>
      <c r="H59" s="285">
        <v>0</v>
      </c>
      <c r="I59" s="285">
        <v>0</v>
      </c>
      <c r="J59" s="285">
        <v>0</v>
      </c>
      <c r="K59" s="285">
        <v>0</v>
      </c>
      <c r="L59" s="285">
        <v>0</v>
      </c>
      <c r="M59" s="285">
        <v>0</v>
      </c>
      <c r="N59" s="285">
        <v>0</v>
      </c>
      <c r="O59" s="285">
        <v>0</v>
      </c>
      <c r="P59" s="285">
        <v>32</v>
      </c>
      <c r="Q59" s="285">
        <v>200</v>
      </c>
      <c r="R59" s="285">
        <v>343</v>
      </c>
      <c r="S59" s="285">
        <v>418</v>
      </c>
      <c r="T59" s="285">
        <v>418</v>
      </c>
      <c r="U59" s="285">
        <v>367</v>
      </c>
      <c r="V59" s="285">
        <v>176</v>
      </c>
      <c r="W59" s="285">
        <v>0</v>
      </c>
      <c r="X59" s="285">
        <v>0</v>
      </c>
      <c r="Y59" s="285">
        <v>0</v>
      </c>
      <c r="Z59" s="285">
        <v>0</v>
      </c>
      <c r="AA59" s="285">
        <v>0</v>
      </c>
      <c r="AB59" s="286">
        <v>0</v>
      </c>
    </row>
    <row r="60" spans="1:28" ht="15" customHeight="1">
      <c r="A60" s="269"/>
      <c r="B60" s="270" t="s">
        <v>176</v>
      </c>
      <c r="C60" s="271"/>
      <c r="D60" s="272"/>
      <c r="E60" s="288">
        <v>1</v>
      </c>
      <c r="F60" s="288">
        <v>1</v>
      </c>
      <c r="G60" s="288">
        <v>1</v>
      </c>
      <c r="H60" s="288">
        <v>1</v>
      </c>
      <c r="I60" s="288">
        <v>1</v>
      </c>
      <c r="J60" s="288">
        <v>1</v>
      </c>
      <c r="K60" s="288">
        <v>1</v>
      </c>
      <c r="L60" s="288">
        <v>1</v>
      </c>
      <c r="M60" s="288">
        <v>1</v>
      </c>
      <c r="N60" s="288">
        <v>1</v>
      </c>
      <c r="O60" s="288">
        <v>1</v>
      </c>
      <c r="P60" s="288">
        <v>1</v>
      </c>
      <c r="Q60" s="288">
        <v>1</v>
      </c>
      <c r="R60" s="288">
        <v>1</v>
      </c>
      <c r="S60" s="288">
        <v>1</v>
      </c>
      <c r="T60" s="288">
        <v>1</v>
      </c>
      <c r="U60" s="288">
        <v>1</v>
      </c>
      <c r="V60" s="288">
        <v>1</v>
      </c>
      <c r="W60" s="288">
        <v>1</v>
      </c>
      <c r="X60" s="288">
        <v>1</v>
      </c>
      <c r="Y60" s="288">
        <v>1</v>
      </c>
      <c r="Z60" s="288">
        <v>1</v>
      </c>
      <c r="AA60" s="288">
        <v>1</v>
      </c>
      <c r="AB60" s="289">
        <v>1</v>
      </c>
    </row>
    <row r="61" spans="1:28" ht="15" customHeight="1" thickBot="1">
      <c r="A61" s="273"/>
      <c r="B61" s="274" t="s">
        <v>174</v>
      </c>
      <c r="C61" s="275"/>
      <c r="D61" s="276"/>
      <c r="E61" s="291">
        <v>0</v>
      </c>
      <c r="F61" s="291">
        <v>0</v>
      </c>
      <c r="G61" s="291">
        <v>0</v>
      </c>
      <c r="H61" s="291">
        <v>0</v>
      </c>
      <c r="I61" s="291">
        <v>6</v>
      </c>
      <c r="J61" s="291">
        <v>35</v>
      </c>
      <c r="K61" s="291">
        <v>62</v>
      </c>
      <c r="L61" s="291">
        <v>87</v>
      </c>
      <c r="M61" s="291">
        <v>103</v>
      </c>
      <c r="N61" s="291">
        <v>110</v>
      </c>
      <c r="O61" s="291">
        <v>111</v>
      </c>
      <c r="P61" s="291">
        <v>142</v>
      </c>
      <c r="Q61" s="291">
        <v>312</v>
      </c>
      <c r="R61" s="291">
        <v>452</v>
      </c>
      <c r="S61" s="291">
        <v>516</v>
      </c>
      <c r="T61" s="291">
        <v>494</v>
      </c>
      <c r="U61" s="291">
        <v>418</v>
      </c>
      <c r="V61" s="291">
        <v>197</v>
      </c>
      <c r="W61" s="291">
        <v>2</v>
      </c>
      <c r="X61" s="291">
        <v>0</v>
      </c>
      <c r="Y61" s="291">
        <v>0</v>
      </c>
      <c r="Z61" s="291">
        <v>0</v>
      </c>
      <c r="AA61" s="291">
        <v>0</v>
      </c>
      <c r="AB61" s="292">
        <v>0</v>
      </c>
    </row>
    <row r="62" spans="1:28" ht="15" customHeight="1">
      <c r="A62" s="265" t="s">
        <v>75</v>
      </c>
      <c r="B62" s="266" t="s">
        <v>172</v>
      </c>
      <c r="C62" s="267"/>
      <c r="D62" s="268"/>
      <c r="E62" s="285">
        <v>0</v>
      </c>
      <c r="F62" s="285">
        <v>0</v>
      </c>
      <c r="G62" s="285">
        <v>0</v>
      </c>
      <c r="H62" s="285">
        <v>0</v>
      </c>
      <c r="I62" s="285">
        <v>0</v>
      </c>
      <c r="J62" s="285">
        <v>0</v>
      </c>
      <c r="K62" s="285">
        <v>0</v>
      </c>
      <c r="L62" s="285">
        <v>0</v>
      </c>
      <c r="M62" s="285">
        <v>0</v>
      </c>
      <c r="N62" s="285">
        <v>0</v>
      </c>
      <c r="O62" s="285">
        <v>0</v>
      </c>
      <c r="P62" s="285">
        <v>0</v>
      </c>
      <c r="Q62" s="285">
        <v>22</v>
      </c>
      <c r="R62" s="285">
        <v>186</v>
      </c>
      <c r="S62" s="285">
        <v>346</v>
      </c>
      <c r="T62" s="285">
        <v>419</v>
      </c>
      <c r="U62" s="285">
        <v>425</v>
      </c>
      <c r="V62" s="285">
        <v>235</v>
      </c>
      <c r="W62" s="285">
        <v>0</v>
      </c>
      <c r="X62" s="285">
        <v>0</v>
      </c>
      <c r="Y62" s="285">
        <v>0</v>
      </c>
      <c r="Z62" s="285">
        <v>0</v>
      </c>
      <c r="AA62" s="285">
        <v>0</v>
      </c>
      <c r="AB62" s="286">
        <v>0</v>
      </c>
    </row>
    <row r="63" spans="1:28" ht="15" customHeight="1">
      <c r="A63" s="269"/>
      <c r="B63" s="270" t="s">
        <v>175</v>
      </c>
      <c r="C63" s="271"/>
      <c r="D63" s="272"/>
      <c r="E63" s="288">
        <v>1</v>
      </c>
      <c r="F63" s="288">
        <v>1</v>
      </c>
      <c r="G63" s="288">
        <v>1</v>
      </c>
      <c r="H63" s="288">
        <v>1</v>
      </c>
      <c r="I63" s="288">
        <v>1</v>
      </c>
      <c r="J63" s="288">
        <v>1</v>
      </c>
      <c r="K63" s="288">
        <v>1</v>
      </c>
      <c r="L63" s="288">
        <v>1</v>
      </c>
      <c r="M63" s="288">
        <v>1</v>
      </c>
      <c r="N63" s="288">
        <v>1</v>
      </c>
      <c r="O63" s="288">
        <v>1</v>
      </c>
      <c r="P63" s="288">
        <v>1</v>
      </c>
      <c r="Q63" s="288">
        <v>1</v>
      </c>
      <c r="R63" s="288">
        <v>1</v>
      </c>
      <c r="S63" s="288">
        <v>1</v>
      </c>
      <c r="T63" s="288">
        <v>1</v>
      </c>
      <c r="U63" s="288">
        <v>1</v>
      </c>
      <c r="V63" s="288">
        <v>1</v>
      </c>
      <c r="W63" s="288">
        <v>1</v>
      </c>
      <c r="X63" s="288">
        <v>1</v>
      </c>
      <c r="Y63" s="288">
        <v>1</v>
      </c>
      <c r="Z63" s="288">
        <v>1</v>
      </c>
      <c r="AA63" s="288">
        <v>1</v>
      </c>
      <c r="AB63" s="289">
        <v>1</v>
      </c>
    </row>
    <row r="64" spans="1:28" ht="15" customHeight="1" thickBot="1">
      <c r="A64" s="273"/>
      <c r="B64" s="274" t="s">
        <v>174</v>
      </c>
      <c r="C64" s="275"/>
      <c r="D64" s="276"/>
      <c r="E64" s="291">
        <v>0</v>
      </c>
      <c r="F64" s="291">
        <v>0</v>
      </c>
      <c r="G64" s="291">
        <v>0</v>
      </c>
      <c r="H64" s="291">
        <v>0</v>
      </c>
      <c r="I64" s="291">
        <v>6</v>
      </c>
      <c r="J64" s="291">
        <v>35</v>
      </c>
      <c r="K64" s="291">
        <v>62</v>
      </c>
      <c r="L64" s="291">
        <v>87</v>
      </c>
      <c r="M64" s="291">
        <v>103</v>
      </c>
      <c r="N64" s="291">
        <v>110</v>
      </c>
      <c r="O64" s="291">
        <v>111</v>
      </c>
      <c r="P64" s="291">
        <v>110</v>
      </c>
      <c r="Q64" s="291">
        <v>134</v>
      </c>
      <c r="R64" s="291">
        <v>295</v>
      </c>
      <c r="S64" s="291">
        <v>444</v>
      </c>
      <c r="T64" s="291">
        <v>495</v>
      </c>
      <c r="U64" s="291">
        <v>476</v>
      </c>
      <c r="V64" s="291">
        <v>256</v>
      </c>
      <c r="W64" s="291">
        <v>2</v>
      </c>
      <c r="X64" s="291">
        <v>0</v>
      </c>
      <c r="Y64" s="291">
        <v>0</v>
      </c>
      <c r="Z64" s="291">
        <v>0</v>
      </c>
      <c r="AA64" s="291">
        <v>0</v>
      </c>
      <c r="AB64" s="292">
        <v>0</v>
      </c>
    </row>
    <row r="65" spans="1:28" ht="15" customHeight="1">
      <c r="A65" s="277" t="s">
        <v>76</v>
      </c>
      <c r="B65" s="266" t="s">
        <v>172</v>
      </c>
      <c r="C65" s="267"/>
      <c r="D65" s="268"/>
      <c r="E65" s="285">
        <v>0</v>
      </c>
      <c r="F65" s="285">
        <v>0</v>
      </c>
      <c r="G65" s="285">
        <v>0</v>
      </c>
      <c r="H65" s="285">
        <v>0</v>
      </c>
      <c r="I65" s="285">
        <v>0</v>
      </c>
      <c r="J65" s="285">
        <v>0</v>
      </c>
      <c r="K65" s="285">
        <v>0</v>
      </c>
      <c r="L65" s="285">
        <v>0</v>
      </c>
      <c r="M65" s="285">
        <v>0</v>
      </c>
      <c r="N65" s="285">
        <v>0</v>
      </c>
      <c r="O65" s="285">
        <v>0</v>
      </c>
      <c r="P65" s="285">
        <v>0</v>
      </c>
      <c r="Q65" s="285">
        <v>0</v>
      </c>
      <c r="R65" s="285">
        <v>0</v>
      </c>
      <c r="S65" s="285">
        <v>0</v>
      </c>
      <c r="T65" s="285">
        <v>49</v>
      </c>
      <c r="U65" s="285">
        <v>144</v>
      </c>
      <c r="V65" s="285">
        <v>126</v>
      </c>
      <c r="W65" s="285">
        <v>0</v>
      </c>
      <c r="X65" s="285">
        <v>0</v>
      </c>
      <c r="Y65" s="285">
        <v>0</v>
      </c>
      <c r="Z65" s="285">
        <v>0</v>
      </c>
      <c r="AA65" s="285">
        <v>0</v>
      </c>
      <c r="AB65" s="286">
        <v>0</v>
      </c>
    </row>
    <row r="66" spans="1:28" ht="15" customHeight="1">
      <c r="A66" s="278"/>
      <c r="B66" s="270" t="s">
        <v>173</v>
      </c>
      <c r="C66" s="271"/>
      <c r="D66" s="272"/>
      <c r="E66" s="288">
        <v>1</v>
      </c>
      <c r="F66" s="288">
        <v>1</v>
      </c>
      <c r="G66" s="288">
        <v>1</v>
      </c>
      <c r="H66" s="288">
        <v>1</v>
      </c>
      <c r="I66" s="288">
        <v>1</v>
      </c>
      <c r="J66" s="288">
        <v>1</v>
      </c>
      <c r="K66" s="288">
        <v>1</v>
      </c>
      <c r="L66" s="288">
        <v>1</v>
      </c>
      <c r="M66" s="288">
        <v>1</v>
      </c>
      <c r="N66" s="288">
        <v>1</v>
      </c>
      <c r="O66" s="288">
        <v>1</v>
      </c>
      <c r="P66" s="288">
        <v>1</v>
      </c>
      <c r="Q66" s="288">
        <v>1</v>
      </c>
      <c r="R66" s="288">
        <v>1</v>
      </c>
      <c r="S66" s="288">
        <v>1</v>
      </c>
      <c r="T66" s="288">
        <v>1</v>
      </c>
      <c r="U66" s="288">
        <v>1</v>
      </c>
      <c r="V66" s="288">
        <v>1</v>
      </c>
      <c r="W66" s="288">
        <v>1</v>
      </c>
      <c r="X66" s="288">
        <v>1</v>
      </c>
      <c r="Y66" s="288">
        <v>1</v>
      </c>
      <c r="Z66" s="288">
        <v>1</v>
      </c>
      <c r="AA66" s="288">
        <v>1</v>
      </c>
      <c r="AB66" s="289">
        <v>1</v>
      </c>
    </row>
    <row r="67" spans="1:28" ht="15" customHeight="1" thickBot="1">
      <c r="A67" s="279"/>
      <c r="B67" s="274" t="s">
        <v>174</v>
      </c>
      <c r="C67" s="275"/>
      <c r="D67" s="276"/>
      <c r="E67" s="291">
        <v>0</v>
      </c>
      <c r="F67" s="291">
        <v>0</v>
      </c>
      <c r="G67" s="291">
        <v>0</v>
      </c>
      <c r="H67" s="291">
        <v>0</v>
      </c>
      <c r="I67" s="291">
        <v>6</v>
      </c>
      <c r="J67" s="291">
        <v>35</v>
      </c>
      <c r="K67" s="291">
        <v>62</v>
      </c>
      <c r="L67" s="291">
        <v>87</v>
      </c>
      <c r="M67" s="291">
        <v>103</v>
      </c>
      <c r="N67" s="291">
        <v>110</v>
      </c>
      <c r="O67" s="291">
        <v>111</v>
      </c>
      <c r="P67" s="291">
        <v>110</v>
      </c>
      <c r="Q67" s="291">
        <v>112</v>
      </c>
      <c r="R67" s="291">
        <v>109</v>
      </c>
      <c r="S67" s="291">
        <v>98</v>
      </c>
      <c r="T67" s="291">
        <v>125</v>
      </c>
      <c r="U67" s="291">
        <v>195</v>
      </c>
      <c r="V67" s="291">
        <v>147</v>
      </c>
      <c r="W67" s="291">
        <v>2</v>
      </c>
      <c r="X67" s="291">
        <v>0</v>
      </c>
      <c r="Y67" s="291">
        <v>0</v>
      </c>
      <c r="Z67" s="291">
        <v>0</v>
      </c>
      <c r="AA67" s="291">
        <v>0</v>
      </c>
      <c r="AB67" s="292">
        <v>0</v>
      </c>
    </row>
    <row r="68" spans="1:28" ht="15" customHeight="1">
      <c r="A68" s="39" t="s">
        <v>183</v>
      </c>
      <c r="AB68" s="146"/>
    </row>
    <row r="69" spans="1:28" ht="15" customHeight="1">
      <c r="A69" s="246"/>
      <c r="B69" s="247"/>
      <c r="C69" s="248"/>
      <c r="D69" s="249"/>
      <c r="E69" s="281">
        <v>1</v>
      </c>
      <c r="F69" s="281">
        <v>2</v>
      </c>
      <c r="G69" s="281">
        <v>3</v>
      </c>
      <c r="H69" s="281">
        <v>4</v>
      </c>
      <c r="I69" s="281">
        <v>5</v>
      </c>
      <c r="J69" s="281">
        <v>6</v>
      </c>
      <c r="K69" s="281">
        <v>7</v>
      </c>
      <c r="L69" s="281">
        <v>8</v>
      </c>
      <c r="M69" s="281">
        <v>9</v>
      </c>
      <c r="N69" s="281">
        <v>10</v>
      </c>
      <c r="O69" s="281">
        <v>11</v>
      </c>
      <c r="P69" s="281">
        <v>12</v>
      </c>
      <c r="Q69" s="281">
        <v>13</v>
      </c>
      <c r="R69" s="281">
        <v>14</v>
      </c>
      <c r="S69" s="281">
        <v>15</v>
      </c>
      <c r="T69" s="281">
        <v>16</v>
      </c>
      <c r="U69" s="281">
        <v>17</v>
      </c>
      <c r="V69" s="281">
        <v>18</v>
      </c>
      <c r="W69" s="282">
        <v>19</v>
      </c>
      <c r="X69" s="282">
        <v>20</v>
      </c>
      <c r="Y69" s="282">
        <v>21</v>
      </c>
      <c r="Z69" s="282">
        <v>22</v>
      </c>
      <c r="AA69" s="282">
        <v>23</v>
      </c>
      <c r="AB69" s="283">
        <v>24</v>
      </c>
    </row>
    <row r="70" spans="1:28" ht="15" customHeight="1" thickBot="1">
      <c r="A70" s="250" t="s">
        <v>180</v>
      </c>
      <c r="B70" s="251" t="s">
        <v>168</v>
      </c>
      <c r="C70" s="252"/>
      <c r="D70" s="253"/>
      <c r="E70" s="255">
        <v>0</v>
      </c>
      <c r="F70" s="255">
        <v>0</v>
      </c>
      <c r="G70" s="255">
        <v>0</v>
      </c>
      <c r="H70" s="255">
        <v>0</v>
      </c>
      <c r="I70" s="255">
        <v>0</v>
      </c>
      <c r="J70" s="255">
        <v>27</v>
      </c>
      <c r="K70" s="255">
        <v>71</v>
      </c>
      <c r="L70" s="255">
        <v>105</v>
      </c>
      <c r="M70" s="255">
        <v>134</v>
      </c>
      <c r="N70" s="255">
        <v>154</v>
      </c>
      <c r="O70" s="255">
        <v>167</v>
      </c>
      <c r="P70" s="255">
        <v>167</v>
      </c>
      <c r="Q70" s="255">
        <v>158</v>
      </c>
      <c r="R70" s="255">
        <v>138</v>
      </c>
      <c r="S70" s="255">
        <v>116</v>
      </c>
      <c r="T70" s="255">
        <v>85</v>
      </c>
      <c r="U70" s="255">
        <v>38</v>
      </c>
      <c r="V70" s="255">
        <v>4</v>
      </c>
      <c r="W70" s="255">
        <v>0</v>
      </c>
      <c r="X70" s="255">
        <v>0</v>
      </c>
      <c r="Y70" s="255">
        <v>0</v>
      </c>
      <c r="Z70" s="255">
        <v>0</v>
      </c>
      <c r="AA70" s="255">
        <v>0</v>
      </c>
      <c r="AB70" s="256">
        <v>0</v>
      </c>
    </row>
    <row r="71" spans="1:28" ht="15" customHeight="1" thickBot="1">
      <c r="A71" s="257" t="s">
        <v>169</v>
      </c>
      <c r="B71" s="258" t="s">
        <v>170</v>
      </c>
      <c r="C71" s="259"/>
      <c r="D71" s="260"/>
      <c r="E71" s="262">
        <v>0</v>
      </c>
      <c r="F71" s="262">
        <v>0</v>
      </c>
      <c r="G71" s="262">
        <v>0</v>
      </c>
      <c r="H71" s="262">
        <v>0</v>
      </c>
      <c r="I71" s="262">
        <v>0</v>
      </c>
      <c r="J71" s="262">
        <v>19</v>
      </c>
      <c r="K71" s="262">
        <v>47</v>
      </c>
      <c r="L71" s="262">
        <v>72</v>
      </c>
      <c r="M71" s="262">
        <v>88</v>
      </c>
      <c r="N71" s="262">
        <v>96</v>
      </c>
      <c r="O71" s="262">
        <v>101</v>
      </c>
      <c r="P71" s="262">
        <v>100</v>
      </c>
      <c r="Q71" s="262">
        <v>98</v>
      </c>
      <c r="R71" s="262">
        <v>90</v>
      </c>
      <c r="S71" s="262">
        <v>78</v>
      </c>
      <c r="T71" s="262">
        <v>54</v>
      </c>
      <c r="U71" s="262">
        <v>24</v>
      </c>
      <c r="V71" s="262">
        <v>3</v>
      </c>
      <c r="W71" s="262">
        <v>0</v>
      </c>
      <c r="X71" s="262">
        <v>0</v>
      </c>
      <c r="Y71" s="262">
        <v>0</v>
      </c>
      <c r="Z71" s="262">
        <v>0</v>
      </c>
      <c r="AA71" s="262">
        <v>0</v>
      </c>
      <c r="AB71" s="263">
        <v>0</v>
      </c>
    </row>
    <row r="72" spans="1:28" ht="15" customHeight="1" thickBot="1">
      <c r="A72" s="264" t="s">
        <v>68</v>
      </c>
      <c r="B72" s="258" t="s">
        <v>171</v>
      </c>
      <c r="C72" s="259"/>
      <c r="D72" s="260"/>
      <c r="E72" s="262">
        <v>0</v>
      </c>
      <c r="F72" s="262">
        <v>0</v>
      </c>
      <c r="G72" s="262">
        <v>0</v>
      </c>
      <c r="H72" s="262">
        <v>0</v>
      </c>
      <c r="I72" s="262">
        <v>0</v>
      </c>
      <c r="J72" s="262">
        <v>37</v>
      </c>
      <c r="K72" s="262">
        <v>167</v>
      </c>
      <c r="L72" s="262">
        <v>324</v>
      </c>
      <c r="M72" s="262">
        <v>465</v>
      </c>
      <c r="N72" s="262">
        <v>567</v>
      </c>
      <c r="O72" s="262">
        <v>622</v>
      </c>
      <c r="P72" s="262">
        <v>628</v>
      </c>
      <c r="Q72" s="262">
        <v>581</v>
      </c>
      <c r="R72" s="262">
        <v>491</v>
      </c>
      <c r="S72" s="262">
        <v>355</v>
      </c>
      <c r="T72" s="262">
        <v>193</v>
      </c>
      <c r="U72" s="262">
        <v>55</v>
      </c>
      <c r="V72" s="262">
        <v>4</v>
      </c>
      <c r="W72" s="262">
        <v>0</v>
      </c>
      <c r="X72" s="262">
        <v>0</v>
      </c>
      <c r="Y72" s="262">
        <v>0</v>
      </c>
      <c r="Z72" s="262">
        <v>0</v>
      </c>
      <c r="AA72" s="262">
        <v>0</v>
      </c>
      <c r="AB72" s="263">
        <v>0</v>
      </c>
    </row>
    <row r="73" spans="1:28" ht="15" customHeight="1">
      <c r="A73" s="265" t="s">
        <v>69</v>
      </c>
      <c r="B73" s="266" t="s">
        <v>172</v>
      </c>
      <c r="C73" s="267"/>
      <c r="D73" s="268"/>
      <c r="E73" s="285">
        <v>0</v>
      </c>
      <c r="F73" s="285">
        <v>0</v>
      </c>
      <c r="G73" s="285">
        <v>0</v>
      </c>
      <c r="H73" s="285">
        <v>0</v>
      </c>
      <c r="I73" s="285">
        <v>0</v>
      </c>
      <c r="J73" s="285">
        <v>95</v>
      </c>
      <c r="K73" s="285">
        <v>72</v>
      </c>
      <c r="L73" s="285">
        <v>0</v>
      </c>
      <c r="M73" s="285">
        <v>0</v>
      </c>
      <c r="N73" s="285">
        <v>0</v>
      </c>
      <c r="O73" s="285">
        <v>0</v>
      </c>
      <c r="P73" s="285">
        <v>0</v>
      </c>
      <c r="Q73" s="285">
        <v>0</v>
      </c>
      <c r="R73" s="285">
        <v>0</v>
      </c>
      <c r="S73" s="285">
        <v>0</v>
      </c>
      <c r="T73" s="285">
        <v>0</v>
      </c>
      <c r="U73" s="285">
        <v>0</v>
      </c>
      <c r="V73" s="285">
        <v>0</v>
      </c>
      <c r="W73" s="285">
        <v>0</v>
      </c>
      <c r="X73" s="285">
        <v>0</v>
      </c>
      <c r="Y73" s="285">
        <v>0</v>
      </c>
      <c r="Z73" s="285">
        <v>0</v>
      </c>
      <c r="AA73" s="285">
        <v>0</v>
      </c>
      <c r="AB73" s="286">
        <v>0</v>
      </c>
    </row>
    <row r="74" spans="1:28" ht="15" customHeight="1">
      <c r="A74" s="269"/>
      <c r="B74" s="270" t="s">
        <v>177</v>
      </c>
      <c r="C74" s="271"/>
      <c r="D74" s="272"/>
      <c r="E74" s="288">
        <v>1</v>
      </c>
      <c r="F74" s="288">
        <v>1</v>
      </c>
      <c r="G74" s="288">
        <v>1</v>
      </c>
      <c r="H74" s="288">
        <v>1</v>
      </c>
      <c r="I74" s="288">
        <v>1</v>
      </c>
      <c r="J74" s="288">
        <v>1</v>
      </c>
      <c r="K74" s="288">
        <v>1</v>
      </c>
      <c r="L74" s="288">
        <v>1</v>
      </c>
      <c r="M74" s="288">
        <v>1</v>
      </c>
      <c r="N74" s="288">
        <v>1</v>
      </c>
      <c r="O74" s="288">
        <v>1</v>
      </c>
      <c r="P74" s="288">
        <v>1</v>
      </c>
      <c r="Q74" s="288">
        <v>1</v>
      </c>
      <c r="R74" s="288">
        <v>1</v>
      </c>
      <c r="S74" s="288">
        <v>1</v>
      </c>
      <c r="T74" s="288">
        <v>1</v>
      </c>
      <c r="U74" s="288">
        <v>1</v>
      </c>
      <c r="V74" s="288">
        <v>1</v>
      </c>
      <c r="W74" s="288">
        <v>1</v>
      </c>
      <c r="X74" s="288">
        <v>1</v>
      </c>
      <c r="Y74" s="288">
        <v>1</v>
      </c>
      <c r="Z74" s="288">
        <v>1</v>
      </c>
      <c r="AA74" s="288">
        <v>1</v>
      </c>
      <c r="AB74" s="289">
        <v>1</v>
      </c>
    </row>
    <row r="75" spans="1:28" ht="15" customHeight="1" thickBot="1">
      <c r="A75" s="273"/>
      <c r="B75" s="274" t="s">
        <v>174</v>
      </c>
      <c r="C75" s="275"/>
      <c r="D75" s="276"/>
      <c r="E75" s="291">
        <v>0</v>
      </c>
      <c r="F75" s="291">
        <v>0</v>
      </c>
      <c r="G75" s="291">
        <v>0</v>
      </c>
      <c r="H75" s="291">
        <v>0</v>
      </c>
      <c r="I75" s="291">
        <v>0</v>
      </c>
      <c r="J75" s="291">
        <v>114</v>
      </c>
      <c r="K75" s="291">
        <v>119</v>
      </c>
      <c r="L75" s="291">
        <v>72</v>
      </c>
      <c r="M75" s="291">
        <v>88</v>
      </c>
      <c r="N75" s="291">
        <v>97</v>
      </c>
      <c r="O75" s="291">
        <v>101</v>
      </c>
      <c r="P75" s="291">
        <v>101</v>
      </c>
      <c r="Q75" s="291">
        <v>98</v>
      </c>
      <c r="R75" s="291">
        <v>91</v>
      </c>
      <c r="S75" s="291">
        <v>78</v>
      </c>
      <c r="T75" s="291">
        <v>55</v>
      </c>
      <c r="U75" s="291">
        <v>24</v>
      </c>
      <c r="V75" s="291">
        <v>3</v>
      </c>
      <c r="W75" s="291">
        <v>0</v>
      </c>
      <c r="X75" s="291">
        <v>0</v>
      </c>
      <c r="Y75" s="291">
        <v>0</v>
      </c>
      <c r="Z75" s="291">
        <v>0</v>
      </c>
      <c r="AA75" s="291">
        <v>0</v>
      </c>
      <c r="AB75" s="292">
        <v>0</v>
      </c>
    </row>
    <row r="76" spans="1:28" ht="15" customHeight="1">
      <c r="A76" s="265" t="s">
        <v>70</v>
      </c>
      <c r="B76" s="266" t="s">
        <v>172</v>
      </c>
      <c r="C76" s="267"/>
      <c r="D76" s="268"/>
      <c r="E76" s="285">
        <v>0</v>
      </c>
      <c r="F76" s="285">
        <v>0</v>
      </c>
      <c r="G76" s="285">
        <v>0</v>
      </c>
      <c r="H76" s="285">
        <v>0</v>
      </c>
      <c r="I76" s="285">
        <v>0</v>
      </c>
      <c r="J76" s="285">
        <v>275</v>
      </c>
      <c r="K76" s="285">
        <v>372</v>
      </c>
      <c r="L76" s="285">
        <v>348</v>
      </c>
      <c r="M76" s="285">
        <v>242</v>
      </c>
      <c r="N76" s="285">
        <v>90</v>
      </c>
      <c r="O76" s="285">
        <v>0</v>
      </c>
      <c r="P76" s="285">
        <v>0</v>
      </c>
      <c r="Q76" s="285">
        <v>0</v>
      </c>
      <c r="R76" s="285">
        <v>0</v>
      </c>
      <c r="S76" s="285">
        <v>0</v>
      </c>
      <c r="T76" s="285">
        <v>0</v>
      </c>
      <c r="U76" s="285">
        <v>0</v>
      </c>
      <c r="V76" s="285">
        <v>0</v>
      </c>
      <c r="W76" s="285">
        <v>0</v>
      </c>
      <c r="X76" s="285">
        <v>0</v>
      </c>
      <c r="Y76" s="285">
        <v>0</v>
      </c>
      <c r="Z76" s="285">
        <v>0</v>
      </c>
      <c r="AA76" s="285">
        <v>0</v>
      </c>
      <c r="AB76" s="286">
        <v>0</v>
      </c>
    </row>
    <row r="77" spans="1:28" ht="15" customHeight="1">
      <c r="A77" s="269"/>
      <c r="B77" s="270" t="s">
        <v>184</v>
      </c>
      <c r="C77" s="271"/>
      <c r="D77" s="272"/>
      <c r="E77" s="288">
        <v>1</v>
      </c>
      <c r="F77" s="288">
        <v>1</v>
      </c>
      <c r="G77" s="288">
        <v>1</v>
      </c>
      <c r="H77" s="288">
        <v>1</v>
      </c>
      <c r="I77" s="288">
        <v>1</v>
      </c>
      <c r="J77" s="288">
        <v>1</v>
      </c>
      <c r="K77" s="288">
        <v>1</v>
      </c>
      <c r="L77" s="288">
        <v>1</v>
      </c>
      <c r="M77" s="288">
        <v>1</v>
      </c>
      <c r="N77" s="288">
        <v>1</v>
      </c>
      <c r="O77" s="288">
        <v>1</v>
      </c>
      <c r="P77" s="288">
        <v>1</v>
      </c>
      <c r="Q77" s="288">
        <v>1</v>
      </c>
      <c r="R77" s="288">
        <v>1</v>
      </c>
      <c r="S77" s="288">
        <v>1</v>
      </c>
      <c r="T77" s="288">
        <v>1</v>
      </c>
      <c r="U77" s="288">
        <v>1</v>
      </c>
      <c r="V77" s="288">
        <v>1</v>
      </c>
      <c r="W77" s="288">
        <v>1</v>
      </c>
      <c r="X77" s="288">
        <v>1</v>
      </c>
      <c r="Y77" s="288">
        <v>1</v>
      </c>
      <c r="Z77" s="288">
        <v>1</v>
      </c>
      <c r="AA77" s="288">
        <v>1</v>
      </c>
      <c r="AB77" s="289">
        <v>1</v>
      </c>
    </row>
    <row r="78" spans="1:28" ht="15" customHeight="1" thickBot="1">
      <c r="A78" s="273"/>
      <c r="B78" s="274" t="s">
        <v>174</v>
      </c>
      <c r="C78" s="275"/>
      <c r="D78" s="276"/>
      <c r="E78" s="291">
        <v>0</v>
      </c>
      <c r="F78" s="291">
        <v>0</v>
      </c>
      <c r="G78" s="291">
        <v>0</v>
      </c>
      <c r="H78" s="291">
        <v>0</v>
      </c>
      <c r="I78" s="291">
        <v>0</v>
      </c>
      <c r="J78" s="291">
        <v>294</v>
      </c>
      <c r="K78" s="291">
        <v>419</v>
      </c>
      <c r="L78" s="291">
        <v>420</v>
      </c>
      <c r="M78" s="291">
        <v>330</v>
      </c>
      <c r="N78" s="291">
        <v>187</v>
      </c>
      <c r="O78" s="291">
        <v>101</v>
      </c>
      <c r="P78" s="291">
        <v>101</v>
      </c>
      <c r="Q78" s="291">
        <v>98</v>
      </c>
      <c r="R78" s="291">
        <v>91</v>
      </c>
      <c r="S78" s="291">
        <v>78</v>
      </c>
      <c r="T78" s="291">
        <v>55</v>
      </c>
      <c r="U78" s="291">
        <v>24</v>
      </c>
      <c r="V78" s="291">
        <v>3</v>
      </c>
      <c r="W78" s="291">
        <v>0</v>
      </c>
      <c r="X78" s="291">
        <v>0</v>
      </c>
      <c r="Y78" s="291">
        <v>0</v>
      </c>
      <c r="Z78" s="291">
        <v>0</v>
      </c>
      <c r="AA78" s="291">
        <v>0</v>
      </c>
      <c r="AB78" s="292">
        <v>0</v>
      </c>
    </row>
    <row r="79" spans="1:28" ht="15" customHeight="1">
      <c r="A79" s="265" t="s">
        <v>71</v>
      </c>
      <c r="B79" s="266" t="s">
        <v>172</v>
      </c>
      <c r="C79" s="267"/>
      <c r="D79" s="268"/>
      <c r="E79" s="285">
        <v>0</v>
      </c>
      <c r="F79" s="285">
        <v>0</v>
      </c>
      <c r="G79" s="285">
        <v>0</v>
      </c>
      <c r="H79" s="285">
        <v>0</v>
      </c>
      <c r="I79" s="285">
        <v>0</v>
      </c>
      <c r="J79" s="285">
        <v>282</v>
      </c>
      <c r="K79" s="285">
        <v>441</v>
      </c>
      <c r="L79" s="285">
        <v>494</v>
      </c>
      <c r="M79" s="285">
        <v>459</v>
      </c>
      <c r="N79" s="285">
        <v>356</v>
      </c>
      <c r="O79" s="285">
        <v>204</v>
      </c>
      <c r="P79" s="285">
        <v>40</v>
      </c>
      <c r="Q79" s="285">
        <v>0</v>
      </c>
      <c r="R79" s="285">
        <v>0</v>
      </c>
      <c r="S79" s="285">
        <v>0</v>
      </c>
      <c r="T79" s="285">
        <v>0</v>
      </c>
      <c r="U79" s="285">
        <v>0</v>
      </c>
      <c r="V79" s="285">
        <v>-1</v>
      </c>
      <c r="W79" s="285">
        <v>0</v>
      </c>
      <c r="X79" s="285">
        <v>0</v>
      </c>
      <c r="Y79" s="285">
        <v>0</v>
      </c>
      <c r="Z79" s="285">
        <v>0</v>
      </c>
      <c r="AA79" s="285">
        <v>0</v>
      </c>
      <c r="AB79" s="286">
        <v>0</v>
      </c>
    </row>
    <row r="80" spans="1:28" ht="15" customHeight="1">
      <c r="A80" s="269"/>
      <c r="B80" s="270" t="s">
        <v>173</v>
      </c>
      <c r="C80" s="271"/>
      <c r="D80" s="272"/>
      <c r="E80" s="288">
        <v>1</v>
      </c>
      <c r="F80" s="288">
        <v>1</v>
      </c>
      <c r="G80" s="288">
        <v>1</v>
      </c>
      <c r="H80" s="288">
        <v>1</v>
      </c>
      <c r="I80" s="288">
        <v>1</v>
      </c>
      <c r="J80" s="288">
        <v>1</v>
      </c>
      <c r="K80" s="288">
        <v>1</v>
      </c>
      <c r="L80" s="288">
        <v>1</v>
      </c>
      <c r="M80" s="288">
        <v>1</v>
      </c>
      <c r="N80" s="288">
        <v>1</v>
      </c>
      <c r="O80" s="288">
        <v>1</v>
      </c>
      <c r="P80" s="288">
        <v>1</v>
      </c>
      <c r="Q80" s="288">
        <v>1</v>
      </c>
      <c r="R80" s="288">
        <v>1</v>
      </c>
      <c r="S80" s="288">
        <v>1</v>
      </c>
      <c r="T80" s="288">
        <v>1</v>
      </c>
      <c r="U80" s="288">
        <v>1</v>
      </c>
      <c r="V80" s="288">
        <v>1</v>
      </c>
      <c r="W80" s="288">
        <v>1</v>
      </c>
      <c r="X80" s="288">
        <v>1</v>
      </c>
      <c r="Y80" s="288">
        <v>1</v>
      </c>
      <c r="Z80" s="288">
        <v>1</v>
      </c>
      <c r="AA80" s="288">
        <v>1</v>
      </c>
      <c r="AB80" s="289">
        <v>1</v>
      </c>
    </row>
    <row r="81" spans="1:28" ht="15" customHeight="1" thickBot="1">
      <c r="A81" s="273"/>
      <c r="B81" s="274" t="s">
        <v>174</v>
      </c>
      <c r="C81" s="275"/>
      <c r="D81" s="276"/>
      <c r="E81" s="291">
        <v>0</v>
      </c>
      <c r="F81" s="291">
        <v>0</v>
      </c>
      <c r="G81" s="291">
        <v>0</v>
      </c>
      <c r="H81" s="291">
        <v>0</v>
      </c>
      <c r="I81" s="291">
        <v>0</v>
      </c>
      <c r="J81" s="291">
        <v>301</v>
      </c>
      <c r="K81" s="291">
        <v>488</v>
      </c>
      <c r="L81" s="291">
        <v>566</v>
      </c>
      <c r="M81" s="291">
        <v>547</v>
      </c>
      <c r="N81" s="291">
        <v>453</v>
      </c>
      <c r="O81" s="291">
        <v>305</v>
      </c>
      <c r="P81" s="291">
        <v>141</v>
      </c>
      <c r="Q81" s="291">
        <v>98</v>
      </c>
      <c r="R81" s="291">
        <v>91</v>
      </c>
      <c r="S81" s="291">
        <v>78</v>
      </c>
      <c r="T81" s="291">
        <v>55</v>
      </c>
      <c r="U81" s="291">
        <v>24</v>
      </c>
      <c r="V81" s="291">
        <v>2</v>
      </c>
      <c r="W81" s="291">
        <v>0</v>
      </c>
      <c r="X81" s="291">
        <v>0</v>
      </c>
      <c r="Y81" s="291">
        <v>0</v>
      </c>
      <c r="Z81" s="291">
        <v>0</v>
      </c>
      <c r="AA81" s="291">
        <v>0</v>
      </c>
      <c r="AB81" s="292">
        <v>0</v>
      </c>
    </row>
    <row r="82" spans="1:28" ht="15" customHeight="1">
      <c r="A82" s="265" t="s">
        <v>72</v>
      </c>
      <c r="B82" s="266" t="s">
        <v>172</v>
      </c>
      <c r="C82" s="267"/>
      <c r="D82" s="268"/>
      <c r="E82" s="285">
        <v>0</v>
      </c>
      <c r="F82" s="285">
        <v>0</v>
      </c>
      <c r="G82" s="285">
        <v>0</v>
      </c>
      <c r="H82" s="285">
        <v>0</v>
      </c>
      <c r="I82" s="285">
        <v>0</v>
      </c>
      <c r="J82" s="285">
        <v>42</v>
      </c>
      <c r="K82" s="285">
        <v>164</v>
      </c>
      <c r="L82" s="285">
        <v>284</v>
      </c>
      <c r="M82" s="285">
        <v>360</v>
      </c>
      <c r="N82" s="285">
        <v>381</v>
      </c>
      <c r="O82" s="285">
        <v>353</v>
      </c>
      <c r="P82" s="285">
        <v>283</v>
      </c>
      <c r="Q82" s="285">
        <v>183</v>
      </c>
      <c r="R82" s="285">
        <v>74</v>
      </c>
      <c r="S82" s="285">
        <v>0</v>
      </c>
      <c r="T82" s="285">
        <v>0</v>
      </c>
      <c r="U82" s="285">
        <v>0</v>
      </c>
      <c r="V82" s="285">
        <v>-3</v>
      </c>
      <c r="W82" s="285">
        <v>0</v>
      </c>
      <c r="X82" s="285">
        <v>0</v>
      </c>
      <c r="Y82" s="285">
        <v>0</v>
      </c>
      <c r="Z82" s="285">
        <v>0</v>
      </c>
      <c r="AA82" s="285">
        <v>0</v>
      </c>
      <c r="AB82" s="286">
        <v>0</v>
      </c>
    </row>
    <row r="83" spans="1:28" ht="15" customHeight="1">
      <c r="A83" s="269"/>
      <c r="B83" s="270" t="s">
        <v>178</v>
      </c>
      <c r="C83" s="271"/>
      <c r="D83" s="272"/>
      <c r="E83" s="288">
        <v>1</v>
      </c>
      <c r="F83" s="288">
        <v>1</v>
      </c>
      <c r="G83" s="288">
        <v>1</v>
      </c>
      <c r="H83" s="288">
        <v>1</v>
      </c>
      <c r="I83" s="288">
        <v>1</v>
      </c>
      <c r="J83" s="288">
        <v>1</v>
      </c>
      <c r="K83" s="288">
        <v>1</v>
      </c>
      <c r="L83" s="288">
        <v>1</v>
      </c>
      <c r="M83" s="288">
        <v>1</v>
      </c>
      <c r="N83" s="288">
        <v>1</v>
      </c>
      <c r="O83" s="288">
        <v>1</v>
      </c>
      <c r="P83" s="288">
        <v>1</v>
      </c>
      <c r="Q83" s="288">
        <v>1</v>
      </c>
      <c r="R83" s="288">
        <v>1</v>
      </c>
      <c r="S83" s="288">
        <v>1</v>
      </c>
      <c r="T83" s="288">
        <v>1</v>
      </c>
      <c r="U83" s="288">
        <v>1</v>
      </c>
      <c r="V83" s="288">
        <v>1</v>
      </c>
      <c r="W83" s="288">
        <v>1</v>
      </c>
      <c r="X83" s="288">
        <v>1</v>
      </c>
      <c r="Y83" s="288">
        <v>1</v>
      </c>
      <c r="Z83" s="288">
        <v>1</v>
      </c>
      <c r="AA83" s="288">
        <v>1</v>
      </c>
      <c r="AB83" s="289">
        <v>1</v>
      </c>
    </row>
    <row r="84" spans="1:28" ht="15" customHeight="1" thickBot="1">
      <c r="A84" s="273"/>
      <c r="B84" s="274" t="s">
        <v>174</v>
      </c>
      <c r="C84" s="275"/>
      <c r="D84" s="276"/>
      <c r="E84" s="291">
        <v>0</v>
      </c>
      <c r="F84" s="291">
        <v>0</v>
      </c>
      <c r="G84" s="291">
        <v>0</v>
      </c>
      <c r="H84" s="291">
        <v>0</v>
      </c>
      <c r="I84" s="291">
        <v>0</v>
      </c>
      <c r="J84" s="291">
        <v>61</v>
      </c>
      <c r="K84" s="291">
        <v>211</v>
      </c>
      <c r="L84" s="291">
        <v>356</v>
      </c>
      <c r="M84" s="291">
        <v>448</v>
      </c>
      <c r="N84" s="291">
        <v>478</v>
      </c>
      <c r="O84" s="291">
        <v>454</v>
      </c>
      <c r="P84" s="291">
        <v>384</v>
      </c>
      <c r="Q84" s="291">
        <v>281</v>
      </c>
      <c r="R84" s="291">
        <v>165</v>
      </c>
      <c r="S84" s="291">
        <v>78</v>
      </c>
      <c r="T84" s="291">
        <v>55</v>
      </c>
      <c r="U84" s="291">
        <v>24</v>
      </c>
      <c r="V84" s="291">
        <v>0</v>
      </c>
      <c r="W84" s="291">
        <v>0</v>
      </c>
      <c r="X84" s="291">
        <v>0</v>
      </c>
      <c r="Y84" s="291">
        <v>0</v>
      </c>
      <c r="Z84" s="291">
        <v>0</v>
      </c>
      <c r="AA84" s="291">
        <v>0</v>
      </c>
      <c r="AB84" s="292">
        <v>0</v>
      </c>
    </row>
    <row r="85" spans="1:28" ht="15" customHeight="1">
      <c r="A85" s="265" t="s">
        <v>73</v>
      </c>
      <c r="B85" s="266" t="s">
        <v>172</v>
      </c>
      <c r="C85" s="267"/>
      <c r="D85" s="268"/>
      <c r="E85" s="285">
        <v>0</v>
      </c>
      <c r="F85" s="285">
        <v>0</v>
      </c>
      <c r="G85" s="285">
        <v>0</v>
      </c>
      <c r="H85" s="285">
        <v>0</v>
      </c>
      <c r="I85" s="285">
        <v>0</v>
      </c>
      <c r="J85" s="285">
        <v>0</v>
      </c>
      <c r="K85" s="285">
        <v>0</v>
      </c>
      <c r="L85" s="285">
        <v>0</v>
      </c>
      <c r="M85" s="285">
        <v>0</v>
      </c>
      <c r="N85" s="285">
        <v>73</v>
      </c>
      <c r="O85" s="285">
        <v>226</v>
      </c>
      <c r="P85" s="285">
        <v>335</v>
      </c>
      <c r="Q85" s="285">
        <v>382</v>
      </c>
      <c r="R85" s="285">
        <v>382</v>
      </c>
      <c r="S85" s="285">
        <v>325</v>
      </c>
      <c r="T85" s="285">
        <v>221</v>
      </c>
      <c r="U85" s="285">
        <v>107</v>
      </c>
      <c r="V85" s="285">
        <v>-3</v>
      </c>
      <c r="W85" s="285">
        <v>0</v>
      </c>
      <c r="X85" s="285">
        <v>0</v>
      </c>
      <c r="Y85" s="285">
        <v>0</v>
      </c>
      <c r="Z85" s="285">
        <v>0</v>
      </c>
      <c r="AA85" s="285">
        <v>0</v>
      </c>
      <c r="AB85" s="286">
        <v>0</v>
      </c>
    </row>
    <row r="86" spans="1:28" ht="15" customHeight="1">
      <c r="A86" s="269"/>
      <c r="B86" s="270" t="s">
        <v>182</v>
      </c>
      <c r="C86" s="271"/>
      <c r="D86" s="272"/>
      <c r="E86" s="288">
        <v>1</v>
      </c>
      <c r="F86" s="288">
        <v>1</v>
      </c>
      <c r="G86" s="288">
        <v>1</v>
      </c>
      <c r="H86" s="288">
        <v>1</v>
      </c>
      <c r="I86" s="288">
        <v>1</v>
      </c>
      <c r="J86" s="288">
        <v>1</v>
      </c>
      <c r="K86" s="288">
        <v>1</v>
      </c>
      <c r="L86" s="288">
        <v>1</v>
      </c>
      <c r="M86" s="288">
        <v>1</v>
      </c>
      <c r="N86" s="288">
        <v>1</v>
      </c>
      <c r="O86" s="288">
        <v>1</v>
      </c>
      <c r="P86" s="288">
        <v>1</v>
      </c>
      <c r="Q86" s="288">
        <v>1</v>
      </c>
      <c r="R86" s="288">
        <v>1</v>
      </c>
      <c r="S86" s="288">
        <v>1</v>
      </c>
      <c r="T86" s="288">
        <v>1</v>
      </c>
      <c r="U86" s="288">
        <v>1</v>
      </c>
      <c r="V86" s="288">
        <v>1</v>
      </c>
      <c r="W86" s="288">
        <v>1</v>
      </c>
      <c r="X86" s="288">
        <v>1</v>
      </c>
      <c r="Y86" s="288">
        <v>1</v>
      </c>
      <c r="Z86" s="288">
        <v>1</v>
      </c>
      <c r="AA86" s="288">
        <v>1</v>
      </c>
      <c r="AB86" s="289">
        <v>1</v>
      </c>
    </row>
    <row r="87" spans="1:28" ht="15" customHeight="1" thickBot="1">
      <c r="A87" s="273"/>
      <c r="B87" s="274" t="s">
        <v>174</v>
      </c>
      <c r="C87" s="275"/>
      <c r="D87" s="276"/>
      <c r="E87" s="291">
        <v>0</v>
      </c>
      <c r="F87" s="291">
        <v>0</v>
      </c>
      <c r="G87" s="291">
        <v>0</v>
      </c>
      <c r="H87" s="291">
        <v>0</v>
      </c>
      <c r="I87" s="291">
        <v>0</v>
      </c>
      <c r="J87" s="291">
        <v>19</v>
      </c>
      <c r="K87" s="291">
        <v>47</v>
      </c>
      <c r="L87" s="291">
        <v>72</v>
      </c>
      <c r="M87" s="291">
        <v>88</v>
      </c>
      <c r="N87" s="291">
        <v>170</v>
      </c>
      <c r="O87" s="291">
        <v>327</v>
      </c>
      <c r="P87" s="291">
        <v>436</v>
      </c>
      <c r="Q87" s="291">
        <v>480</v>
      </c>
      <c r="R87" s="291">
        <v>473</v>
      </c>
      <c r="S87" s="291">
        <v>403</v>
      </c>
      <c r="T87" s="291">
        <v>276</v>
      </c>
      <c r="U87" s="291">
        <v>131</v>
      </c>
      <c r="V87" s="291">
        <v>0</v>
      </c>
      <c r="W87" s="291">
        <v>0</v>
      </c>
      <c r="X87" s="291">
        <v>0</v>
      </c>
      <c r="Y87" s="291">
        <v>0</v>
      </c>
      <c r="Z87" s="291">
        <v>0</v>
      </c>
      <c r="AA87" s="291">
        <v>0</v>
      </c>
      <c r="AB87" s="292">
        <v>0</v>
      </c>
    </row>
    <row r="88" spans="1:28" ht="15" customHeight="1">
      <c r="A88" s="265" t="s">
        <v>74</v>
      </c>
      <c r="B88" s="266" t="s">
        <v>172</v>
      </c>
      <c r="C88" s="267"/>
      <c r="D88" s="268"/>
      <c r="E88" s="285">
        <v>0</v>
      </c>
      <c r="F88" s="285">
        <v>0</v>
      </c>
      <c r="G88" s="285">
        <v>0</v>
      </c>
      <c r="H88" s="285">
        <v>0</v>
      </c>
      <c r="I88" s="285">
        <v>0</v>
      </c>
      <c r="J88" s="285">
        <v>0</v>
      </c>
      <c r="K88" s="285">
        <v>0</v>
      </c>
      <c r="L88" s="285">
        <v>0</v>
      </c>
      <c r="M88" s="285">
        <v>0</v>
      </c>
      <c r="N88" s="285">
        <v>0</v>
      </c>
      <c r="O88" s="285">
        <v>0</v>
      </c>
      <c r="P88" s="285">
        <v>98</v>
      </c>
      <c r="Q88" s="285">
        <v>304</v>
      </c>
      <c r="R88" s="285">
        <v>443</v>
      </c>
      <c r="S88" s="285">
        <v>485</v>
      </c>
      <c r="T88" s="285">
        <v>419</v>
      </c>
      <c r="U88" s="285">
        <v>267</v>
      </c>
      <c r="V88" s="285">
        <v>0</v>
      </c>
      <c r="W88" s="285">
        <v>0</v>
      </c>
      <c r="X88" s="285">
        <v>0</v>
      </c>
      <c r="Y88" s="285">
        <v>0</v>
      </c>
      <c r="Z88" s="285">
        <v>0</v>
      </c>
      <c r="AA88" s="285">
        <v>0</v>
      </c>
      <c r="AB88" s="286">
        <v>0</v>
      </c>
    </row>
    <row r="89" spans="1:28" ht="15" customHeight="1">
      <c r="A89" s="269"/>
      <c r="B89" s="270" t="s">
        <v>173</v>
      </c>
      <c r="C89" s="271"/>
      <c r="D89" s="272"/>
      <c r="E89" s="288">
        <v>1</v>
      </c>
      <c r="F89" s="288">
        <v>1</v>
      </c>
      <c r="G89" s="288">
        <v>1</v>
      </c>
      <c r="H89" s="288">
        <v>1</v>
      </c>
      <c r="I89" s="288">
        <v>1</v>
      </c>
      <c r="J89" s="288">
        <v>1</v>
      </c>
      <c r="K89" s="288">
        <v>1</v>
      </c>
      <c r="L89" s="288">
        <v>1</v>
      </c>
      <c r="M89" s="288">
        <v>1</v>
      </c>
      <c r="N89" s="288">
        <v>1</v>
      </c>
      <c r="O89" s="288">
        <v>1</v>
      </c>
      <c r="P89" s="288">
        <v>1</v>
      </c>
      <c r="Q89" s="288">
        <v>1</v>
      </c>
      <c r="R89" s="288">
        <v>1</v>
      </c>
      <c r="S89" s="288">
        <v>1</v>
      </c>
      <c r="T89" s="288">
        <v>1</v>
      </c>
      <c r="U89" s="288">
        <v>1</v>
      </c>
      <c r="V89" s="288">
        <v>1</v>
      </c>
      <c r="W89" s="288">
        <v>1</v>
      </c>
      <c r="X89" s="288">
        <v>1</v>
      </c>
      <c r="Y89" s="288">
        <v>1</v>
      </c>
      <c r="Z89" s="288">
        <v>1</v>
      </c>
      <c r="AA89" s="288">
        <v>1</v>
      </c>
      <c r="AB89" s="289">
        <v>1</v>
      </c>
    </row>
    <row r="90" spans="1:28" ht="15" customHeight="1" thickBot="1">
      <c r="A90" s="273"/>
      <c r="B90" s="274" t="s">
        <v>174</v>
      </c>
      <c r="C90" s="275"/>
      <c r="D90" s="276"/>
      <c r="E90" s="291">
        <v>0</v>
      </c>
      <c r="F90" s="291">
        <v>0</v>
      </c>
      <c r="G90" s="291">
        <v>0</v>
      </c>
      <c r="H90" s="291">
        <v>0</v>
      </c>
      <c r="I90" s="291">
        <v>0</v>
      </c>
      <c r="J90" s="291">
        <v>19</v>
      </c>
      <c r="K90" s="291">
        <v>47</v>
      </c>
      <c r="L90" s="291">
        <v>72</v>
      </c>
      <c r="M90" s="291">
        <v>88</v>
      </c>
      <c r="N90" s="291">
        <v>97</v>
      </c>
      <c r="O90" s="291">
        <v>101</v>
      </c>
      <c r="P90" s="291">
        <v>199</v>
      </c>
      <c r="Q90" s="291">
        <v>402</v>
      </c>
      <c r="R90" s="291">
        <v>534</v>
      </c>
      <c r="S90" s="291">
        <v>563</v>
      </c>
      <c r="T90" s="291">
        <v>474</v>
      </c>
      <c r="U90" s="291">
        <v>291</v>
      </c>
      <c r="V90" s="291">
        <v>3</v>
      </c>
      <c r="W90" s="291">
        <v>0</v>
      </c>
      <c r="X90" s="291">
        <v>0</v>
      </c>
      <c r="Y90" s="291">
        <v>0</v>
      </c>
      <c r="Z90" s="291">
        <v>0</v>
      </c>
      <c r="AA90" s="291">
        <v>0</v>
      </c>
      <c r="AB90" s="292">
        <v>0</v>
      </c>
    </row>
    <row r="91" spans="1:28" ht="15" customHeight="1">
      <c r="A91" s="265" t="s">
        <v>75</v>
      </c>
      <c r="B91" s="266" t="s">
        <v>172</v>
      </c>
      <c r="C91" s="267"/>
      <c r="D91" s="268"/>
      <c r="E91" s="285">
        <v>0</v>
      </c>
      <c r="F91" s="285">
        <v>0</v>
      </c>
      <c r="G91" s="285">
        <v>0</v>
      </c>
      <c r="H91" s="285">
        <v>0</v>
      </c>
      <c r="I91" s="285">
        <v>0</v>
      </c>
      <c r="J91" s="285">
        <v>0</v>
      </c>
      <c r="K91" s="285">
        <v>0</v>
      </c>
      <c r="L91" s="285">
        <v>0</v>
      </c>
      <c r="M91" s="285">
        <v>0</v>
      </c>
      <c r="N91" s="285">
        <v>0</v>
      </c>
      <c r="O91" s="285">
        <v>0</v>
      </c>
      <c r="P91" s="285">
        <v>0</v>
      </c>
      <c r="Q91" s="285">
        <v>0</v>
      </c>
      <c r="R91" s="285">
        <v>133</v>
      </c>
      <c r="S91" s="285">
        <v>300</v>
      </c>
      <c r="T91" s="285">
        <v>342</v>
      </c>
      <c r="U91" s="285">
        <v>258</v>
      </c>
      <c r="V91" s="285">
        <v>0</v>
      </c>
      <c r="W91" s="285">
        <v>0</v>
      </c>
      <c r="X91" s="285">
        <v>0</v>
      </c>
      <c r="Y91" s="285">
        <v>0</v>
      </c>
      <c r="Z91" s="285">
        <v>0</v>
      </c>
      <c r="AA91" s="285">
        <v>0</v>
      </c>
      <c r="AB91" s="286">
        <v>0</v>
      </c>
    </row>
    <row r="92" spans="1:28" ht="15" customHeight="1">
      <c r="A92" s="269"/>
      <c r="B92" s="270" t="s">
        <v>178</v>
      </c>
      <c r="C92" s="271"/>
      <c r="D92" s="272"/>
      <c r="E92" s="288">
        <v>1</v>
      </c>
      <c r="F92" s="288">
        <v>1</v>
      </c>
      <c r="G92" s="288">
        <v>1</v>
      </c>
      <c r="H92" s="288">
        <v>1</v>
      </c>
      <c r="I92" s="288">
        <v>1</v>
      </c>
      <c r="J92" s="288">
        <v>1</v>
      </c>
      <c r="K92" s="288">
        <v>1</v>
      </c>
      <c r="L92" s="288">
        <v>1</v>
      </c>
      <c r="M92" s="288">
        <v>1</v>
      </c>
      <c r="N92" s="288">
        <v>1</v>
      </c>
      <c r="O92" s="288">
        <v>1</v>
      </c>
      <c r="P92" s="288">
        <v>1</v>
      </c>
      <c r="Q92" s="288">
        <v>1</v>
      </c>
      <c r="R92" s="288">
        <v>1</v>
      </c>
      <c r="S92" s="288">
        <v>1</v>
      </c>
      <c r="T92" s="288">
        <v>1</v>
      </c>
      <c r="U92" s="288">
        <v>1</v>
      </c>
      <c r="V92" s="288">
        <v>1</v>
      </c>
      <c r="W92" s="288">
        <v>1</v>
      </c>
      <c r="X92" s="288">
        <v>1</v>
      </c>
      <c r="Y92" s="288">
        <v>1</v>
      </c>
      <c r="Z92" s="288">
        <v>1</v>
      </c>
      <c r="AA92" s="288">
        <v>1</v>
      </c>
      <c r="AB92" s="289">
        <v>1</v>
      </c>
    </row>
    <row r="93" spans="1:28" ht="15" customHeight="1" thickBot="1">
      <c r="A93" s="273"/>
      <c r="B93" s="274" t="s">
        <v>174</v>
      </c>
      <c r="C93" s="275"/>
      <c r="D93" s="276"/>
      <c r="E93" s="291">
        <v>0</v>
      </c>
      <c r="F93" s="291">
        <v>0</v>
      </c>
      <c r="G93" s="291">
        <v>0</v>
      </c>
      <c r="H93" s="291">
        <v>0</v>
      </c>
      <c r="I93" s="291">
        <v>0</v>
      </c>
      <c r="J93" s="291">
        <v>19</v>
      </c>
      <c r="K93" s="291">
        <v>47</v>
      </c>
      <c r="L93" s="291">
        <v>72</v>
      </c>
      <c r="M93" s="291">
        <v>88</v>
      </c>
      <c r="N93" s="291">
        <v>97</v>
      </c>
      <c r="O93" s="291">
        <v>101</v>
      </c>
      <c r="P93" s="291">
        <v>101</v>
      </c>
      <c r="Q93" s="291">
        <v>98</v>
      </c>
      <c r="R93" s="291">
        <v>224</v>
      </c>
      <c r="S93" s="291">
        <v>378</v>
      </c>
      <c r="T93" s="291">
        <v>397</v>
      </c>
      <c r="U93" s="291">
        <v>282</v>
      </c>
      <c r="V93" s="291">
        <v>3</v>
      </c>
      <c r="W93" s="291">
        <v>0</v>
      </c>
      <c r="X93" s="291">
        <v>0</v>
      </c>
      <c r="Y93" s="291">
        <v>0</v>
      </c>
      <c r="Z93" s="291">
        <v>0</v>
      </c>
      <c r="AA93" s="291">
        <v>0</v>
      </c>
      <c r="AB93" s="292">
        <v>0</v>
      </c>
    </row>
    <row r="94" spans="1:28" ht="15" customHeight="1">
      <c r="A94" s="277" t="s">
        <v>76</v>
      </c>
      <c r="B94" s="266" t="s">
        <v>172</v>
      </c>
      <c r="C94" s="267"/>
      <c r="D94" s="268"/>
      <c r="E94" s="285">
        <v>0</v>
      </c>
      <c r="F94" s="285">
        <v>0</v>
      </c>
      <c r="G94" s="285">
        <v>0</v>
      </c>
      <c r="H94" s="285">
        <v>0</v>
      </c>
      <c r="I94" s="285">
        <v>0</v>
      </c>
      <c r="J94" s="285">
        <v>0</v>
      </c>
      <c r="K94" s="285">
        <v>0</v>
      </c>
      <c r="L94" s="285">
        <v>0</v>
      </c>
      <c r="M94" s="285">
        <v>0</v>
      </c>
      <c r="N94" s="285">
        <v>0</v>
      </c>
      <c r="O94" s="285">
        <v>0</v>
      </c>
      <c r="P94" s="285">
        <v>0</v>
      </c>
      <c r="Q94" s="285">
        <v>0</v>
      </c>
      <c r="R94" s="285">
        <v>0</v>
      </c>
      <c r="S94" s="285">
        <v>0</v>
      </c>
      <c r="T94" s="285">
        <v>0</v>
      </c>
      <c r="U94" s="285">
        <v>15</v>
      </c>
      <c r="V94" s="285">
        <v>0</v>
      </c>
      <c r="W94" s="285">
        <v>0</v>
      </c>
      <c r="X94" s="285">
        <v>0</v>
      </c>
      <c r="Y94" s="285">
        <v>0</v>
      </c>
      <c r="Z94" s="285">
        <v>0</v>
      </c>
      <c r="AA94" s="285">
        <v>0</v>
      </c>
      <c r="AB94" s="286">
        <v>0</v>
      </c>
    </row>
    <row r="95" spans="1:28" ht="15" customHeight="1">
      <c r="A95" s="278"/>
      <c r="B95" s="270" t="s">
        <v>182</v>
      </c>
      <c r="C95" s="271"/>
      <c r="D95" s="272"/>
      <c r="E95" s="288">
        <v>1</v>
      </c>
      <c r="F95" s="288">
        <v>1</v>
      </c>
      <c r="G95" s="288">
        <v>1</v>
      </c>
      <c r="H95" s="288">
        <v>1</v>
      </c>
      <c r="I95" s="288">
        <v>1</v>
      </c>
      <c r="J95" s="288">
        <v>1</v>
      </c>
      <c r="K95" s="288">
        <v>1</v>
      </c>
      <c r="L95" s="288">
        <v>1</v>
      </c>
      <c r="M95" s="288">
        <v>1</v>
      </c>
      <c r="N95" s="288">
        <v>1</v>
      </c>
      <c r="O95" s="288">
        <v>1</v>
      </c>
      <c r="P95" s="288">
        <v>1</v>
      </c>
      <c r="Q95" s="288">
        <v>1</v>
      </c>
      <c r="R95" s="288">
        <v>1</v>
      </c>
      <c r="S95" s="288">
        <v>1</v>
      </c>
      <c r="T95" s="288">
        <v>1</v>
      </c>
      <c r="U95" s="288">
        <v>1</v>
      </c>
      <c r="V95" s="288">
        <v>1</v>
      </c>
      <c r="W95" s="288">
        <v>1</v>
      </c>
      <c r="X95" s="288">
        <v>1</v>
      </c>
      <c r="Y95" s="288">
        <v>1</v>
      </c>
      <c r="Z95" s="288">
        <v>1</v>
      </c>
      <c r="AA95" s="288">
        <v>1</v>
      </c>
      <c r="AB95" s="289">
        <v>1</v>
      </c>
    </row>
    <row r="96" spans="1:28" ht="15" customHeight="1" thickBot="1">
      <c r="A96" s="279"/>
      <c r="B96" s="274" t="s">
        <v>174</v>
      </c>
      <c r="C96" s="275"/>
      <c r="D96" s="276"/>
      <c r="E96" s="291">
        <v>0</v>
      </c>
      <c r="F96" s="291">
        <v>0</v>
      </c>
      <c r="G96" s="291">
        <v>0</v>
      </c>
      <c r="H96" s="291">
        <v>0</v>
      </c>
      <c r="I96" s="291">
        <v>0</v>
      </c>
      <c r="J96" s="291">
        <v>19</v>
      </c>
      <c r="K96" s="291">
        <v>47</v>
      </c>
      <c r="L96" s="291">
        <v>72</v>
      </c>
      <c r="M96" s="291">
        <v>88</v>
      </c>
      <c r="N96" s="291">
        <v>97</v>
      </c>
      <c r="O96" s="291">
        <v>101</v>
      </c>
      <c r="P96" s="291">
        <v>101</v>
      </c>
      <c r="Q96" s="291">
        <v>98</v>
      </c>
      <c r="R96" s="291">
        <v>91</v>
      </c>
      <c r="S96" s="291">
        <v>78</v>
      </c>
      <c r="T96" s="291">
        <v>55</v>
      </c>
      <c r="U96" s="291">
        <v>39</v>
      </c>
      <c r="V96" s="291">
        <v>3</v>
      </c>
      <c r="W96" s="291">
        <v>0</v>
      </c>
      <c r="X96" s="291">
        <v>0</v>
      </c>
      <c r="Y96" s="291">
        <v>0</v>
      </c>
      <c r="Z96" s="291">
        <v>0</v>
      </c>
      <c r="AA96" s="291">
        <v>0</v>
      </c>
      <c r="AB96" s="292">
        <v>0</v>
      </c>
    </row>
  </sheetData>
  <mergeCells count="108">
    <mergeCell ref="A94:A96"/>
    <mergeCell ref="B94:D94"/>
    <mergeCell ref="B95:D95"/>
    <mergeCell ref="B96:D96"/>
    <mergeCell ref="A88:A90"/>
    <mergeCell ref="B88:D88"/>
    <mergeCell ref="B89:D89"/>
    <mergeCell ref="B90:D90"/>
    <mergeCell ref="A91:A93"/>
    <mergeCell ref="B91:D91"/>
    <mergeCell ref="B92:D92"/>
    <mergeCell ref="B93:D93"/>
    <mergeCell ref="A82:A84"/>
    <mergeCell ref="B82:D82"/>
    <mergeCell ref="B83:D83"/>
    <mergeCell ref="B84:D84"/>
    <mergeCell ref="A85:A87"/>
    <mergeCell ref="B85:D85"/>
    <mergeCell ref="B86:D86"/>
    <mergeCell ref="B87:D87"/>
    <mergeCell ref="A76:A78"/>
    <mergeCell ref="B76:D76"/>
    <mergeCell ref="B77:D77"/>
    <mergeCell ref="B78:D78"/>
    <mergeCell ref="A79:A81"/>
    <mergeCell ref="B79:D79"/>
    <mergeCell ref="B80:D80"/>
    <mergeCell ref="B81:D81"/>
    <mergeCell ref="B71:D71"/>
    <mergeCell ref="B72:D72"/>
    <mergeCell ref="A73:A75"/>
    <mergeCell ref="B73:D73"/>
    <mergeCell ref="B74:D74"/>
    <mergeCell ref="B75:D75"/>
    <mergeCell ref="A65:A67"/>
    <mergeCell ref="B65:D65"/>
    <mergeCell ref="B66:D66"/>
    <mergeCell ref="B67:D67"/>
    <mergeCell ref="B69:D69"/>
    <mergeCell ref="B70:D70"/>
    <mergeCell ref="A59:A61"/>
    <mergeCell ref="B59:D59"/>
    <mergeCell ref="B60:D60"/>
    <mergeCell ref="B61:D61"/>
    <mergeCell ref="A62:A64"/>
    <mergeCell ref="B62:D62"/>
    <mergeCell ref="B63:D63"/>
    <mergeCell ref="B64:D64"/>
    <mergeCell ref="A53:A55"/>
    <mergeCell ref="B53:D53"/>
    <mergeCell ref="B54:D54"/>
    <mergeCell ref="B55:D55"/>
    <mergeCell ref="A56:A58"/>
    <mergeCell ref="B56:D56"/>
    <mergeCell ref="B57:D57"/>
    <mergeCell ref="B58:D58"/>
    <mergeCell ref="A47:A49"/>
    <mergeCell ref="B47:D47"/>
    <mergeCell ref="B48:D48"/>
    <mergeCell ref="B49:D49"/>
    <mergeCell ref="A50:A52"/>
    <mergeCell ref="B50:D50"/>
    <mergeCell ref="B51:D51"/>
    <mergeCell ref="B52:D52"/>
    <mergeCell ref="B42:D42"/>
    <mergeCell ref="B43:D43"/>
    <mergeCell ref="A44:A46"/>
    <mergeCell ref="B44:D44"/>
    <mergeCell ref="B45:D45"/>
    <mergeCell ref="B46:D46"/>
    <mergeCell ref="A36:A38"/>
    <mergeCell ref="B36:D36"/>
    <mergeCell ref="B37:D37"/>
    <mergeCell ref="B38:D38"/>
    <mergeCell ref="B40:D40"/>
    <mergeCell ref="B41:D41"/>
    <mergeCell ref="A30:A32"/>
    <mergeCell ref="B30:D30"/>
    <mergeCell ref="B31:D31"/>
    <mergeCell ref="B32:D32"/>
    <mergeCell ref="A33:A35"/>
    <mergeCell ref="B33:D33"/>
    <mergeCell ref="B34:D34"/>
    <mergeCell ref="B35:D35"/>
    <mergeCell ref="A24:A26"/>
    <mergeCell ref="B24:D24"/>
    <mergeCell ref="B25:D25"/>
    <mergeCell ref="B26:D26"/>
    <mergeCell ref="A27:A29"/>
    <mergeCell ref="B27:D27"/>
    <mergeCell ref="B28:D28"/>
    <mergeCell ref="B29:D29"/>
    <mergeCell ref="A18:A20"/>
    <mergeCell ref="B18:D18"/>
    <mergeCell ref="B19:D19"/>
    <mergeCell ref="B20:D20"/>
    <mergeCell ref="A21:A23"/>
    <mergeCell ref="B21:D21"/>
    <mergeCell ref="B22:D22"/>
    <mergeCell ref="B23:D23"/>
    <mergeCell ref="B11:D11"/>
    <mergeCell ref="B12:D12"/>
    <mergeCell ref="B13:D13"/>
    <mergeCell ref="B14:D14"/>
    <mergeCell ref="A15:A17"/>
    <mergeCell ref="B15:D15"/>
    <mergeCell ref="B16:D16"/>
    <mergeCell ref="B17:D17"/>
  </mergeCells>
  <phoneticPr fontId="3"/>
  <printOptions horizontalCentered="1"/>
  <pageMargins left="0.59055118110236227" right="0.47244094488188981" top="0.62992125984251968" bottom="0.39370078740157483" header="0.39370078740157483" footer="0.15748031496062992"/>
  <pageSetup paperSize="9" scale="69" fitToHeight="0" orientation="landscape" horizontalDpi="400" verticalDpi="400" r:id="rId1"/>
  <headerFooter scaleWithDoc="0">
    <oddFooter>&amp;C&amp;"ＭＳ Ｐゴシック,標準"&amp;9( &amp;P / &amp;N )</oddFooter>
  </headerFooter>
  <rowBreaks count="2" manualBreakCount="2">
    <brk id="38" max="16383" man="1"/>
    <brk id="67" max="2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B96"/>
  <sheetViews>
    <sheetView showGridLines="0" zoomScale="80" zoomScaleNormal="80" workbookViewId="0"/>
  </sheetViews>
  <sheetFormatPr defaultColWidth="8.42578125" defaultRowHeight="15" customHeight="1"/>
  <cols>
    <col min="1" max="1" width="7.7109375" style="108" customWidth="1"/>
    <col min="2" max="26" width="7.7109375" style="54" customWidth="1"/>
    <col min="27" max="16384" width="8.42578125" style="54"/>
  </cols>
  <sheetData>
    <row r="1" spans="1:28" s="53" customFormat="1" ht="26.1" customHeight="1">
      <c r="A1" s="233" t="s">
        <v>195</v>
      </c>
      <c r="B1" s="50"/>
      <c r="C1" s="50"/>
      <c r="D1" s="50"/>
      <c r="E1" s="50"/>
      <c r="F1" s="50"/>
      <c r="G1" s="50"/>
      <c r="H1" s="50"/>
      <c r="I1" s="50"/>
      <c r="J1" s="50"/>
      <c r="K1" s="50"/>
      <c r="L1" s="50"/>
      <c r="M1" s="50"/>
      <c r="N1" s="50"/>
      <c r="O1" s="50"/>
      <c r="P1" s="50"/>
      <c r="Q1" s="50"/>
      <c r="R1" s="50"/>
      <c r="S1" s="50"/>
      <c r="T1" s="50"/>
      <c r="U1" s="50"/>
      <c r="V1" s="50"/>
      <c r="W1" s="50"/>
      <c r="X1" s="50"/>
      <c r="Y1" s="50"/>
      <c r="Z1" s="50"/>
      <c r="AA1" s="50"/>
      <c r="AB1" s="52"/>
    </row>
    <row r="2" spans="1:28" ht="15" customHeight="1">
      <c r="V2" s="234"/>
      <c r="W2" s="234"/>
    </row>
    <row r="3" spans="1:28" ht="15" customHeight="1">
      <c r="A3" s="108" t="s">
        <v>155</v>
      </c>
      <c r="C3" s="235" t="s">
        <v>22</v>
      </c>
      <c r="D3" s="235"/>
      <c r="E3" s="61"/>
      <c r="F3" s="61"/>
      <c r="O3" s="61"/>
      <c r="P3" s="61"/>
      <c r="Q3" s="61"/>
      <c r="R3" s="61"/>
      <c r="S3" s="61"/>
      <c r="T3" s="61"/>
      <c r="U3" s="61"/>
      <c r="V3" s="234"/>
      <c r="W3" s="54" t="s">
        <v>156</v>
      </c>
    </row>
    <row r="4" spans="1:28" ht="15" customHeight="1">
      <c r="A4" s="108" t="s">
        <v>157</v>
      </c>
      <c r="C4" s="235" t="s">
        <v>196</v>
      </c>
      <c r="D4" s="235"/>
      <c r="E4" s="61"/>
      <c r="F4" s="61"/>
      <c r="O4" s="236" t="s">
        <v>158</v>
      </c>
      <c r="P4" s="237"/>
      <c r="Q4" s="237"/>
      <c r="R4" s="237"/>
      <c r="S4" s="237"/>
      <c r="T4" s="237"/>
      <c r="U4" s="238"/>
      <c r="V4" s="234"/>
      <c r="W4" s="178" t="s">
        <v>187</v>
      </c>
    </row>
    <row r="5" spans="1:28" ht="15" customHeight="1">
      <c r="O5" s="239" t="s">
        <v>75</v>
      </c>
      <c r="P5" s="240" t="s">
        <v>159</v>
      </c>
      <c r="Q5" s="240" t="s">
        <v>160</v>
      </c>
      <c r="R5" s="240" t="s">
        <v>161</v>
      </c>
      <c r="S5" s="240" t="s">
        <v>162</v>
      </c>
      <c r="T5" s="240" t="s">
        <v>163</v>
      </c>
      <c r="U5" s="241" t="s">
        <v>164</v>
      </c>
      <c r="W5" s="178" t="s">
        <v>188</v>
      </c>
    </row>
    <row r="6" spans="1:28" ht="15" customHeight="1">
      <c r="O6" s="242">
        <v>2200</v>
      </c>
      <c r="P6" s="243">
        <v>2200</v>
      </c>
      <c r="Q6" s="243">
        <v>5600</v>
      </c>
      <c r="R6" s="243">
        <v>3600</v>
      </c>
      <c r="S6" s="243">
        <v>3400</v>
      </c>
      <c r="T6" s="243">
        <v>1500</v>
      </c>
      <c r="U6" s="244">
        <v>1200</v>
      </c>
      <c r="W6" s="178" t="s">
        <v>189</v>
      </c>
    </row>
    <row r="7" spans="1:28" ht="15" customHeight="1">
      <c r="Q7" s="234"/>
      <c r="R7" s="234"/>
      <c r="S7" s="234"/>
      <c r="T7" s="234"/>
      <c r="U7" s="234"/>
      <c r="W7" s="178" t="s">
        <v>190</v>
      </c>
    </row>
    <row r="8" spans="1:28" ht="15" customHeight="1">
      <c r="P8" s="234"/>
      <c r="Q8" s="234"/>
      <c r="R8" s="234"/>
      <c r="S8" s="234"/>
      <c r="T8" s="234"/>
      <c r="U8" s="234"/>
      <c r="W8" s="178" t="s">
        <v>191</v>
      </c>
    </row>
    <row r="9" spans="1:28" ht="15" customHeight="1" thickBot="1">
      <c r="G9" s="54" t="s">
        <v>165</v>
      </c>
      <c r="L9" s="54" t="s">
        <v>166</v>
      </c>
      <c r="P9" s="234"/>
      <c r="Q9" s="234"/>
      <c r="R9" s="234"/>
      <c r="S9" s="234"/>
      <c r="T9" s="234"/>
      <c r="U9" s="234"/>
      <c r="W9" s="83" t="s">
        <v>192</v>
      </c>
    </row>
    <row r="10" spans="1:28" ht="15" customHeight="1">
      <c r="A10" s="245" t="s">
        <v>29</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146"/>
    </row>
    <row r="11" spans="1:28" ht="15" customHeight="1">
      <c r="A11" s="246"/>
      <c r="B11" s="247"/>
      <c r="C11" s="248"/>
      <c r="D11" s="249"/>
      <c r="E11" s="148">
        <v>1</v>
      </c>
      <c r="F11" s="149">
        <v>2</v>
      </c>
      <c r="G11" s="149">
        <v>3</v>
      </c>
      <c r="H11" s="149">
        <v>4</v>
      </c>
      <c r="I11" s="149">
        <v>5</v>
      </c>
      <c r="J11" s="149">
        <v>6</v>
      </c>
      <c r="K11" s="149">
        <v>7</v>
      </c>
      <c r="L11" s="149">
        <v>8</v>
      </c>
      <c r="M11" s="149">
        <v>9</v>
      </c>
      <c r="N11" s="149">
        <v>10</v>
      </c>
      <c r="O11" s="149">
        <v>11</v>
      </c>
      <c r="P11" s="149">
        <v>12</v>
      </c>
      <c r="Q11" s="149">
        <v>13</v>
      </c>
      <c r="R11" s="149">
        <v>14</v>
      </c>
      <c r="S11" s="149">
        <v>15</v>
      </c>
      <c r="T11" s="149">
        <v>16</v>
      </c>
      <c r="U11" s="149">
        <v>17</v>
      </c>
      <c r="V11" s="149">
        <v>18</v>
      </c>
      <c r="W11" s="151">
        <v>19</v>
      </c>
      <c r="X11" s="151">
        <v>20</v>
      </c>
      <c r="Y11" s="151">
        <v>21</v>
      </c>
      <c r="Z11" s="151">
        <v>22</v>
      </c>
      <c r="AA11" s="151">
        <v>23</v>
      </c>
      <c r="AB11" s="152">
        <v>24</v>
      </c>
    </row>
    <row r="12" spans="1:28" ht="15" customHeight="1" thickBot="1">
      <c r="A12" s="250" t="s">
        <v>167</v>
      </c>
      <c r="B12" s="251" t="s">
        <v>168</v>
      </c>
      <c r="C12" s="252"/>
      <c r="D12" s="253"/>
      <c r="E12" s="254">
        <v>0</v>
      </c>
      <c r="F12" s="255">
        <v>0</v>
      </c>
      <c r="G12" s="255">
        <v>0</v>
      </c>
      <c r="H12" s="255">
        <v>0</v>
      </c>
      <c r="I12" s="255">
        <v>7</v>
      </c>
      <c r="J12" s="255">
        <v>56</v>
      </c>
      <c r="K12" s="255">
        <v>120</v>
      </c>
      <c r="L12" s="255">
        <v>187</v>
      </c>
      <c r="M12" s="255">
        <v>247</v>
      </c>
      <c r="N12" s="255">
        <v>294</v>
      </c>
      <c r="O12" s="255">
        <v>321</v>
      </c>
      <c r="P12" s="255">
        <v>325</v>
      </c>
      <c r="Q12" s="255">
        <v>307</v>
      </c>
      <c r="R12" s="255">
        <v>272</v>
      </c>
      <c r="S12" s="255">
        <v>220</v>
      </c>
      <c r="T12" s="255">
        <v>158</v>
      </c>
      <c r="U12" s="255">
        <v>94</v>
      </c>
      <c r="V12" s="255">
        <v>24</v>
      </c>
      <c r="W12" s="255">
        <v>0</v>
      </c>
      <c r="X12" s="255">
        <v>0</v>
      </c>
      <c r="Y12" s="255">
        <v>0</v>
      </c>
      <c r="Z12" s="255">
        <v>0</v>
      </c>
      <c r="AA12" s="255">
        <v>0</v>
      </c>
      <c r="AB12" s="256">
        <v>0</v>
      </c>
    </row>
    <row r="13" spans="1:28" ht="15" customHeight="1" thickBot="1">
      <c r="A13" s="257" t="s">
        <v>169</v>
      </c>
      <c r="B13" s="258" t="s">
        <v>170</v>
      </c>
      <c r="C13" s="259"/>
      <c r="D13" s="260"/>
      <c r="E13" s="261">
        <v>0</v>
      </c>
      <c r="F13" s="262">
        <v>0</v>
      </c>
      <c r="G13" s="262">
        <v>0</v>
      </c>
      <c r="H13" s="262">
        <v>0</v>
      </c>
      <c r="I13" s="262">
        <v>4</v>
      </c>
      <c r="J13" s="262">
        <v>31</v>
      </c>
      <c r="K13" s="262">
        <v>63</v>
      </c>
      <c r="L13" s="262">
        <v>93</v>
      </c>
      <c r="M13" s="262">
        <v>116</v>
      </c>
      <c r="N13" s="262">
        <v>130</v>
      </c>
      <c r="O13" s="262">
        <v>135</v>
      </c>
      <c r="P13" s="262">
        <v>135</v>
      </c>
      <c r="Q13" s="262">
        <v>133</v>
      </c>
      <c r="R13" s="262">
        <v>125</v>
      </c>
      <c r="S13" s="262">
        <v>107</v>
      </c>
      <c r="T13" s="262">
        <v>81</v>
      </c>
      <c r="U13" s="262">
        <v>49</v>
      </c>
      <c r="V13" s="262">
        <v>14</v>
      </c>
      <c r="W13" s="262">
        <v>0</v>
      </c>
      <c r="X13" s="262">
        <v>0</v>
      </c>
      <c r="Y13" s="262">
        <v>0</v>
      </c>
      <c r="Z13" s="262">
        <v>0</v>
      </c>
      <c r="AA13" s="262">
        <v>0</v>
      </c>
      <c r="AB13" s="263">
        <v>0</v>
      </c>
    </row>
    <row r="14" spans="1:28" ht="15" customHeight="1" thickBot="1">
      <c r="A14" s="264" t="s">
        <v>68</v>
      </c>
      <c r="B14" s="258" t="s">
        <v>171</v>
      </c>
      <c r="C14" s="259"/>
      <c r="D14" s="260"/>
      <c r="E14" s="261">
        <v>0</v>
      </c>
      <c r="F14" s="262">
        <v>0</v>
      </c>
      <c r="G14" s="262">
        <v>0</v>
      </c>
      <c r="H14" s="262">
        <v>0</v>
      </c>
      <c r="I14" s="262">
        <v>7</v>
      </c>
      <c r="J14" s="262">
        <v>71</v>
      </c>
      <c r="K14" s="262">
        <v>179</v>
      </c>
      <c r="L14" s="262">
        <v>298</v>
      </c>
      <c r="M14" s="262">
        <v>413</v>
      </c>
      <c r="N14" s="262">
        <v>498</v>
      </c>
      <c r="O14" s="262">
        <v>554</v>
      </c>
      <c r="P14" s="262">
        <v>571</v>
      </c>
      <c r="Q14" s="262">
        <v>549</v>
      </c>
      <c r="R14" s="262">
        <v>481</v>
      </c>
      <c r="S14" s="262">
        <v>372</v>
      </c>
      <c r="T14" s="262">
        <v>246</v>
      </c>
      <c r="U14" s="262">
        <v>132</v>
      </c>
      <c r="V14" s="262">
        <v>26</v>
      </c>
      <c r="W14" s="262">
        <v>0</v>
      </c>
      <c r="X14" s="262">
        <v>0</v>
      </c>
      <c r="Y14" s="262">
        <v>0</v>
      </c>
      <c r="Z14" s="262">
        <v>0</v>
      </c>
      <c r="AA14" s="262">
        <v>0</v>
      </c>
      <c r="AB14" s="263">
        <v>0</v>
      </c>
    </row>
    <row r="15" spans="1:28" ht="15" customHeight="1">
      <c r="A15" s="265" t="s">
        <v>69</v>
      </c>
      <c r="B15" s="266" t="s">
        <v>172</v>
      </c>
      <c r="C15" s="267"/>
      <c r="D15" s="268"/>
      <c r="E15" s="284">
        <v>0</v>
      </c>
      <c r="F15" s="285">
        <v>0</v>
      </c>
      <c r="G15" s="285">
        <v>0</v>
      </c>
      <c r="H15" s="285">
        <v>0</v>
      </c>
      <c r="I15" s="285">
        <v>12</v>
      </c>
      <c r="J15" s="285">
        <v>89</v>
      </c>
      <c r="K15" s="285">
        <v>84</v>
      </c>
      <c r="L15" s="285">
        <v>63</v>
      </c>
      <c r="M15" s="285">
        <v>17</v>
      </c>
      <c r="N15" s="285">
        <v>0</v>
      </c>
      <c r="O15" s="285">
        <v>0</v>
      </c>
      <c r="P15" s="285">
        <v>0</v>
      </c>
      <c r="Q15" s="285">
        <v>0</v>
      </c>
      <c r="R15" s="285">
        <v>0</v>
      </c>
      <c r="S15" s="285">
        <v>0</v>
      </c>
      <c r="T15" s="285">
        <v>0</v>
      </c>
      <c r="U15" s="285">
        <v>0</v>
      </c>
      <c r="V15" s="285">
        <v>0</v>
      </c>
      <c r="W15" s="285">
        <v>0</v>
      </c>
      <c r="X15" s="285">
        <v>0</v>
      </c>
      <c r="Y15" s="285">
        <v>0</v>
      </c>
      <c r="Z15" s="285">
        <v>0</v>
      </c>
      <c r="AA15" s="285">
        <v>0</v>
      </c>
      <c r="AB15" s="286">
        <v>0</v>
      </c>
    </row>
    <row r="16" spans="1:28" ht="15" customHeight="1">
      <c r="A16" s="269"/>
      <c r="B16" s="270" t="s">
        <v>173</v>
      </c>
      <c r="C16" s="271"/>
      <c r="D16" s="272"/>
      <c r="E16" s="287">
        <v>0</v>
      </c>
      <c r="F16" s="288">
        <v>0</v>
      </c>
      <c r="G16" s="288">
        <v>0</v>
      </c>
      <c r="H16" s="288">
        <v>0</v>
      </c>
      <c r="I16" s="288">
        <v>0</v>
      </c>
      <c r="J16" s="288">
        <v>0</v>
      </c>
      <c r="K16" s="288">
        <v>0</v>
      </c>
      <c r="L16" s="288">
        <v>0</v>
      </c>
      <c r="M16" s="288">
        <v>0</v>
      </c>
      <c r="N16" s="288">
        <v>0</v>
      </c>
      <c r="O16" s="288">
        <v>0</v>
      </c>
      <c r="P16" s="288">
        <v>0</v>
      </c>
      <c r="Q16" s="288">
        <v>0</v>
      </c>
      <c r="R16" s="288">
        <v>0</v>
      </c>
      <c r="S16" s="288">
        <v>0</v>
      </c>
      <c r="T16" s="288">
        <v>0</v>
      </c>
      <c r="U16" s="288">
        <v>0</v>
      </c>
      <c r="V16" s="288">
        <v>0</v>
      </c>
      <c r="W16" s="288">
        <v>0</v>
      </c>
      <c r="X16" s="288">
        <v>0</v>
      </c>
      <c r="Y16" s="288">
        <v>0</v>
      </c>
      <c r="Z16" s="288">
        <v>0</v>
      </c>
      <c r="AA16" s="288">
        <v>0</v>
      </c>
      <c r="AB16" s="289">
        <v>0</v>
      </c>
    </row>
    <row r="17" spans="1:28" ht="15" customHeight="1" thickBot="1">
      <c r="A17" s="273"/>
      <c r="B17" s="274" t="s">
        <v>174</v>
      </c>
      <c r="C17" s="275"/>
      <c r="D17" s="276"/>
      <c r="E17" s="290">
        <v>0</v>
      </c>
      <c r="F17" s="291">
        <v>0</v>
      </c>
      <c r="G17" s="291">
        <v>0</v>
      </c>
      <c r="H17" s="291">
        <v>0</v>
      </c>
      <c r="I17" s="291">
        <v>4</v>
      </c>
      <c r="J17" s="291">
        <v>31</v>
      </c>
      <c r="K17" s="291">
        <v>63</v>
      </c>
      <c r="L17" s="291">
        <v>93</v>
      </c>
      <c r="M17" s="291">
        <v>116</v>
      </c>
      <c r="N17" s="291">
        <v>130</v>
      </c>
      <c r="O17" s="291">
        <v>135</v>
      </c>
      <c r="P17" s="291">
        <v>136</v>
      </c>
      <c r="Q17" s="291">
        <v>134</v>
      </c>
      <c r="R17" s="291">
        <v>125</v>
      </c>
      <c r="S17" s="291">
        <v>107</v>
      </c>
      <c r="T17" s="291">
        <v>80</v>
      </c>
      <c r="U17" s="291">
        <v>50</v>
      </c>
      <c r="V17" s="291">
        <v>14</v>
      </c>
      <c r="W17" s="291">
        <v>0</v>
      </c>
      <c r="X17" s="291">
        <v>0</v>
      </c>
      <c r="Y17" s="291">
        <v>0</v>
      </c>
      <c r="Z17" s="291">
        <v>0</v>
      </c>
      <c r="AA17" s="291">
        <v>0</v>
      </c>
      <c r="AB17" s="292">
        <v>0</v>
      </c>
    </row>
    <row r="18" spans="1:28" ht="15" customHeight="1">
      <c r="A18" s="265" t="s">
        <v>70</v>
      </c>
      <c r="B18" s="266" t="s">
        <v>172</v>
      </c>
      <c r="C18" s="267"/>
      <c r="D18" s="268"/>
      <c r="E18" s="284">
        <v>0</v>
      </c>
      <c r="F18" s="285">
        <v>0</v>
      </c>
      <c r="G18" s="285">
        <v>0</v>
      </c>
      <c r="H18" s="285">
        <v>0</v>
      </c>
      <c r="I18" s="285">
        <v>18</v>
      </c>
      <c r="J18" s="285">
        <v>163</v>
      </c>
      <c r="K18" s="285">
        <v>194</v>
      </c>
      <c r="L18" s="285">
        <v>216</v>
      </c>
      <c r="M18" s="285">
        <v>179</v>
      </c>
      <c r="N18" s="285">
        <v>99</v>
      </c>
      <c r="O18" s="285">
        <v>11</v>
      </c>
      <c r="P18" s="285">
        <v>0</v>
      </c>
      <c r="Q18" s="285">
        <v>0</v>
      </c>
      <c r="R18" s="285">
        <v>0</v>
      </c>
      <c r="S18" s="285">
        <v>0</v>
      </c>
      <c r="T18" s="285">
        <v>0</v>
      </c>
      <c r="U18" s="285">
        <v>0</v>
      </c>
      <c r="V18" s="285">
        <v>0</v>
      </c>
      <c r="W18" s="285">
        <v>0</v>
      </c>
      <c r="X18" s="285">
        <v>0</v>
      </c>
      <c r="Y18" s="285">
        <v>0</v>
      </c>
      <c r="Z18" s="285">
        <v>0</v>
      </c>
      <c r="AA18" s="285">
        <v>0</v>
      </c>
      <c r="AB18" s="286">
        <v>0</v>
      </c>
    </row>
    <row r="19" spans="1:28" ht="15" customHeight="1">
      <c r="A19" s="269"/>
      <c r="B19" s="270" t="s">
        <v>173</v>
      </c>
      <c r="C19" s="271"/>
      <c r="D19" s="272"/>
      <c r="E19" s="287">
        <v>0</v>
      </c>
      <c r="F19" s="288">
        <v>0</v>
      </c>
      <c r="G19" s="288">
        <v>0</v>
      </c>
      <c r="H19" s="288">
        <v>0</v>
      </c>
      <c r="I19" s="288">
        <v>1</v>
      </c>
      <c r="J19" s="288">
        <v>1</v>
      </c>
      <c r="K19" s="288">
        <v>0.73299999999999998</v>
      </c>
      <c r="L19" s="288">
        <v>0.193</v>
      </c>
      <c r="M19" s="288">
        <v>0</v>
      </c>
      <c r="N19" s="288">
        <v>0</v>
      </c>
      <c r="O19" s="288">
        <v>0</v>
      </c>
      <c r="P19" s="288">
        <v>0</v>
      </c>
      <c r="Q19" s="288">
        <v>0</v>
      </c>
      <c r="R19" s="288">
        <v>0</v>
      </c>
      <c r="S19" s="288">
        <v>0</v>
      </c>
      <c r="T19" s="288">
        <v>0</v>
      </c>
      <c r="U19" s="288">
        <v>0</v>
      </c>
      <c r="V19" s="288">
        <v>0</v>
      </c>
      <c r="W19" s="288">
        <v>0</v>
      </c>
      <c r="X19" s="288">
        <v>0</v>
      </c>
      <c r="Y19" s="288">
        <v>0</v>
      </c>
      <c r="Z19" s="288">
        <v>0</v>
      </c>
      <c r="AA19" s="288">
        <v>0</v>
      </c>
      <c r="AB19" s="289">
        <v>0</v>
      </c>
    </row>
    <row r="20" spans="1:28" ht="15" customHeight="1" thickBot="1">
      <c r="A20" s="273"/>
      <c r="B20" s="274" t="s">
        <v>174</v>
      </c>
      <c r="C20" s="275"/>
      <c r="D20" s="276"/>
      <c r="E20" s="290">
        <v>0</v>
      </c>
      <c r="F20" s="291">
        <v>0</v>
      </c>
      <c r="G20" s="291">
        <v>0</v>
      </c>
      <c r="H20" s="291">
        <v>0</v>
      </c>
      <c r="I20" s="291">
        <v>22</v>
      </c>
      <c r="J20" s="291">
        <v>194</v>
      </c>
      <c r="K20" s="291">
        <v>206</v>
      </c>
      <c r="L20" s="291">
        <v>135</v>
      </c>
      <c r="M20" s="291">
        <v>116</v>
      </c>
      <c r="N20" s="291">
        <v>130</v>
      </c>
      <c r="O20" s="291">
        <v>135</v>
      </c>
      <c r="P20" s="291">
        <v>136</v>
      </c>
      <c r="Q20" s="291">
        <v>134</v>
      </c>
      <c r="R20" s="291">
        <v>125</v>
      </c>
      <c r="S20" s="291">
        <v>107</v>
      </c>
      <c r="T20" s="291">
        <v>80</v>
      </c>
      <c r="U20" s="291">
        <v>50</v>
      </c>
      <c r="V20" s="291">
        <v>14</v>
      </c>
      <c r="W20" s="291">
        <v>0</v>
      </c>
      <c r="X20" s="291">
        <v>0</v>
      </c>
      <c r="Y20" s="291">
        <v>0</v>
      </c>
      <c r="Z20" s="291">
        <v>0</v>
      </c>
      <c r="AA20" s="291">
        <v>0</v>
      </c>
      <c r="AB20" s="292">
        <v>0</v>
      </c>
    </row>
    <row r="21" spans="1:28" ht="15" customHeight="1">
      <c r="A21" s="265" t="s">
        <v>71</v>
      </c>
      <c r="B21" s="266" t="s">
        <v>172</v>
      </c>
      <c r="C21" s="267"/>
      <c r="D21" s="268"/>
      <c r="E21" s="284">
        <v>0</v>
      </c>
      <c r="F21" s="285">
        <v>0</v>
      </c>
      <c r="G21" s="285">
        <v>0</v>
      </c>
      <c r="H21" s="285">
        <v>0</v>
      </c>
      <c r="I21" s="285">
        <v>12</v>
      </c>
      <c r="J21" s="285">
        <v>130</v>
      </c>
      <c r="K21" s="285">
        <v>179</v>
      </c>
      <c r="L21" s="285">
        <v>229</v>
      </c>
      <c r="M21" s="285">
        <v>228</v>
      </c>
      <c r="N21" s="285">
        <v>180</v>
      </c>
      <c r="O21" s="285">
        <v>96</v>
      </c>
      <c r="P21" s="285">
        <v>11</v>
      </c>
      <c r="Q21" s="285">
        <v>0</v>
      </c>
      <c r="R21" s="285">
        <v>0</v>
      </c>
      <c r="S21" s="285">
        <v>0</v>
      </c>
      <c r="T21" s="285">
        <v>0</v>
      </c>
      <c r="U21" s="285">
        <v>0</v>
      </c>
      <c r="V21" s="285">
        <v>0</v>
      </c>
      <c r="W21" s="285">
        <v>0</v>
      </c>
      <c r="X21" s="285">
        <v>0</v>
      </c>
      <c r="Y21" s="285">
        <v>0</v>
      </c>
      <c r="Z21" s="285">
        <v>0</v>
      </c>
      <c r="AA21" s="285">
        <v>0</v>
      </c>
      <c r="AB21" s="286">
        <v>0</v>
      </c>
    </row>
    <row r="22" spans="1:28" ht="15" customHeight="1">
      <c r="A22" s="269"/>
      <c r="B22" s="270" t="s">
        <v>173</v>
      </c>
      <c r="C22" s="271"/>
      <c r="D22" s="272"/>
      <c r="E22" s="287">
        <v>0</v>
      </c>
      <c r="F22" s="288">
        <v>0</v>
      </c>
      <c r="G22" s="288">
        <v>0</v>
      </c>
      <c r="H22" s="288">
        <v>0</v>
      </c>
      <c r="I22" s="288">
        <v>0.74</v>
      </c>
      <c r="J22" s="288">
        <v>0.88100000000000001</v>
      </c>
      <c r="K22" s="288">
        <v>0.71199999999999997</v>
      </c>
      <c r="L22" s="288">
        <v>0.308</v>
      </c>
      <c r="M22" s="288">
        <v>0</v>
      </c>
      <c r="N22" s="288">
        <v>0</v>
      </c>
      <c r="O22" s="288">
        <v>0</v>
      </c>
      <c r="P22" s="288">
        <v>0</v>
      </c>
      <c r="Q22" s="288">
        <v>0</v>
      </c>
      <c r="R22" s="288">
        <v>0</v>
      </c>
      <c r="S22" s="288">
        <v>0</v>
      </c>
      <c r="T22" s="288">
        <v>0</v>
      </c>
      <c r="U22" s="288">
        <v>0</v>
      </c>
      <c r="V22" s="288">
        <v>0</v>
      </c>
      <c r="W22" s="288">
        <v>0</v>
      </c>
      <c r="X22" s="288">
        <v>0</v>
      </c>
      <c r="Y22" s="288">
        <v>0</v>
      </c>
      <c r="Z22" s="288">
        <v>0</v>
      </c>
      <c r="AA22" s="288">
        <v>0</v>
      </c>
      <c r="AB22" s="289">
        <v>0</v>
      </c>
    </row>
    <row r="23" spans="1:28" ht="15" customHeight="1" thickBot="1">
      <c r="A23" s="273"/>
      <c r="B23" s="274" t="s">
        <v>174</v>
      </c>
      <c r="C23" s="275"/>
      <c r="D23" s="276"/>
      <c r="E23" s="290">
        <v>0</v>
      </c>
      <c r="F23" s="291">
        <v>0</v>
      </c>
      <c r="G23" s="291">
        <v>0</v>
      </c>
      <c r="H23" s="291">
        <v>0</v>
      </c>
      <c r="I23" s="291">
        <v>13</v>
      </c>
      <c r="J23" s="291">
        <v>146</v>
      </c>
      <c r="K23" s="291">
        <v>191</v>
      </c>
      <c r="L23" s="291">
        <v>164</v>
      </c>
      <c r="M23" s="291">
        <v>116</v>
      </c>
      <c r="N23" s="291">
        <v>130</v>
      </c>
      <c r="O23" s="291">
        <v>135</v>
      </c>
      <c r="P23" s="291">
        <v>136</v>
      </c>
      <c r="Q23" s="291">
        <v>134</v>
      </c>
      <c r="R23" s="291">
        <v>125</v>
      </c>
      <c r="S23" s="291">
        <v>107</v>
      </c>
      <c r="T23" s="291">
        <v>80</v>
      </c>
      <c r="U23" s="291">
        <v>50</v>
      </c>
      <c r="V23" s="291">
        <v>14</v>
      </c>
      <c r="W23" s="291">
        <v>0</v>
      </c>
      <c r="X23" s="291">
        <v>0</v>
      </c>
      <c r="Y23" s="291">
        <v>0</v>
      </c>
      <c r="Z23" s="291">
        <v>0</v>
      </c>
      <c r="AA23" s="291">
        <v>0</v>
      </c>
      <c r="AB23" s="292">
        <v>0</v>
      </c>
    </row>
    <row r="24" spans="1:28" ht="15" customHeight="1">
      <c r="A24" s="265" t="s">
        <v>72</v>
      </c>
      <c r="B24" s="266" t="s">
        <v>172</v>
      </c>
      <c r="C24" s="267"/>
      <c r="D24" s="268"/>
      <c r="E24" s="284">
        <v>0</v>
      </c>
      <c r="F24" s="285">
        <v>0</v>
      </c>
      <c r="G24" s="285">
        <v>0</v>
      </c>
      <c r="H24" s="285">
        <v>0</v>
      </c>
      <c r="I24" s="285">
        <v>0</v>
      </c>
      <c r="J24" s="285">
        <v>0</v>
      </c>
      <c r="K24" s="285">
        <v>0</v>
      </c>
      <c r="L24" s="285">
        <v>44</v>
      </c>
      <c r="M24" s="285">
        <v>90</v>
      </c>
      <c r="N24" s="285">
        <v>115</v>
      </c>
      <c r="O24" s="285">
        <v>112</v>
      </c>
      <c r="P24" s="285">
        <v>82</v>
      </c>
      <c r="Q24" s="285">
        <v>35</v>
      </c>
      <c r="R24" s="285">
        <v>0</v>
      </c>
      <c r="S24" s="285">
        <v>0</v>
      </c>
      <c r="T24" s="285">
        <v>0</v>
      </c>
      <c r="U24" s="285">
        <v>0</v>
      </c>
      <c r="V24" s="285">
        <v>0</v>
      </c>
      <c r="W24" s="285">
        <v>0</v>
      </c>
      <c r="X24" s="285">
        <v>0</v>
      </c>
      <c r="Y24" s="285">
        <v>0</v>
      </c>
      <c r="Z24" s="285">
        <v>0</v>
      </c>
      <c r="AA24" s="285">
        <v>0</v>
      </c>
      <c r="AB24" s="286">
        <v>0</v>
      </c>
    </row>
    <row r="25" spans="1:28" ht="15" customHeight="1">
      <c r="A25" s="269"/>
      <c r="B25" s="270" t="s">
        <v>173</v>
      </c>
      <c r="C25" s="271"/>
      <c r="D25" s="272"/>
      <c r="E25" s="287">
        <v>0</v>
      </c>
      <c r="F25" s="288">
        <v>0</v>
      </c>
      <c r="G25" s="288">
        <v>0</v>
      </c>
      <c r="H25" s="288">
        <v>0</v>
      </c>
      <c r="I25" s="288">
        <v>0</v>
      </c>
      <c r="J25" s="288">
        <v>0</v>
      </c>
      <c r="K25" s="288">
        <v>0</v>
      </c>
      <c r="L25" s="288">
        <v>0</v>
      </c>
      <c r="M25" s="288">
        <v>0</v>
      </c>
      <c r="N25" s="288">
        <v>0</v>
      </c>
      <c r="O25" s="288">
        <v>0</v>
      </c>
      <c r="P25" s="288">
        <v>0</v>
      </c>
      <c r="Q25" s="288">
        <v>0</v>
      </c>
      <c r="R25" s="288">
        <v>0</v>
      </c>
      <c r="S25" s="288">
        <v>0</v>
      </c>
      <c r="T25" s="288">
        <v>0</v>
      </c>
      <c r="U25" s="288">
        <v>0</v>
      </c>
      <c r="V25" s="288">
        <v>0</v>
      </c>
      <c r="W25" s="288">
        <v>0</v>
      </c>
      <c r="X25" s="288">
        <v>0</v>
      </c>
      <c r="Y25" s="288">
        <v>0</v>
      </c>
      <c r="Z25" s="288">
        <v>0</v>
      </c>
      <c r="AA25" s="288">
        <v>0</v>
      </c>
      <c r="AB25" s="289">
        <v>0</v>
      </c>
    </row>
    <row r="26" spans="1:28" ht="15" customHeight="1" thickBot="1">
      <c r="A26" s="273"/>
      <c r="B26" s="274" t="s">
        <v>174</v>
      </c>
      <c r="C26" s="275"/>
      <c r="D26" s="276"/>
      <c r="E26" s="290">
        <v>0</v>
      </c>
      <c r="F26" s="291">
        <v>0</v>
      </c>
      <c r="G26" s="291">
        <v>0</v>
      </c>
      <c r="H26" s="291">
        <v>0</v>
      </c>
      <c r="I26" s="291">
        <v>4</v>
      </c>
      <c r="J26" s="291">
        <v>31</v>
      </c>
      <c r="K26" s="291">
        <v>63</v>
      </c>
      <c r="L26" s="291">
        <v>93</v>
      </c>
      <c r="M26" s="291">
        <v>116</v>
      </c>
      <c r="N26" s="291">
        <v>130</v>
      </c>
      <c r="O26" s="291">
        <v>135</v>
      </c>
      <c r="P26" s="291">
        <v>136</v>
      </c>
      <c r="Q26" s="291">
        <v>134</v>
      </c>
      <c r="R26" s="291">
        <v>125</v>
      </c>
      <c r="S26" s="291">
        <v>107</v>
      </c>
      <c r="T26" s="291">
        <v>80</v>
      </c>
      <c r="U26" s="291">
        <v>50</v>
      </c>
      <c r="V26" s="291">
        <v>14</v>
      </c>
      <c r="W26" s="291">
        <v>0</v>
      </c>
      <c r="X26" s="291">
        <v>0</v>
      </c>
      <c r="Y26" s="291">
        <v>0</v>
      </c>
      <c r="Z26" s="291">
        <v>0</v>
      </c>
      <c r="AA26" s="291">
        <v>0</v>
      </c>
      <c r="AB26" s="292">
        <v>0</v>
      </c>
    </row>
    <row r="27" spans="1:28" ht="15" customHeight="1">
      <c r="A27" s="265" t="s">
        <v>73</v>
      </c>
      <c r="B27" s="266" t="s">
        <v>172</v>
      </c>
      <c r="C27" s="267"/>
      <c r="D27" s="268"/>
      <c r="E27" s="284">
        <v>0</v>
      </c>
      <c r="F27" s="285">
        <v>0</v>
      </c>
      <c r="G27" s="285">
        <v>0</v>
      </c>
      <c r="H27" s="285">
        <v>0</v>
      </c>
      <c r="I27" s="285">
        <v>0</v>
      </c>
      <c r="J27" s="285">
        <v>0</v>
      </c>
      <c r="K27" s="285">
        <v>0</v>
      </c>
      <c r="L27" s="285">
        <v>0</v>
      </c>
      <c r="M27" s="285">
        <v>0</v>
      </c>
      <c r="N27" s="285">
        <v>0</v>
      </c>
      <c r="O27" s="285">
        <v>28</v>
      </c>
      <c r="P27" s="285">
        <v>93</v>
      </c>
      <c r="Q27" s="285">
        <v>135</v>
      </c>
      <c r="R27" s="285">
        <v>142</v>
      </c>
      <c r="S27" s="285">
        <v>117</v>
      </c>
      <c r="T27" s="285">
        <v>76</v>
      </c>
      <c r="U27" s="285">
        <v>34</v>
      </c>
      <c r="V27" s="285">
        <v>2</v>
      </c>
      <c r="W27" s="285">
        <v>0</v>
      </c>
      <c r="X27" s="285">
        <v>0</v>
      </c>
      <c r="Y27" s="285">
        <v>0</v>
      </c>
      <c r="Z27" s="285">
        <v>0</v>
      </c>
      <c r="AA27" s="285">
        <v>0</v>
      </c>
      <c r="AB27" s="286">
        <v>0</v>
      </c>
    </row>
    <row r="28" spans="1:28" ht="15" customHeight="1">
      <c r="A28" s="269"/>
      <c r="B28" s="270" t="s">
        <v>173</v>
      </c>
      <c r="C28" s="271"/>
      <c r="D28" s="272"/>
      <c r="E28" s="287">
        <v>0</v>
      </c>
      <c r="F28" s="288">
        <v>0</v>
      </c>
      <c r="G28" s="288">
        <v>0</v>
      </c>
      <c r="H28" s="288">
        <v>0</v>
      </c>
      <c r="I28" s="288">
        <v>0</v>
      </c>
      <c r="J28" s="288">
        <v>0</v>
      </c>
      <c r="K28" s="288">
        <v>0</v>
      </c>
      <c r="L28" s="288">
        <v>0</v>
      </c>
      <c r="M28" s="288">
        <v>0</v>
      </c>
      <c r="N28" s="288">
        <v>0</v>
      </c>
      <c r="O28" s="288">
        <v>0</v>
      </c>
      <c r="P28" s="288">
        <v>0</v>
      </c>
      <c r="Q28" s="288">
        <v>0</v>
      </c>
      <c r="R28" s="288">
        <v>0</v>
      </c>
      <c r="S28" s="288">
        <v>0</v>
      </c>
      <c r="T28" s="288">
        <v>0</v>
      </c>
      <c r="U28" s="288">
        <v>0</v>
      </c>
      <c r="V28" s="288">
        <v>0</v>
      </c>
      <c r="W28" s="288">
        <v>0</v>
      </c>
      <c r="X28" s="288">
        <v>0</v>
      </c>
      <c r="Y28" s="288">
        <v>0</v>
      </c>
      <c r="Z28" s="288">
        <v>0</v>
      </c>
      <c r="AA28" s="288">
        <v>0</v>
      </c>
      <c r="AB28" s="289">
        <v>0</v>
      </c>
    </row>
    <row r="29" spans="1:28" ht="15" customHeight="1" thickBot="1">
      <c r="A29" s="273"/>
      <c r="B29" s="274" t="s">
        <v>174</v>
      </c>
      <c r="C29" s="275"/>
      <c r="D29" s="276"/>
      <c r="E29" s="290">
        <v>0</v>
      </c>
      <c r="F29" s="291">
        <v>0</v>
      </c>
      <c r="G29" s="291">
        <v>0</v>
      </c>
      <c r="H29" s="291">
        <v>0</v>
      </c>
      <c r="I29" s="291">
        <v>4</v>
      </c>
      <c r="J29" s="291">
        <v>31</v>
      </c>
      <c r="K29" s="291">
        <v>63</v>
      </c>
      <c r="L29" s="291">
        <v>93</v>
      </c>
      <c r="M29" s="291">
        <v>116</v>
      </c>
      <c r="N29" s="291">
        <v>130</v>
      </c>
      <c r="O29" s="291">
        <v>135</v>
      </c>
      <c r="P29" s="291">
        <v>136</v>
      </c>
      <c r="Q29" s="291">
        <v>134</v>
      </c>
      <c r="R29" s="291">
        <v>125</v>
      </c>
      <c r="S29" s="291">
        <v>107</v>
      </c>
      <c r="T29" s="291">
        <v>80</v>
      </c>
      <c r="U29" s="291">
        <v>50</v>
      </c>
      <c r="V29" s="291">
        <v>14</v>
      </c>
      <c r="W29" s="291">
        <v>0</v>
      </c>
      <c r="X29" s="291">
        <v>0</v>
      </c>
      <c r="Y29" s="291">
        <v>0</v>
      </c>
      <c r="Z29" s="291">
        <v>0</v>
      </c>
      <c r="AA29" s="291">
        <v>0</v>
      </c>
      <c r="AB29" s="292">
        <v>0</v>
      </c>
    </row>
    <row r="30" spans="1:28" ht="15" customHeight="1">
      <c r="A30" s="265" t="s">
        <v>74</v>
      </c>
      <c r="B30" s="266" t="s">
        <v>172</v>
      </c>
      <c r="C30" s="267"/>
      <c r="D30" s="268"/>
      <c r="E30" s="284">
        <v>0</v>
      </c>
      <c r="F30" s="285">
        <v>0</v>
      </c>
      <c r="G30" s="285">
        <v>0</v>
      </c>
      <c r="H30" s="285">
        <v>0</v>
      </c>
      <c r="I30" s="285">
        <v>0</v>
      </c>
      <c r="J30" s="285">
        <v>0</v>
      </c>
      <c r="K30" s="285">
        <v>0</v>
      </c>
      <c r="L30" s="285">
        <v>0</v>
      </c>
      <c r="M30" s="285">
        <v>0</v>
      </c>
      <c r="N30" s="285">
        <v>0</v>
      </c>
      <c r="O30" s="285">
        <v>0</v>
      </c>
      <c r="P30" s="285">
        <v>21</v>
      </c>
      <c r="Q30" s="285">
        <v>130</v>
      </c>
      <c r="R30" s="285">
        <v>217</v>
      </c>
      <c r="S30" s="285">
        <v>242</v>
      </c>
      <c r="T30" s="285">
        <v>218</v>
      </c>
      <c r="U30" s="285">
        <v>157</v>
      </c>
      <c r="V30" s="285">
        <v>39</v>
      </c>
      <c r="W30" s="285">
        <v>0</v>
      </c>
      <c r="X30" s="285">
        <v>0</v>
      </c>
      <c r="Y30" s="285">
        <v>0</v>
      </c>
      <c r="Z30" s="285">
        <v>0</v>
      </c>
      <c r="AA30" s="285">
        <v>0</v>
      </c>
      <c r="AB30" s="286">
        <v>0</v>
      </c>
    </row>
    <row r="31" spans="1:28" ht="15" customHeight="1">
      <c r="A31" s="269"/>
      <c r="B31" s="270" t="s">
        <v>173</v>
      </c>
      <c r="C31" s="271"/>
      <c r="D31" s="272"/>
      <c r="E31" s="287">
        <v>0</v>
      </c>
      <c r="F31" s="288">
        <v>0</v>
      </c>
      <c r="G31" s="288">
        <v>0</v>
      </c>
      <c r="H31" s="288">
        <v>0</v>
      </c>
      <c r="I31" s="288">
        <v>0</v>
      </c>
      <c r="J31" s="288">
        <v>0</v>
      </c>
      <c r="K31" s="288">
        <v>0</v>
      </c>
      <c r="L31" s="288">
        <v>0</v>
      </c>
      <c r="M31" s="288">
        <v>0</v>
      </c>
      <c r="N31" s="288">
        <v>0</v>
      </c>
      <c r="O31" s="288">
        <v>0</v>
      </c>
      <c r="P31" s="288">
        <v>0</v>
      </c>
      <c r="Q31" s="288">
        <v>0</v>
      </c>
      <c r="R31" s="288">
        <v>0</v>
      </c>
      <c r="S31" s="288">
        <v>0</v>
      </c>
      <c r="T31" s="288">
        <v>0.45</v>
      </c>
      <c r="U31" s="288">
        <v>0.73099999999999998</v>
      </c>
      <c r="V31" s="288">
        <v>0.73399999999999999</v>
      </c>
      <c r="W31" s="288">
        <v>0</v>
      </c>
      <c r="X31" s="288">
        <v>0</v>
      </c>
      <c r="Y31" s="288">
        <v>0</v>
      </c>
      <c r="Z31" s="288">
        <v>0</v>
      </c>
      <c r="AA31" s="288">
        <v>0</v>
      </c>
      <c r="AB31" s="289">
        <v>0</v>
      </c>
    </row>
    <row r="32" spans="1:28" ht="15" customHeight="1" thickBot="1">
      <c r="A32" s="273"/>
      <c r="B32" s="274" t="s">
        <v>174</v>
      </c>
      <c r="C32" s="275"/>
      <c r="D32" s="276"/>
      <c r="E32" s="290">
        <v>0</v>
      </c>
      <c r="F32" s="291">
        <v>0</v>
      </c>
      <c r="G32" s="291">
        <v>0</v>
      </c>
      <c r="H32" s="291">
        <v>0</v>
      </c>
      <c r="I32" s="291">
        <v>4</v>
      </c>
      <c r="J32" s="291">
        <v>31</v>
      </c>
      <c r="K32" s="291">
        <v>63</v>
      </c>
      <c r="L32" s="291">
        <v>93</v>
      </c>
      <c r="M32" s="291">
        <v>116</v>
      </c>
      <c r="N32" s="291">
        <v>130</v>
      </c>
      <c r="O32" s="291">
        <v>135</v>
      </c>
      <c r="P32" s="291">
        <v>136</v>
      </c>
      <c r="Q32" s="291">
        <v>134</v>
      </c>
      <c r="R32" s="291">
        <v>125</v>
      </c>
      <c r="S32" s="291">
        <v>107</v>
      </c>
      <c r="T32" s="291">
        <v>178</v>
      </c>
      <c r="U32" s="291">
        <v>165</v>
      </c>
      <c r="V32" s="291">
        <v>42</v>
      </c>
      <c r="W32" s="291">
        <v>0</v>
      </c>
      <c r="X32" s="291">
        <v>0</v>
      </c>
      <c r="Y32" s="291">
        <v>0</v>
      </c>
      <c r="Z32" s="291">
        <v>0</v>
      </c>
      <c r="AA32" s="291">
        <v>0</v>
      </c>
      <c r="AB32" s="292">
        <v>0</v>
      </c>
    </row>
    <row r="33" spans="1:28" ht="15" customHeight="1">
      <c r="A33" s="265" t="s">
        <v>75</v>
      </c>
      <c r="B33" s="266" t="s">
        <v>172</v>
      </c>
      <c r="C33" s="267"/>
      <c r="D33" s="268"/>
      <c r="E33" s="284">
        <v>0</v>
      </c>
      <c r="F33" s="285">
        <v>0</v>
      </c>
      <c r="G33" s="285">
        <v>0</v>
      </c>
      <c r="H33" s="285">
        <v>0</v>
      </c>
      <c r="I33" s="285">
        <v>0</v>
      </c>
      <c r="J33" s="285">
        <v>0</v>
      </c>
      <c r="K33" s="285">
        <v>0</v>
      </c>
      <c r="L33" s="285">
        <v>0</v>
      </c>
      <c r="M33" s="285">
        <v>0</v>
      </c>
      <c r="N33" s="285">
        <v>0</v>
      </c>
      <c r="O33" s="285">
        <v>0</v>
      </c>
      <c r="P33" s="285">
        <v>0</v>
      </c>
      <c r="Q33" s="285">
        <v>14</v>
      </c>
      <c r="R33" s="285">
        <v>117</v>
      </c>
      <c r="S33" s="285">
        <v>201</v>
      </c>
      <c r="T33" s="285">
        <v>219</v>
      </c>
      <c r="U33" s="285">
        <v>182</v>
      </c>
      <c r="V33" s="285">
        <v>52</v>
      </c>
      <c r="W33" s="285">
        <v>0</v>
      </c>
      <c r="X33" s="285">
        <v>0</v>
      </c>
      <c r="Y33" s="285">
        <v>0</v>
      </c>
      <c r="Z33" s="285">
        <v>0</v>
      </c>
      <c r="AA33" s="285">
        <v>0</v>
      </c>
      <c r="AB33" s="286">
        <v>0</v>
      </c>
    </row>
    <row r="34" spans="1:28" ht="15" customHeight="1">
      <c r="A34" s="269"/>
      <c r="B34" s="270" t="s">
        <v>193</v>
      </c>
      <c r="C34" s="271"/>
      <c r="D34" s="272"/>
      <c r="E34" s="287">
        <v>0</v>
      </c>
      <c r="F34" s="288">
        <v>0</v>
      </c>
      <c r="G34" s="288">
        <v>0</v>
      </c>
      <c r="H34" s="288">
        <v>0</v>
      </c>
      <c r="I34" s="288">
        <v>0</v>
      </c>
      <c r="J34" s="288">
        <v>0</v>
      </c>
      <c r="K34" s="288">
        <v>0</v>
      </c>
      <c r="L34" s="288">
        <v>0</v>
      </c>
      <c r="M34" s="288">
        <v>0</v>
      </c>
      <c r="N34" s="288">
        <v>0</v>
      </c>
      <c r="O34" s="288">
        <v>0</v>
      </c>
      <c r="P34" s="288">
        <v>0</v>
      </c>
      <c r="Q34" s="288">
        <v>0</v>
      </c>
      <c r="R34" s="288">
        <v>0</v>
      </c>
      <c r="S34" s="288">
        <v>0</v>
      </c>
      <c r="T34" s="288">
        <v>0.499</v>
      </c>
      <c r="U34" s="288">
        <v>0.92400000000000004</v>
      </c>
      <c r="V34" s="288">
        <v>1</v>
      </c>
      <c r="W34" s="288">
        <v>0</v>
      </c>
      <c r="X34" s="288">
        <v>0</v>
      </c>
      <c r="Y34" s="288">
        <v>0</v>
      </c>
      <c r="Z34" s="288">
        <v>0</v>
      </c>
      <c r="AA34" s="288">
        <v>0</v>
      </c>
      <c r="AB34" s="289">
        <v>0</v>
      </c>
    </row>
    <row r="35" spans="1:28" ht="15" customHeight="1" thickBot="1">
      <c r="A35" s="273"/>
      <c r="B35" s="274" t="s">
        <v>174</v>
      </c>
      <c r="C35" s="275"/>
      <c r="D35" s="276"/>
      <c r="E35" s="290">
        <v>0</v>
      </c>
      <c r="F35" s="291">
        <v>0</v>
      </c>
      <c r="G35" s="291">
        <v>0</v>
      </c>
      <c r="H35" s="291">
        <v>0</v>
      </c>
      <c r="I35" s="291">
        <v>4</v>
      </c>
      <c r="J35" s="291">
        <v>31</v>
      </c>
      <c r="K35" s="291">
        <v>63</v>
      </c>
      <c r="L35" s="291">
        <v>93</v>
      </c>
      <c r="M35" s="291">
        <v>116</v>
      </c>
      <c r="N35" s="291">
        <v>130</v>
      </c>
      <c r="O35" s="291">
        <v>135</v>
      </c>
      <c r="P35" s="291">
        <v>136</v>
      </c>
      <c r="Q35" s="291">
        <v>134</v>
      </c>
      <c r="R35" s="291">
        <v>125</v>
      </c>
      <c r="S35" s="291">
        <v>107</v>
      </c>
      <c r="T35" s="291">
        <v>189</v>
      </c>
      <c r="U35" s="291">
        <v>218</v>
      </c>
      <c r="V35" s="291">
        <v>66</v>
      </c>
      <c r="W35" s="291">
        <v>0</v>
      </c>
      <c r="X35" s="291">
        <v>0</v>
      </c>
      <c r="Y35" s="291">
        <v>0</v>
      </c>
      <c r="Z35" s="291">
        <v>0</v>
      </c>
      <c r="AA35" s="291">
        <v>0</v>
      </c>
      <c r="AB35" s="292">
        <v>0</v>
      </c>
    </row>
    <row r="36" spans="1:28" ht="15" customHeight="1">
      <c r="A36" s="277" t="s">
        <v>76</v>
      </c>
      <c r="B36" s="266" t="s">
        <v>172</v>
      </c>
      <c r="C36" s="267"/>
      <c r="D36" s="268"/>
      <c r="E36" s="284">
        <v>0</v>
      </c>
      <c r="F36" s="285">
        <v>0</v>
      </c>
      <c r="G36" s="285">
        <v>0</v>
      </c>
      <c r="H36" s="285">
        <v>0</v>
      </c>
      <c r="I36" s="285">
        <v>0</v>
      </c>
      <c r="J36" s="285">
        <v>0</v>
      </c>
      <c r="K36" s="285">
        <v>0</v>
      </c>
      <c r="L36" s="285">
        <v>0</v>
      </c>
      <c r="M36" s="285">
        <v>0</v>
      </c>
      <c r="N36" s="285">
        <v>0</v>
      </c>
      <c r="O36" s="285">
        <v>0</v>
      </c>
      <c r="P36" s="285">
        <v>0</v>
      </c>
      <c r="Q36" s="285">
        <v>0</v>
      </c>
      <c r="R36" s="285">
        <v>0</v>
      </c>
      <c r="S36" s="285">
        <v>0</v>
      </c>
      <c r="T36" s="285">
        <v>26</v>
      </c>
      <c r="U36" s="285">
        <v>62</v>
      </c>
      <c r="V36" s="285">
        <v>28</v>
      </c>
      <c r="W36" s="285">
        <v>0</v>
      </c>
      <c r="X36" s="285">
        <v>0</v>
      </c>
      <c r="Y36" s="285">
        <v>0</v>
      </c>
      <c r="Z36" s="285">
        <v>0</v>
      </c>
      <c r="AA36" s="285">
        <v>0</v>
      </c>
      <c r="AB36" s="286">
        <v>0</v>
      </c>
    </row>
    <row r="37" spans="1:28" ht="15" customHeight="1">
      <c r="A37" s="278"/>
      <c r="B37" s="270" t="s">
        <v>173</v>
      </c>
      <c r="C37" s="271"/>
      <c r="D37" s="272"/>
      <c r="E37" s="287">
        <v>0</v>
      </c>
      <c r="F37" s="288">
        <v>0</v>
      </c>
      <c r="G37" s="288">
        <v>0</v>
      </c>
      <c r="H37" s="288">
        <v>0</v>
      </c>
      <c r="I37" s="288">
        <v>0</v>
      </c>
      <c r="J37" s="288">
        <v>0</v>
      </c>
      <c r="K37" s="288">
        <v>0</v>
      </c>
      <c r="L37" s="288">
        <v>0</v>
      </c>
      <c r="M37" s="288">
        <v>0</v>
      </c>
      <c r="N37" s="288">
        <v>0</v>
      </c>
      <c r="O37" s="288">
        <v>0</v>
      </c>
      <c r="P37" s="288">
        <v>0</v>
      </c>
      <c r="Q37" s="288">
        <v>0</v>
      </c>
      <c r="R37" s="288">
        <v>0</v>
      </c>
      <c r="S37" s="288">
        <v>0</v>
      </c>
      <c r="T37" s="288">
        <v>0</v>
      </c>
      <c r="U37" s="288">
        <v>0.182</v>
      </c>
      <c r="V37" s="288">
        <v>0.59299999999999997</v>
      </c>
      <c r="W37" s="288">
        <v>0</v>
      </c>
      <c r="X37" s="288">
        <v>0</v>
      </c>
      <c r="Y37" s="288">
        <v>0</v>
      </c>
      <c r="Z37" s="288">
        <v>0</v>
      </c>
      <c r="AA37" s="288">
        <v>0</v>
      </c>
      <c r="AB37" s="289">
        <v>0</v>
      </c>
    </row>
    <row r="38" spans="1:28" ht="15" customHeight="1" thickBot="1">
      <c r="A38" s="279"/>
      <c r="B38" s="274" t="s">
        <v>174</v>
      </c>
      <c r="C38" s="275"/>
      <c r="D38" s="276"/>
      <c r="E38" s="290">
        <v>0</v>
      </c>
      <c r="F38" s="291">
        <v>0</v>
      </c>
      <c r="G38" s="291">
        <v>0</v>
      </c>
      <c r="H38" s="291">
        <v>0</v>
      </c>
      <c r="I38" s="291">
        <v>4</v>
      </c>
      <c r="J38" s="291">
        <v>31</v>
      </c>
      <c r="K38" s="291">
        <v>63</v>
      </c>
      <c r="L38" s="291">
        <v>93</v>
      </c>
      <c r="M38" s="291">
        <v>116</v>
      </c>
      <c r="N38" s="291">
        <v>130</v>
      </c>
      <c r="O38" s="291">
        <v>135</v>
      </c>
      <c r="P38" s="291">
        <v>136</v>
      </c>
      <c r="Q38" s="291">
        <v>134</v>
      </c>
      <c r="R38" s="291">
        <v>125</v>
      </c>
      <c r="S38" s="291">
        <v>107</v>
      </c>
      <c r="T38" s="291">
        <v>80</v>
      </c>
      <c r="U38" s="291">
        <v>61</v>
      </c>
      <c r="V38" s="291">
        <v>30</v>
      </c>
      <c r="W38" s="291">
        <v>0</v>
      </c>
      <c r="X38" s="291">
        <v>0</v>
      </c>
      <c r="Y38" s="291">
        <v>0</v>
      </c>
      <c r="Z38" s="291">
        <v>0</v>
      </c>
      <c r="AA38" s="291">
        <v>0</v>
      </c>
      <c r="AB38" s="292">
        <v>0</v>
      </c>
    </row>
    <row r="39" spans="1:28" ht="15" customHeight="1">
      <c r="A39" s="280" t="s">
        <v>18</v>
      </c>
      <c r="AB39" s="146"/>
    </row>
    <row r="40" spans="1:28" ht="15" customHeight="1">
      <c r="A40" s="246"/>
      <c r="B40" s="247"/>
      <c r="C40" s="248"/>
      <c r="D40" s="249"/>
      <c r="E40" s="148">
        <v>1</v>
      </c>
      <c r="F40" s="149">
        <v>2</v>
      </c>
      <c r="G40" s="149">
        <v>3</v>
      </c>
      <c r="H40" s="149">
        <v>4</v>
      </c>
      <c r="I40" s="149">
        <v>5</v>
      </c>
      <c r="J40" s="149">
        <v>6</v>
      </c>
      <c r="K40" s="149">
        <v>7</v>
      </c>
      <c r="L40" s="149">
        <v>8</v>
      </c>
      <c r="M40" s="149">
        <v>9</v>
      </c>
      <c r="N40" s="149">
        <v>10</v>
      </c>
      <c r="O40" s="149">
        <v>11</v>
      </c>
      <c r="P40" s="149">
        <v>12</v>
      </c>
      <c r="Q40" s="149">
        <v>13</v>
      </c>
      <c r="R40" s="149">
        <v>14</v>
      </c>
      <c r="S40" s="149">
        <v>15</v>
      </c>
      <c r="T40" s="149">
        <v>16</v>
      </c>
      <c r="U40" s="149">
        <v>17</v>
      </c>
      <c r="V40" s="149">
        <v>18</v>
      </c>
      <c r="W40" s="151">
        <v>19</v>
      </c>
      <c r="X40" s="151">
        <v>20</v>
      </c>
      <c r="Y40" s="151">
        <v>21</v>
      </c>
      <c r="Z40" s="151">
        <v>22</v>
      </c>
      <c r="AA40" s="151">
        <v>23</v>
      </c>
      <c r="AB40" s="152">
        <v>24</v>
      </c>
    </row>
    <row r="41" spans="1:28" ht="15" customHeight="1" thickBot="1">
      <c r="A41" s="250" t="s">
        <v>180</v>
      </c>
      <c r="B41" s="251" t="s">
        <v>168</v>
      </c>
      <c r="C41" s="252"/>
      <c r="D41" s="253"/>
      <c r="E41" s="255">
        <v>0</v>
      </c>
      <c r="F41" s="255">
        <v>0</v>
      </c>
      <c r="G41" s="255">
        <v>0</v>
      </c>
      <c r="H41" s="255">
        <v>0</v>
      </c>
      <c r="I41" s="255">
        <v>9</v>
      </c>
      <c r="J41" s="255">
        <v>56</v>
      </c>
      <c r="K41" s="255">
        <v>96</v>
      </c>
      <c r="L41" s="255">
        <v>134</v>
      </c>
      <c r="M41" s="255">
        <v>174</v>
      </c>
      <c r="N41" s="255">
        <v>205</v>
      </c>
      <c r="O41" s="255">
        <v>225</v>
      </c>
      <c r="P41" s="255">
        <v>227</v>
      </c>
      <c r="Q41" s="255">
        <v>218</v>
      </c>
      <c r="R41" s="255">
        <v>194</v>
      </c>
      <c r="S41" s="255">
        <v>160</v>
      </c>
      <c r="T41" s="255">
        <v>122</v>
      </c>
      <c r="U41" s="255">
        <v>80</v>
      </c>
      <c r="V41" s="255">
        <v>33</v>
      </c>
      <c r="W41" s="255">
        <v>2</v>
      </c>
      <c r="X41" s="255">
        <v>0</v>
      </c>
      <c r="Y41" s="255">
        <v>0</v>
      </c>
      <c r="Z41" s="255">
        <v>0</v>
      </c>
      <c r="AA41" s="255">
        <v>0</v>
      </c>
      <c r="AB41" s="256">
        <v>0</v>
      </c>
    </row>
    <row r="42" spans="1:28" ht="15" customHeight="1" thickBot="1">
      <c r="A42" s="257" t="s">
        <v>169</v>
      </c>
      <c r="B42" s="258" t="s">
        <v>170</v>
      </c>
      <c r="C42" s="259"/>
      <c r="D42" s="260"/>
      <c r="E42" s="262">
        <v>0</v>
      </c>
      <c r="F42" s="262">
        <v>0</v>
      </c>
      <c r="G42" s="262">
        <v>0</v>
      </c>
      <c r="H42" s="262">
        <v>0</v>
      </c>
      <c r="I42" s="262">
        <v>5</v>
      </c>
      <c r="J42" s="262">
        <v>35</v>
      </c>
      <c r="K42" s="262">
        <v>62</v>
      </c>
      <c r="L42" s="262">
        <v>86</v>
      </c>
      <c r="M42" s="262">
        <v>103</v>
      </c>
      <c r="N42" s="262">
        <v>110</v>
      </c>
      <c r="O42" s="262">
        <v>111</v>
      </c>
      <c r="P42" s="262">
        <v>110</v>
      </c>
      <c r="Q42" s="262">
        <v>111</v>
      </c>
      <c r="R42" s="262">
        <v>108</v>
      </c>
      <c r="S42" s="262">
        <v>98</v>
      </c>
      <c r="T42" s="262">
        <v>76</v>
      </c>
      <c r="U42" s="262">
        <v>51</v>
      </c>
      <c r="V42" s="262">
        <v>21</v>
      </c>
      <c r="W42" s="262">
        <v>1</v>
      </c>
      <c r="X42" s="262">
        <v>0</v>
      </c>
      <c r="Y42" s="262">
        <v>0</v>
      </c>
      <c r="Z42" s="262">
        <v>0</v>
      </c>
      <c r="AA42" s="262">
        <v>0</v>
      </c>
      <c r="AB42" s="263">
        <v>0</v>
      </c>
    </row>
    <row r="43" spans="1:28" ht="15" customHeight="1" thickBot="1">
      <c r="A43" s="264" t="s">
        <v>68</v>
      </c>
      <c r="B43" s="258" t="s">
        <v>171</v>
      </c>
      <c r="C43" s="259"/>
      <c r="D43" s="260"/>
      <c r="E43" s="262">
        <v>0</v>
      </c>
      <c r="F43" s="262">
        <v>0</v>
      </c>
      <c r="G43" s="262">
        <v>0</v>
      </c>
      <c r="H43" s="262">
        <v>0</v>
      </c>
      <c r="I43" s="262">
        <v>9</v>
      </c>
      <c r="J43" s="262">
        <v>96</v>
      </c>
      <c r="K43" s="262">
        <v>250</v>
      </c>
      <c r="L43" s="262">
        <v>409</v>
      </c>
      <c r="M43" s="262">
        <v>545</v>
      </c>
      <c r="N43" s="262">
        <v>647</v>
      </c>
      <c r="O43" s="262">
        <v>706</v>
      </c>
      <c r="P43" s="262">
        <v>721</v>
      </c>
      <c r="Q43" s="262">
        <v>687</v>
      </c>
      <c r="R43" s="262">
        <v>606</v>
      </c>
      <c r="S43" s="262">
        <v>487</v>
      </c>
      <c r="T43" s="262">
        <v>336</v>
      </c>
      <c r="U43" s="262">
        <v>179</v>
      </c>
      <c r="V43" s="262">
        <v>43</v>
      </c>
      <c r="W43" s="262">
        <v>2</v>
      </c>
      <c r="X43" s="262">
        <v>0</v>
      </c>
      <c r="Y43" s="262">
        <v>0</v>
      </c>
      <c r="Z43" s="262">
        <v>0</v>
      </c>
      <c r="AA43" s="262">
        <v>0</v>
      </c>
      <c r="AB43" s="263">
        <v>0</v>
      </c>
    </row>
    <row r="44" spans="1:28" ht="15" customHeight="1">
      <c r="A44" s="265" t="s">
        <v>69</v>
      </c>
      <c r="B44" s="266" t="s">
        <v>172</v>
      </c>
      <c r="C44" s="267"/>
      <c r="D44" s="268"/>
      <c r="E44" s="285">
        <v>0</v>
      </c>
      <c r="F44" s="285">
        <v>0</v>
      </c>
      <c r="G44" s="285">
        <v>0</v>
      </c>
      <c r="H44" s="285">
        <v>0</v>
      </c>
      <c r="I44" s="285">
        <v>49</v>
      </c>
      <c r="J44" s="285">
        <v>198</v>
      </c>
      <c r="K44" s="285">
        <v>191</v>
      </c>
      <c r="L44" s="285">
        <v>121</v>
      </c>
      <c r="M44" s="285">
        <v>30</v>
      </c>
      <c r="N44" s="285">
        <v>0</v>
      </c>
      <c r="O44" s="285">
        <v>0</v>
      </c>
      <c r="P44" s="285">
        <v>0</v>
      </c>
      <c r="Q44" s="285">
        <v>0</v>
      </c>
      <c r="R44" s="285">
        <v>0</v>
      </c>
      <c r="S44" s="285">
        <v>0</v>
      </c>
      <c r="T44" s="285">
        <v>0</v>
      </c>
      <c r="U44" s="285">
        <v>0</v>
      </c>
      <c r="V44" s="285">
        <v>0</v>
      </c>
      <c r="W44" s="285">
        <v>0</v>
      </c>
      <c r="X44" s="285">
        <v>0</v>
      </c>
      <c r="Y44" s="285">
        <v>0</v>
      </c>
      <c r="Z44" s="285">
        <v>0</v>
      </c>
      <c r="AA44" s="285">
        <v>0</v>
      </c>
      <c r="AB44" s="286">
        <v>0</v>
      </c>
    </row>
    <row r="45" spans="1:28" ht="15" customHeight="1">
      <c r="A45" s="269"/>
      <c r="B45" s="270" t="s">
        <v>193</v>
      </c>
      <c r="C45" s="271"/>
      <c r="D45" s="272"/>
      <c r="E45" s="288">
        <v>0</v>
      </c>
      <c r="F45" s="288">
        <v>0</v>
      </c>
      <c r="G45" s="288">
        <v>0</v>
      </c>
      <c r="H45" s="288">
        <v>0</v>
      </c>
      <c r="I45" s="288">
        <v>0</v>
      </c>
      <c r="J45" s="288">
        <v>0</v>
      </c>
      <c r="K45" s="288">
        <v>0</v>
      </c>
      <c r="L45" s="288">
        <v>0</v>
      </c>
      <c r="M45" s="288">
        <v>0</v>
      </c>
      <c r="N45" s="288">
        <v>0</v>
      </c>
      <c r="O45" s="288">
        <v>0</v>
      </c>
      <c r="P45" s="288">
        <v>0</v>
      </c>
      <c r="Q45" s="288">
        <v>0</v>
      </c>
      <c r="R45" s="288">
        <v>0</v>
      </c>
      <c r="S45" s="288">
        <v>0</v>
      </c>
      <c r="T45" s="288">
        <v>0</v>
      </c>
      <c r="U45" s="288">
        <v>0</v>
      </c>
      <c r="V45" s="288">
        <v>0</v>
      </c>
      <c r="W45" s="288">
        <v>0</v>
      </c>
      <c r="X45" s="288">
        <v>0</v>
      </c>
      <c r="Y45" s="288">
        <v>0</v>
      </c>
      <c r="Z45" s="288">
        <v>0</v>
      </c>
      <c r="AA45" s="288">
        <v>0</v>
      </c>
      <c r="AB45" s="289">
        <v>0</v>
      </c>
    </row>
    <row r="46" spans="1:28" ht="15" customHeight="1" thickBot="1">
      <c r="A46" s="273"/>
      <c r="B46" s="274" t="s">
        <v>174</v>
      </c>
      <c r="C46" s="275"/>
      <c r="D46" s="276"/>
      <c r="E46" s="291">
        <v>0</v>
      </c>
      <c r="F46" s="291">
        <v>0</v>
      </c>
      <c r="G46" s="291">
        <v>0</v>
      </c>
      <c r="H46" s="291">
        <v>0</v>
      </c>
      <c r="I46" s="291">
        <v>6</v>
      </c>
      <c r="J46" s="291">
        <v>35</v>
      </c>
      <c r="K46" s="291">
        <v>62</v>
      </c>
      <c r="L46" s="291">
        <v>87</v>
      </c>
      <c r="M46" s="291">
        <v>103</v>
      </c>
      <c r="N46" s="291">
        <v>110</v>
      </c>
      <c r="O46" s="291">
        <v>111</v>
      </c>
      <c r="P46" s="291">
        <v>110</v>
      </c>
      <c r="Q46" s="291">
        <v>112</v>
      </c>
      <c r="R46" s="291">
        <v>109</v>
      </c>
      <c r="S46" s="291">
        <v>98</v>
      </c>
      <c r="T46" s="291">
        <v>76</v>
      </c>
      <c r="U46" s="291">
        <v>51</v>
      </c>
      <c r="V46" s="291">
        <v>21</v>
      </c>
      <c r="W46" s="291">
        <v>2</v>
      </c>
      <c r="X46" s="291">
        <v>0</v>
      </c>
      <c r="Y46" s="291">
        <v>0</v>
      </c>
      <c r="Z46" s="291">
        <v>0</v>
      </c>
      <c r="AA46" s="291">
        <v>0</v>
      </c>
      <c r="AB46" s="292">
        <v>0</v>
      </c>
    </row>
    <row r="47" spans="1:28" ht="15" customHeight="1">
      <c r="A47" s="265" t="s">
        <v>70</v>
      </c>
      <c r="B47" s="266" t="s">
        <v>172</v>
      </c>
      <c r="C47" s="267"/>
      <c r="D47" s="268"/>
      <c r="E47" s="285">
        <v>0</v>
      </c>
      <c r="F47" s="285">
        <v>0</v>
      </c>
      <c r="G47" s="285">
        <v>0</v>
      </c>
      <c r="H47" s="285">
        <v>0</v>
      </c>
      <c r="I47" s="285">
        <v>74</v>
      </c>
      <c r="J47" s="285">
        <v>361</v>
      </c>
      <c r="K47" s="285">
        <v>443</v>
      </c>
      <c r="L47" s="285">
        <v>415</v>
      </c>
      <c r="M47" s="285">
        <v>311</v>
      </c>
      <c r="N47" s="285">
        <v>164</v>
      </c>
      <c r="O47" s="285">
        <v>18</v>
      </c>
      <c r="P47" s="285">
        <v>0</v>
      </c>
      <c r="Q47" s="285">
        <v>0</v>
      </c>
      <c r="R47" s="285">
        <v>0</v>
      </c>
      <c r="S47" s="285">
        <v>0</v>
      </c>
      <c r="T47" s="285">
        <v>0</v>
      </c>
      <c r="U47" s="285">
        <v>0</v>
      </c>
      <c r="V47" s="285">
        <v>0</v>
      </c>
      <c r="W47" s="285">
        <v>0</v>
      </c>
      <c r="X47" s="285">
        <v>0</v>
      </c>
      <c r="Y47" s="285">
        <v>0</v>
      </c>
      <c r="Z47" s="285">
        <v>0</v>
      </c>
      <c r="AA47" s="285">
        <v>0</v>
      </c>
      <c r="AB47" s="286">
        <v>0</v>
      </c>
    </row>
    <row r="48" spans="1:28" ht="15" customHeight="1">
      <c r="A48" s="269"/>
      <c r="B48" s="270" t="s">
        <v>173</v>
      </c>
      <c r="C48" s="271"/>
      <c r="D48" s="272"/>
      <c r="E48" s="288">
        <v>0</v>
      </c>
      <c r="F48" s="288">
        <v>0</v>
      </c>
      <c r="G48" s="288">
        <v>0</v>
      </c>
      <c r="H48" s="288">
        <v>0</v>
      </c>
      <c r="I48" s="288">
        <v>1</v>
      </c>
      <c r="J48" s="288">
        <v>1</v>
      </c>
      <c r="K48" s="288">
        <v>0.73299999999999998</v>
      </c>
      <c r="L48" s="288">
        <v>0.193</v>
      </c>
      <c r="M48" s="288">
        <v>0</v>
      </c>
      <c r="N48" s="288">
        <v>0</v>
      </c>
      <c r="O48" s="288">
        <v>0</v>
      </c>
      <c r="P48" s="288">
        <v>0</v>
      </c>
      <c r="Q48" s="288">
        <v>0</v>
      </c>
      <c r="R48" s="288">
        <v>0</v>
      </c>
      <c r="S48" s="288">
        <v>0</v>
      </c>
      <c r="T48" s="288">
        <v>0</v>
      </c>
      <c r="U48" s="288">
        <v>0</v>
      </c>
      <c r="V48" s="288">
        <v>0</v>
      </c>
      <c r="W48" s="288">
        <v>0</v>
      </c>
      <c r="X48" s="288">
        <v>0</v>
      </c>
      <c r="Y48" s="288">
        <v>0</v>
      </c>
      <c r="Z48" s="288">
        <v>0</v>
      </c>
      <c r="AA48" s="288">
        <v>0</v>
      </c>
      <c r="AB48" s="289">
        <v>0</v>
      </c>
    </row>
    <row r="49" spans="1:28" ht="15" customHeight="1" thickBot="1">
      <c r="A49" s="273"/>
      <c r="B49" s="274" t="s">
        <v>174</v>
      </c>
      <c r="C49" s="275"/>
      <c r="D49" s="276"/>
      <c r="E49" s="291">
        <v>0</v>
      </c>
      <c r="F49" s="291">
        <v>0</v>
      </c>
      <c r="G49" s="291">
        <v>0</v>
      </c>
      <c r="H49" s="291">
        <v>0</v>
      </c>
      <c r="I49" s="291">
        <v>80</v>
      </c>
      <c r="J49" s="291">
        <v>396</v>
      </c>
      <c r="K49" s="291">
        <v>387</v>
      </c>
      <c r="L49" s="291">
        <v>167</v>
      </c>
      <c r="M49" s="291">
        <v>103</v>
      </c>
      <c r="N49" s="291">
        <v>110</v>
      </c>
      <c r="O49" s="291">
        <v>111</v>
      </c>
      <c r="P49" s="291">
        <v>110</v>
      </c>
      <c r="Q49" s="291">
        <v>112</v>
      </c>
      <c r="R49" s="291">
        <v>109</v>
      </c>
      <c r="S49" s="291">
        <v>98</v>
      </c>
      <c r="T49" s="291">
        <v>76</v>
      </c>
      <c r="U49" s="291">
        <v>51</v>
      </c>
      <c r="V49" s="291">
        <v>21</v>
      </c>
      <c r="W49" s="291">
        <v>2</v>
      </c>
      <c r="X49" s="291">
        <v>0</v>
      </c>
      <c r="Y49" s="291">
        <v>0</v>
      </c>
      <c r="Z49" s="291">
        <v>0</v>
      </c>
      <c r="AA49" s="291">
        <v>0</v>
      </c>
      <c r="AB49" s="292">
        <v>0</v>
      </c>
    </row>
    <row r="50" spans="1:28" ht="15" customHeight="1">
      <c r="A50" s="265" t="s">
        <v>71</v>
      </c>
      <c r="B50" s="266" t="s">
        <v>172</v>
      </c>
      <c r="C50" s="267"/>
      <c r="D50" s="268"/>
      <c r="E50" s="285">
        <v>0</v>
      </c>
      <c r="F50" s="285">
        <v>0</v>
      </c>
      <c r="G50" s="285">
        <v>0</v>
      </c>
      <c r="H50" s="285">
        <v>0</v>
      </c>
      <c r="I50" s="285">
        <v>50</v>
      </c>
      <c r="J50" s="285">
        <v>290</v>
      </c>
      <c r="K50" s="285">
        <v>409</v>
      </c>
      <c r="L50" s="285">
        <v>440</v>
      </c>
      <c r="M50" s="285">
        <v>395</v>
      </c>
      <c r="N50" s="285">
        <v>296</v>
      </c>
      <c r="O50" s="285">
        <v>152</v>
      </c>
      <c r="P50" s="285">
        <v>17</v>
      </c>
      <c r="Q50" s="285">
        <v>0</v>
      </c>
      <c r="R50" s="285">
        <v>0</v>
      </c>
      <c r="S50" s="285">
        <v>0</v>
      </c>
      <c r="T50" s="285">
        <v>0</v>
      </c>
      <c r="U50" s="285">
        <v>0</v>
      </c>
      <c r="V50" s="285">
        <v>0</v>
      </c>
      <c r="W50" s="285">
        <v>-1</v>
      </c>
      <c r="X50" s="285">
        <v>0</v>
      </c>
      <c r="Y50" s="285">
        <v>0</v>
      </c>
      <c r="Z50" s="285">
        <v>0</v>
      </c>
      <c r="AA50" s="285">
        <v>0</v>
      </c>
      <c r="AB50" s="286">
        <v>0</v>
      </c>
    </row>
    <row r="51" spans="1:28" ht="15" customHeight="1">
      <c r="A51" s="269"/>
      <c r="B51" s="270" t="s">
        <v>193</v>
      </c>
      <c r="C51" s="271"/>
      <c r="D51" s="272"/>
      <c r="E51" s="288">
        <v>0</v>
      </c>
      <c r="F51" s="288">
        <v>0</v>
      </c>
      <c r="G51" s="288">
        <v>0</v>
      </c>
      <c r="H51" s="288">
        <v>0</v>
      </c>
      <c r="I51" s="288">
        <v>0.74</v>
      </c>
      <c r="J51" s="288">
        <v>0.88100000000000001</v>
      </c>
      <c r="K51" s="288">
        <v>0.71199999999999997</v>
      </c>
      <c r="L51" s="288">
        <v>0.308</v>
      </c>
      <c r="M51" s="288">
        <v>0</v>
      </c>
      <c r="N51" s="288">
        <v>0</v>
      </c>
      <c r="O51" s="288">
        <v>0</v>
      </c>
      <c r="P51" s="288">
        <v>0</v>
      </c>
      <c r="Q51" s="288">
        <v>0</v>
      </c>
      <c r="R51" s="288">
        <v>0</v>
      </c>
      <c r="S51" s="288">
        <v>0</v>
      </c>
      <c r="T51" s="288">
        <v>0</v>
      </c>
      <c r="U51" s="288">
        <v>0</v>
      </c>
      <c r="V51" s="288">
        <v>0</v>
      </c>
      <c r="W51" s="288">
        <v>0</v>
      </c>
      <c r="X51" s="288">
        <v>0</v>
      </c>
      <c r="Y51" s="288">
        <v>0</v>
      </c>
      <c r="Z51" s="288">
        <v>0</v>
      </c>
      <c r="AA51" s="288">
        <v>0</v>
      </c>
      <c r="AB51" s="289">
        <v>0</v>
      </c>
    </row>
    <row r="52" spans="1:28" ht="15" customHeight="1" thickBot="1">
      <c r="A52" s="273"/>
      <c r="B52" s="274" t="s">
        <v>174</v>
      </c>
      <c r="C52" s="275"/>
      <c r="D52" s="276"/>
      <c r="E52" s="291">
        <v>0</v>
      </c>
      <c r="F52" s="291">
        <v>0</v>
      </c>
      <c r="G52" s="291">
        <v>0</v>
      </c>
      <c r="H52" s="291">
        <v>0</v>
      </c>
      <c r="I52" s="291">
        <v>43</v>
      </c>
      <c r="J52" s="291">
        <v>290</v>
      </c>
      <c r="K52" s="291">
        <v>353</v>
      </c>
      <c r="L52" s="291">
        <v>223</v>
      </c>
      <c r="M52" s="291">
        <v>103</v>
      </c>
      <c r="N52" s="291">
        <v>110</v>
      </c>
      <c r="O52" s="291">
        <v>111</v>
      </c>
      <c r="P52" s="291">
        <v>110</v>
      </c>
      <c r="Q52" s="291">
        <v>112</v>
      </c>
      <c r="R52" s="291">
        <v>109</v>
      </c>
      <c r="S52" s="291">
        <v>98</v>
      </c>
      <c r="T52" s="291">
        <v>76</v>
      </c>
      <c r="U52" s="291">
        <v>51</v>
      </c>
      <c r="V52" s="291">
        <v>21</v>
      </c>
      <c r="W52" s="291">
        <v>2</v>
      </c>
      <c r="X52" s="291">
        <v>0</v>
      </c>
      <c r="Y52" s="291">
        <v>0</v>
      </c>
      <c r="Z52" s="291">
        <v>0</v>
      </c>
      <c r="AA52" s="291">
        <v>0</v>
      </c>
      <c r="AB52" s="292">
        <v>0</v>
      </c>
    </row>
    <row r="53" spans="1:28" ht="15" customHeight="1">
      <c r="A53" s="265" t="s">
        <v>72</v>
      </c>
      <c r="B53" s="266" t="s">
        <v>172</v>
      </c>
      <c r="C53" s="267"/>
      <c r="D53" s="268"/>
      <c r="E53" s="285">
        <v>0</v>
      </c>
      <c r="F53" s="285">
        <v>0</v>
      </c>
      <c r="G53" s="285">
        <v>0</v>
      </c>
      <c r="H53" s="285">
        <v>0</v>
      </c>
      <c r="I53" s="285">
        <v>0</v>
      </c>
      <c r="J53" s="285">
        <v>0</v>
      </c>
      <c r="K53" s="285">
        <v>0</v>
      </c>
      <c r="L53" s="285">
        <v>84</v>
      </c>
      <c r="M53" s="285">
        <v>156</v>
      </c>
      <c r="N53" s="285">
        <v>189</v>
      </c>
      <c r="O53" s="285">
        <v>177</v>
      </c>
      <c r="P53" s="285">
        <v>127</v>
      </c>
      <c r="Q53" s="285">
        <v>54</v>
      </c>
      <c r="R53" s="285">
        <v>0</v>
      </c>
      <c r="S53" s="285">
        <v>0</v>
      </c>
      <c r="T53" s="285">
        <v>0</v>
      </c>
      <c r="U53" s="285">
        <v>0</v>
      </c>
      <c r="V53" s="285">
        <v>0</v>
      </c>
      <c r="W53" s="285">
        <v>-2</v>
      </c>
      <c r="X53" s="285">
        <v>0</v>
      </c>
      <c r="Y53" s="285">
        <v>0</v>
      </c>
      <c r="Z53" s="285">
        <v>0</v>
      </c>
      <c r="AA53" s="285">
        <v>0</v>
      </c>
      <c r="AB53" s="286">
        <v>0</v>
      </c>
    </row>
    <row r="54" spans="1:28" ht="15" customHeight="1">
      <c r="A54" s="269"/>
      <c r="B54" s="270" t="s">
        <v>173</v>
      </c>
      <c r="C54" s="271"/>
      <c r="D54" s="272"/>
      <c r="E54" s="288">
        <v>0</v>
      </c>
      <c r="F54" s="288">
        <v>0</v>
      </c>
      <c r="G54" s="288">
        <v>0</v>
      </c>
      <c r="H54" s="288">
        <v>0</v>
      </c>
      <c r="I54" s="288">
        <v>0</v>
      </c>
      <c r="J54" s="288">
        <v>0</v>
      </c>
      <c r="K54" s="288">
        <v>0</v>
      </c>
      <c r="L54" s="288">
        <v>0</v>
      </c>
      <c r="M54" s="288">
        <v>0</v>
      </c>
      <c r="N54" s="288">
        <v>0</v>
      </c>
      <c r="O54" s="288">
        <v>0</v>
      </c>
      <c r="P54" s="288">
        <v>0</v>
      </c>
      <c r="Q54" s="288">
        <v>0</v>
      </c>
      <c r="R54" s="288">
        <v>0</v>
      </c>
      <c r="S54" s="288">
        <v>0</v>
      </c>
      <c r="T54" s="288">
        <v>0</v>
      </c>
      <c r="U54" s="288">
        <v>0</v>
      </c>
      <c r="V54" s="288">
        <v>0</v>
      </c>
      <c r="W54" s="288">
        <v>0</v>
      </c>
      <c r="X54" s="288">
        <v>0</v>
      </c>
      <c r="Y54" s="288">
        <v>0</v>
      </c>
      <c r="Z54" s="288">
        <v>0</v>
      </c>
      <c r="AA54" s="288">
        <v>0</v>
      </c>
      <c r="AB54" s="289">
        <v>0</v>
      </c>
    </row>
    <row r="55" spans="1:28" ht="15" customHeight="1" thickBot="1">
      <c r="A55" s="273"/>
      <c r="B55" s="274" t="s">
        <v>174</v>
      </c>
      <c r="C55" s="275"/>
      <c r="D55" s="276"/>
      <c r="E55" s="291">
        <v>0</v>
      </c>
      <c r="F55" s="291">
        <v>0</v>
      </c>
      <c r="G55" s="291">
        <v>0</v>
      </c>
      <c r="H55" s="291">
        <v>0</v>
      </c>
      <c r="I55" s="291">
        <v>6</v>
      </c>
      <c r="J55" s="291">
        <v>35</v>
      </c>
      <c r="K55" s="291">
        <v>62</v>
      </c>
      <c r="L55" s="291">
        <v>87</v>
      </c>
      <c r="M55" s="291">
        <v>103</v>
      </c>
      <c r="N55" s="291">
        <v>110</v>
      </c>
      <c r="O55" s="291">
        <v>111</v>
      </c>
      <c r="P55" s="291">
        <v>110</v>
      </c>
      <c r="Q55" s="291">
        <v>112</v>
      </c>
      <c r="R55" s="291">
        <v>109</v>
      </c>
      <c r="S55" s="291">
        <v>98</v>
      </c>
      <c r="T55" s="291">
        <v>76</v>
      </c>
      <c r="U55" s="291">
        <v>51</v>
      </c>
      <c r="V55" s="291">
        <v>21</v>
      </c>
      <c r="W55" s="291">
        <v>2</v>
      </c>
      <c r="X55" s="291">
        <v>0</v>
      </c>
      <c r="Y55" s="291">
        <v>0</v>
      </c>
      <c r="Z55" s="291">
        <v>0</v>
      </c>
      <c r="AA55" s="291">
        <v>0</v>
      </c>
      <c r="AB55" s="292">
        <v>0</v>
      </c>
    </row>
    <row r="56" spans="1:28" ht="15" customHeight="1">
      <c r="A56" s="265" t="s">
        <v>73</v>
      </c>
      <c r="B56" s="266" t="s">
        <v>172</v>
      </c>
      <c r="C56" s="267"/>
      <c r="D56" s="268"/>
      <c r="E56" s="285">
        <v>0</v>
      </c>
      <c r="F56" s="285">
        <v>0</v>
      </c>
      <c r="G56" s="285">
        <v>0</v>
      </c>
      <c r="H56" s="285">
        <v>0</v>
      </c>
      <c r="I56" s="285">
        <v>0</v>
      </c>
      <c r="J56" s="285">
        <v>0</v>
      </c>
      <c r="K56" s="285">
        <v>0</v>
      </c>
      <c r="L56" s="285">
        <v>0</v>
      </c>
      <c r="M56" s="285">
        <v>0</v>
      </c>
      <c r="N56" s="285">
        <v>0</v>
      </c>
      <c r="O56" s="285">
        <v>44</v>
      </c>
      <c r="P56" s="285">
        <v>144</v>
      </c>
      <c r="Q56" s="285">
        <v>208</v>
      </c>
      <c r="R56" s="285">
        <v>225</v>
      </c>
      <c r="S56" s="285">
        <v>203</v>
      </c>
      <c r="T56" s="285">
        <v>146</v>
      </c>
      <c r="U56" s="285">
        <v>79</v>
      </c>
      <c r="V56" s="285">
        <v>11</v>
      </c>
      <c r="W56" s="285">
        <v>-2</v>
      </c>
      <c r="X56" s="285">
        <v>0</v>
      </c>
      <c r="Y56" s="285">
        <v>0</v>
      </c>
      <c r="Z56" s="285">
        <v>0</v>
      </c>
      <c r="AA56" s="285">
        <v>0</v>
      </c>
      <c r="AB56" s="286">
        <v>0</v>
      </c>
    </row>
    <row r="57" spans="1:28" ht="15" customHeight="1">
      <c r="A57" s="269"/>
      <c r="B57" s="270" t="s">
        <v>173</v>
      </c>
      <c r="C57" s="271"/>
      <c r="D57" s="272"/>
      <c r="E57" s="288">
        <v>0</v>
      </c>
      <c r="F57" s="288">
        <v>0</v>
      </c>
      <c r="G57" s="288">
        <v>0</v>
      </c>
      <c r="H57" s="288">
        <v>0</v>
      </c>
      <c r="I57" s="288">
        <v>0</v>
      </c>
      <c r="J57" s="288">
        <v>0</v>
      </c>
      <c r="K57" s="288">
        <v>0</v>
      </c>
      <c r="L57" s="288">
        <v>0</v>
      </c>
      <c r="M57" s="288">
        <v>0</v>
      </c>
      <c r="N57" s="288">
        <v>0</v>
      </c>
      <c r="O57" s="288">
        <v>0</v>
      </c>
      <c r="P57" s="288">
        <v>0</v>
      </c>
      <c r="Q57" s="288">
        <v>0</v>
      </c>
      <c r="R57" s="288">
        <v>0</v>
      </c>
      <c r="S57" s="288">
        <v>0</v>
      </c>
      <c r="T57" s="288">
        <v>0</v>
      </c>
      <c r="U57" s="288">
        <v>0</v>
      </c>
      <c r="V57" s="288">
        <v>0</v>
      </c>
      <c r="W57" s="288">
        <v>0</v>
      </c>
      <c r="X57" s="288">
        <v>0</v>
      </c>
      <c r="Y57" s="288">
        <v>0</v>
      </c>
      <c r="Z57" s="288">
        <v>0</v>
      </c>
      <c r="AA57" s="288">
        <v>0</v>
      </c>
      <c r="AB57" s="289">
        <v>0</v>
      </c>
    </row>
    <row r="58" spans="1:28" ht="15" customHeight="1" thickBot="1">
      <c r="A58" s="273"/>
      <c r="B58" s="274" t="s">
        <v>174</v>
      </c>
      <c r="C58" s="275"/>
      <c r="D58" s="276"/>
      <c r="E58" s="291">
        <v>0</v>
      </c>
      <c r="F58" s="291">
        <v>0</v>
      </c>
      <c r="G58" s="291">
        <v>0</v>
      </c>
      <c r="H58" s="291">
        <v>0</v>
      </c>
      <c r="I58" s="291">
        <v>6</v>
      </c>
      <c r="J58" s="291">
        <v>35</v>
      </c>
      <c r="K58" s="291">
        <v>62</v>
      </c>
      <c r="L58" s="291">
        <v>87</v>
      </c>
      <c r="M58" s="291">
        <v>103</v>
      </c>
      <c r="N58" s="291">
        <v>110</v>
      </c>
      <c r="O58" s="291">
        <v>111</v>
      </c>
      <c r="P58" s="291">
        <v>110</v>
      </c>
      <c r="Q58" s="291">
        <v>112</v>
      </c>
      <c r="R58" s="291">
        <v>109</v>
      </c>
      <c r="S58" s="291">
        <v>98</v>
      </c>
      <c r="T58" s="291">
        <v>76</v>
      </c>
      <c r="U58" s="291">
        <v>51</v>
      </c>
      <c r="V58" s="291">
        <v>21</v>
      </c>
      <c r="W58" s="291">
        <v>2</v>
      </c>
      <c r="X58" s="291">
        <v>0</v>
      </c>
      <c r="Y58" s="291">
        <v>0</v>
      </c>
      <c r="Z58" s="291">
        <v>0</v>
      </c>
      <c r="AA58" s="291">
        <v>0</v>
      </c>
      <c r="AB58" s="292">
        <v>0</v>
      </c>
    </row>
    <row r="59" spans="1:28" ht="15" customHeight="1">
      <c r="A59" s="265" t="s">
        <v>74</v>
      </c>
      <c r="B59" s="266" t="s">
        <v>172</v>
      </c>
      <c r="C59" s="267"/>
      <c r="D59" s="268"/>
      <c r="E59" s="285">
        <v>0</v>
      </c>
      <c r="F59" s="285">
        <v>0</v>
      </c>
      <c r="G59" s="285">
        <v>0</v>
      </c>
      <c r="H59" s="285">
        <v>0</v>
      </c>
      <c r="I59" s="285">
        <v>0</v>
      </c>
      <c r="J59" s="285">
        <v>0</v>
      </c>
      <c r="K59" s="285">
        <v>0</v>
      </c>
      <c r="L59" s="285">
        <v>0</v>
      </c>
      <c r="M59" s="285">
        <v>0</v>
      </c>
      <c r="N59" s="285">
        <v>0</v>
      </c>
      <c r="O59" s="285">
        <v>0</v>
      </c>
      <c r="P59" s="285">
        <v>32</v>
      </c>
      <c r="Q59" s="285">
        <v>200</v>
      </c>
      <c r="R59" s="285">
        <v>343</v>
      </c>
      <c r="S59" s="285">
        <v>418</v>
      </c>
      <c r="T59" s="285">
        <v>418</v>
      </c>
      <c r="U59" s="285">
        <v>367</v>
      </c>
      <c r="V59" s="285">
        <v>176</v>
      </c>
      <c r="W59" s="285">
        <v>0</v>
      </c>
      <c r="X59" s="285">
        <v>0</v>
      </c>
      <c r="Y59" s="285">
        <v>0</v>
      </c>
      <c r="Z59" s="285">
        <v>0</v>
      </c>
      <c r="AA59" s="285">
        <v>0</v>
      </c>
      <c r="AB59" s="286">
        <v>0</v>
      </c>
    </row>
    <row r="60" spans="1:28" ht="15" customHeight="1">
      <c r="A60" s="269"/>
      <c r="B60" s="270" t="s">
        <v>193</v>
      </c>
      <c r="C60" s="271"/>
      <c r="D60" s="272"/>
      <c r="E60" s="288">
        <v>0</v>
      </c>
      <c r="F60" s="288">
        <v>0</v>
      </c>
      <c r="G60" s="288">
        <v>0</v>
      </c>
      <c r="H60" s="288">
        <v>0</v>
      </c>
      <c r="I60" s="288">
        <v>0</v>
      </c>
      <c r="J60" s="288">
        <v>0</v>
      </c>
      <c r="K60" s="288">
        <v>0</v>
      </c>
      <c r="L60" s="288">
        <v>0</v>
      </c>
      <c r="M60" s="288">
        <v>0</v>
      </c>
      <c r="N60" s="288">
        <v>0</v>
      </c>
      <c r="O60" s="288">
        <v>0</v>
      </c>
      <c r="P60" s="288">
        <v>0</v>
      </c>
      <c r="Q60" s="288">
        <v>0</v>
      </c>
      <c r="R60" s="288">
        <v>0</v>
      </c>
      <c r="S60" s="288">
        <v>0</v>
      </c>
      <c r="T60" s="288">
        <v>0.45</v>
      </c>
      <c r="U60" s="288">
        <v>0.73099999999999998</v>
      </c>
      <c r="V60" s="288">
        <v>0.73399999999999999</v>
      </c>
      <c r="W60" s="288">
        <v>0</v>
      </c>
      <c r="X60" s="288">
        <v>0</v>
      </c>
      <c r="Y60" s="288">
        <v>0</v>
      </c>
      <c r="Z60" s="288">
        <v>0</v>
      </c>
      <c r="AA60" s="288">
        <v>0</v>
      </c>
      <c r="AB60" s="289">
        <v>0</v>
      </c>
    </row>
    <row r="61" spans="1:28" ht="15" customHeight="1" thickBot="1">
      <c r="A61" s="273"/>
      <c r="B61" s="274" t="s">
        <v>174</v>
      </c>
      <c r="C61" s="275"/>
      <c r="D61" s="276"/>
      <c r="E61" s="291">
        <v>0</v>
      </c>
      <c r="F61" s="291">
        <v>0</v>
      </c>
      <c r="G61" s="291">
        <v>0</v>
      </c>
      <c r="H61" s="291">
        <v>0</v>
      </c>
      <c r="I61" s="291">
        <v>6</v>
      </c>
      <c r="J61" s="291">
        <v>35</v>
      </c>
      <c r="K61" s="291">
        <v>62</v>
      </c>
      <c r="L61" s="291">
        <v>87</v>
      </c>
      <c r="M61" s="291">
        <v>103</v>
      </c>
      <c r="N61" s="291">
        <v>110</v>
      </c>
      <c r="O61" s="291">
        <v>111</v>
      </c>
      <c r="P61" s="291">
        <v>110</v>
      </c>
      <c r="Q61" s="291">
        <v>112</v>
      </c>
      <c r="R61" s="291">
        <v>109</v>
      </c>
      <c r="S61" s="291">
        <v>98</v>
      </c>
      <c r="T61" s="291">
        <v>264</v>
      </c>
      <c r="U61" s="291">
        <v>319</v>
      </c>
      <c r="V61" s="291">
        <v>150</v>
      </c>
      <c r="W61" s="291">
        <v>2</v>
      </c>
      <c r="X61" s="291">
        <v>0</v>
      </c>
      <c r="Y61" s="291">
        <v>0</v>
      </c>
      <c r="Z61" s="291">
        <v>0</v>
      </c>
      <c r="AA61" s="291">
        <v>0</v>
      </c>
      <c r="AB61" s="292">
        <v>0</v>
      </c>
    </row>
    <row r="62" spans="1:28" ht="15" customHeight="1">
      <c r="A62" s="265" t="s">
        <v>75</v>
      </c>
      <c r="B62" s="266" t="s">
        <v>172</v>
      </c>
      <c r="C62" s="267"/>
      <c r="D62" s="268"/>
      <c r="E62" s="285">
        <v>0</v>
      </c>
      <c r="F62" s="285">
        <v>0</v>
      </c>
      <c r="G62" s="285">
        <v>0</v>
      </c>
      <c r="H62" s="285">
        <v>0</v>
      </c>
      <c r="I62" s="285">
        <v>0</v>
      </c>
      <c r="J62" s="285">
        <v>0</v>
      </c>
      <c r="K62" s="285">
        <v>0</v>
      </c>
      <c r="L62" s="285">
        <v>0</v>
      </c>
      <c r="M62" s="285">
        <v>0</v>
      </c>
      <c r="N62" s="285">
        <v>0</v>
      </c>
      <c r="O62" s="285">
        <v>0</v>
      </c>
      <c r="P62" s="285">
        <v>0</v>
      </c>
      <c r="Q62" s="285">
        <v>22</v>
      </c>
      <c r="R62" s="285">
        <v>186</v>
      </c>
      <c r="S62" s="285">
        <v>346</v>
      </c>
      <c r="T62" s="285">
        <v>419</v>
      </c>
      <c r="U62" s="285">
        <v>425</v>
      </c>
      <c r="V62" s="285">
        <v>235</v>
      </c>
      <c r="W62" s="285">
        <v>0</v>
      </c>
      <c r="X62" s="285">
        <v>0</v>
      </c>
      <c r="Y62" s="285">
        <v>0</v>
      </c>
      <c r="Z62" s="285">
        <v>0</v>
      </c>
      <c r="AA62" s="285">
        <v>0</v>
      </c>
      <c r="AB62" s="286">
        <v>0</v>
      </c>
    </row>
    <row r="63" spans="1:28" ht="15" customHeight="1">
      <c r="A63" s="269"/>
      <c r="B63" s="270" t="s">
        <v>173</v>
      </c>
      <c r="C63" s="271"/>
      <c r="D63" s="272"/>
      <c r="E63" s="288">
        <v>0</v>
      </c>
      <c r="F63" s="288">
        <v>0</v>
      </c>
      <c r="G63" s="288">
        <v>0</v>
      </c>
      <c r="H63" s="288">
        <v>0</v>
      </c>
      <c r="I63" s="288">
        <v>0</v>
      </c>
      <c r="J63" s="288">
        <v>0</v>
      </c>
      <c r="K63" s="288">
        <v>0</v>
      </c>
      <c r="L63" s="288">
        <v>0</v>
      </c>
      <c r="M63" s="288">
        <v>0</v>
      </c>
      <c r="N63" s="288">
        <v>0</v>
      </c>
      <c r="O63" s="288">
        <v>0</v>
      </c>
      <c r="P63" s="288">
        <v>0</v>
      </c>
      <c r="Q63" s="288">
        <v>0</v>
      </c>
      <c r="R63" s="288">
        <v>0</v>
      </c>
      <c r="S63" s="288">
        <v>0</v>
      </c>
      <c r="T63" s="288">
        <v>0.499</v>
      </c>
      <c r="U63" s="288">
        <v>0.92400000000000004</v>
      </c>
      <c r="V63" s="288">
        <v>1</v>
      </c>
      <c r="W63" s="288">
        <v>0</v>
      </c>
      <c r="X63" s="288">
        <v>0</v>
      </c>
      <c r="Y63" s="288">
        <v>0</v>
      </c>
      <c r="Z63" s="288">
        <v>0</v>
      </c>
      <c r="AA63" s="288">
        <v>0</v>
      </c>
      <c r="AB63" s="289">
        <v>0</v>
      </c>
    </row>
    <row r="64" spans="1:28" ht="15" customHeight="1" thickBot="1">
      <c r="A64" s="273"/>
      <c r="B64" s="274" t="s">
        <v>174</v>
      </c>
      <c r="C64" s="275"/>
      <c r="D64" s="276"/>
      <c r="E64" s="291">
        <v>0</v>
      </c>
      <c r="F64" s="291">
        <v>0</v>
      </c>
      <c r="G64" s="291">
        <v>0</v>
      </c>
      <c r="H64" s="291">
        <v>0</v>
      </c>
      <c r="I64" s="291">
        <v>6</v>
      </c>
      <c r="J64" s="291">
        <v>35</v>
      </c>
      <c r="K64" s="291">
        <v>62</v>
      </c>
      <c r="L64" s="291">
        <v>87</v>
      </c>
      <c r="M64" s="291">
        <v>103</v>
      </c>
      <c r="N64" s="291">
        <v>110</v>
      </c>
      <c r="O64" s="291">
        <v>111</v>
      </c>
      <c r="P64" s="291">
        <v>110</v>
      </c>
      <c r="Q64" s="291">
        <v>112</v>
      </c>
      <c r="R64" s="291">
        <v>109</v>
      </c>
      <c r="S64" s="291">
        <v>98</v>
      </c>
      <c r="T64" s="291">
        <v>285</v>
      </c>
      <c r="U64" s="291">
        <v>443</v>
      </c>
      <c r="V64" s="291">
        <v>256</v>
      </c>
      <c r="W64" s="291">
        <v>2</v>
      </c>
      <c r="X64" s="291">
        <v>0</v>
      </c>
      <c r="Y64" s="291">
        <v>0</v>
      </c>
      <c r="Z64" s="291">
        <v>0</v>
      </c>
      <c r="AA64" s="291">
        <v>0</v>
      </c>
      <c r="AB64" s="292">
        <v>0</v>
      </c>
    </row>
    <row r="65" spans="1:28" ht="15" customHeight="1">
      <c r="A65" s="277" t="s">
        <v>76</v>
      </c>
      <c r="B65" s="266" t="s">
        <v>172</v>
      </c>
      <c r="C65" s="267"/>
      <c r="D65" s="268"/>
      <c r="E65" s="285">
        <v>0</v>
      </c>
      <c r="F65" s="285">
        <v>0</v>
      </c>
      <c r="G65" s="285">
        <v>0</v>
      </c>
      <c r="H65" s="285">
        <v>0</v>
      </c>
      <c r="I65" s="285">
        <v>0</v>
      </c>
      <c r="J65" s="285">
        <v>0</v>
      </c>
      <c r="K65" s="285">
        <v>0</v>
      </c>
      <c r="L65" s="285">
        <v>0</v>
      </c>
      <c r="M65" s="285">
        <v>0</v>
      </c>
      <c r="N65" s="285">
        <v>0</v>
      </c>
      <c r="O65" s="285">
        <v>0</v>
      </c>
      <c r="P65" s="285">
        <v>0</v>
      </c>
      <c r="Q65" s="285">
        <v>0</v>
      </c>
      <c r="R65" s="285">
        <v>0</v>
      </c>
      <c r="S65" s="285">
        <v>0</v>
      </c>
      <c r="T65" s="285">
        <v>49</v>
      </c>
      <c r="U65" s="285">
        <v>144</v>
      </c>
      <c r="V65" s="285">
        <v>126</v>
      </c>
      <c r="W65" s="285">
        <v>0</v>
      </c>
      <c r="X65" s="285">
        <v>0</v>
      </c>
      <c r="Y65" s="285">
        <v>0</v>
      </c>
      <c r="Z65" s="285">
        <v>0</v>
      </c>
      <c r="AA65" s="285">
        <v>0</v>
      </c>
      <c r="AB65" s="286">
        <v>0</v>
      </c>
    </row>
    <row r="66" spans="1:28" ht="15" customHeight="1">
      <c r="A66" s="278"/>
      <c r="B66" s="270" t="s">
        <v>173</v>
      </c>
      <c r="C66" s="271"/>
      <c r="D66" s="272"/>
      <c r="E66" s="288">
        <v>0</v>
      </c>
      <c r="F66" s="288">
        <v>0</v>
      </c>
      <c r="G66" s="288">
        <v>0</v>
      </c>
      <c r="H66" s="288">
        <v>0</v>
      </c>
      <c r="I66" s="288">
        <v>0</v>
      </c>
      <c r="J66" s="288">
        <v>0</v>
      </c>
      <c r="K66" s="288">
        <v>0</v>
      </c>
      <c r="L66" s="288">
        <v>0</v>
      </c>
      <c r="M66" s="288">
        <v>0</v>
      </c>
      <c r="N66" s="288">
        <v>0</v>
      </c>
      <c r="O66" s="288">
        <v>0</v>
      </c>
      <c r="P66" s="288">
        <v>0</v>
      </c>
      <c r="Q66" s="288">
        <v>0</v>
      </c>
      <c r="R66" s="288">
        <v>0</v>
      </c>
      <c r="S66" s="288">
        <v>0</v>
      </c>
      <c r="T66" s="288">
        <v>0</v>
      </c>
      <c r="U66" s="288">
        <v>0.182</v>
      </c>
      <c r="V66" s="288">
        <v>0.59299999999999997</v>
      </c>
      <c r="W66" s="288">
        <v>0</v>
      </c>
      <c r="X66" s="288">
        <v>0</v>
      </c>
      <c r="Y66" s="288">
        <v>0</v>
      </c>
      <c r="Z66" s="288">
        <v>0</v>
      </c>
      <c r="AA66" s="288">
        <v>0</v>
      </c>
      <c r="AB66" s="289">
        <v>0</v>
      </c>
    </row>
    <row r="67" spans="1:28" ht="15" customHeight="1" thickBot="1">
      <c r="A67" s="279"/>
      <c r="B67" s="274" t="s">
        <v>174</v>
      </c>
      <c r="C67" s="275"/>
      <c r="D67" s="276"/>
      <c r="E67" s="291">
        <v>0</v>
      </c>
      <c r="F67" s="291">
        <v>0</v>
      </c>
      <c r="G67" s="291">
        <v>0</v>
      </c>
      <c r="H67" s="291">
        <v>0</v>
      </c>
      <c r="I67" s="291">
        <v>6</v>
      </c>
      <c r="J67" s="291">
        <v>35</v>
      </c>
      <c r="K67" s="291">
        <v>62</v>
      </c>
      <c r="L67" s="291">
        <v>87</v>
      </c>
      <c r="M67" s="291">
        <v>103</v>
      </c>
      <c r="N67" s="291">
        <v>110</v>
      </c>
      <c r="O67" s="291">
        <v>111</v>
      </c>
      <c r="P67" s="291">
        <v>110</v>
      </c>
      <c r="Q67" s="291">
        <v>112</v>
      </c>
      <c r="R67" s="291">
        <v>109</v>
      </c>
      <c r="S67" s="291">
        <v>98</v>
      </c>
      <c r="T67" s="291">
        <v>76</v>
      </c>
      <c r="U67" s="291">
        <v>77</v>
      </c>
      <c r="V67" s="291">
        <v>96</v>
      </c>
      <c r="W67" s="291">
        <v>2</v>
      </c>
      <c r="X67" s="291">
        <v>0</v>
      </c>
      <c r="Y67" s="291">
        <v>0</v>
      </c>
      <c r="Z67" s="291">
        <v>0</v>
      </c>
      <c r="AA67" s="291">
        <v>0</v>
      </c>
      <c r="AB67" s="292">
        <v>0</v>
      </c>
    </row>
    <row r="68" spans="1:28" ht="15" customHeight="1">
      <c r="A68" s="39" t="s">
        <v>194</v>
      </c>
      <c r="AB68" s="146"/>
    </row>
    <row r="69" spans="1:28" ht="15" customHeight="1">
      <c r="A69" s="246"/>
      <c r="B69" s="247"/>
      <c r="C69" s="248"/>
      <c r="D69" s="249"/>
      <c r="E69" s="281">
        <v>1</v>
      </c>
      <c r="F69" s="281">
        <v>2</v>
      </c>
      <c r="G69" s="281">
        <v>3</v>
      </c>
      <c r="H69" s="281">
        <v>4</v>
      </c>
      <c r="I69" s="281">
        <v>5</v>
      </c>
      <c r="J69" s="281">
        <v>6</v>
      </c>
      <c r="K69" s="281">
        <v>7</v>
      </c>
      <c r="L69" s="281">
        <v>8</v>
      </c>
      <c r="M69" s="281">
        <v>9</v>
      </c>
      <c r="N69" s="281">
        <v>10</v>
      </c>
      <c r="O69" s="281">
        <v>11</v>
      </c>
      <c r="P69" s="281">
        <v>12</v>
      </c>
      <c r="Q69" s="281">
        <v>13</v>
      </c>
      <c r="R69" s="281">
        <v>14</v>
      </c>
      <c r="S69" s="281">
        <v>15</v>
      </c>
      <c r="T69" s="281">
        <v>16</v>
      </c>
      <c r="U69" s="281">
        <v>17</v>
      </c>
      <c r="V69" s="281">
        <v>18</v>
      </c>
      <c r="W69" s="282">
        <v>19</v>
      </c>
      <c r="X69" s="282">
        <v>20</v>
      </c>
      <c r="Y69" s="282">
        <v>21</v>
      </c>
      <c r="Z69" s="282">
        <v>22</v>
      </c>
      <c r="AA69" s="282">
        <v>23</v>
      </c>
      <c r="AB69" s="283">
        <v>24</v>
      </c>
    </row>
    <row r="70" spans="1:28" ht="15" customHeight="1" thickBot="1">
      <c r="A70" s="250" t="s">
        <v>180</v>
      </c>
      <c r="B70" s="251" t="s">
        <v>168</v>
      </c>
      <c r="C70" s="252"/>
      <c r="D70" s="253"/>
      <c r="E70" s="255">
        <v>0</v>
      </c>
      <c r="F70" s="255">
        <v>0</v>
      </c>
      <c r="G70" s="255">
        <v>0</v>
      </c>
      <c r="H70" s="255">
        <v>0</v>
      </c>
      <c r="I70" s="255">
        <v>0</v>
      </c>
      <c r="J70" s="255">
        <v>27</v>
      </c>
      <c r="K70" s="255">
        <v>71</v>
      </c>
      <c r="L70" s="255">
        <v>105</v>
      </c>
      <c r="M70" s="255">
        <v>134</v>
      </c>
      <c r="N70" s="255">
        <v>154</v>
      </c>
      <c r="O70" s="255">
        <v>167</v>
      </c>
      <c r="P70" s="255">
        <v>167</v>
      </c>
      <c r="Q70" s="255">
        <v>158</v>
      </c>
      <c r="R70" s="255">
        <v>138</v>
      </c>
      <c r="S70" s="255">
        <v>116</v>
      </c>
      <c r="T70" s="255">
        <v>85</v>
      </c>
      <c r="U70" s="255">
        <v>38</v>
      </c>
      <c r="V70" s="255">
        <v>4</v>
      </c>
      <c r="W70" s="255">
        <v>0</v>
      </c>
      <c r="X70" s="255">
        <v>0</v>
      </c>
      <c r="Y70" s="255">
        <v>0</v>
      </c>
      <c r="Z70" s="255">
        <v>0</v>
      </c>
      <c r="AA70" s="255">
        <v>0</v>
      </c>
      <c r="AB70" s="256">
        <v>0</v>
      </c>
    </row>
    <row r="71" spans="1:28" ht="15" customHeight="1" thickBot="1">
      <c r="A71" s="257" t="s">
        <v>169</v>
      </c>
      <c r="B71" s="258" t="s">
        <v>170</v>
      </c>
      <c r="C71" s="259"/>
      <c r="D71" s="260"/>
      <c r="E71" s="262">
        <v>0</v>
      </c>
      <c r="F71" s="262">
        <v>0</v>
      </c>
      <c r="G71" s="262">
        <v>0</v>
      </c>
      <c r="H71" s="262">
        <v>0</v>
      </c>
      <c r="I71" s="262">
        <v>0</v>
      </c>
      <c r="J71" s="262">
        <v>19</v>
      </c>
      <c r="K71" s="262">
        <v>47</v>
      </c>
      <c r="L71" s="262">
        <v>72</v>
      </c>
      <c r="M71" s="262">
        <v>88</v>
      </c>
      <c r="N71" s="262">
        <v>96</v>
      </c>
      <c r="O71" s="262">
        <v>101</v>
      </c>
      <c r="P71" s="262">
        <v>100</v>
      </c>
      <c r="Q71" s="262">
        <v>98</v>
      </c>
      <c r="R71" s="262">
        <v>90</v>
      </c>
      <c r="S71" s="262">
        <v>78</v>
      </c>
      <c r="T71" s="262">
        <v>54</v>
      </c>
      <c r="U71" s="262">
        <v>24</v>
      </c>
      <c r="V71" s="262">
        <v>3</v>
      </c>
      <c r="W71" s="262">
        <v>0</v>
      </c>
      <c r="X71" s="262">
        <v>0</v>
      </c>
      <c r="Y71" s="262">
        <v>0</v>
      </c>
      <c r="Z71" s="262">
        <v>0</v>
      </c>
      <c r="AA71" s="262">
        <v>0</v>
      </c>
      <c r="AB71" s="263">
        <v>0</v>
      </c>
    </row>
    <row r="72" spans="1:28" ht="15" customHeight="1" thickBot="1">
      <c r="A72" s="264" t="s">
        <v>68</v>
      </c>
      <c r="B72" s="258" t="s">
        <v>171</v>
      </c>
      <c r="C72" s="259"/>
      <c r="D72" s="260"/>
      <c r="E72" s="262">
        <v>0</v>
      </c>
      <c r="F72" s="262">
        <v>0</v>
      </c>
      <c r="G72" s="262">
        <v>0</v>
      </c>
      <c r="H72" s="262">
        <v>0</v>
      </c>
      <c r="I72" s="262">
        <v>0</v>
      </c>
      <c r="J72" s="262">
        <v>37</v>
      </c>
      <c r="K72" s="262">
        <v>167</v>
      </c>
      <c r="L72" s="262">
        <v>324</v>
      </c>
      <c r="M72" s="262">
        <v>465</v>
      </c>
      <c r="N72" s="262">
        <v>567</v>
      </c>
      <c r="O72" s="262">
        <v>622</v>
      </c>
      <c r="P72" s="262">
        <v>628</v>
      </c>
      <c r="Q72" s="262">
        <v>581</v>
      </c>
      <c r="R72" s="262">
        <v>491</v>
      </c>
      <c r="S72" s="262">
        <v>355</v>
      </c>
      <c r="T72" s="262">
        <v>193</v>
      </c>
      <c r="U72" s="262">
        <v>55</v>
      </c>
      <c r="V72" s="262">
        <v>4</v>
      </c>
      <c r="W72" s="262">
        <v>0</v>
      </c>
      <c r="X72" s="262">
        <v>0</v>
      </c>
      <c r="Y72" s="262">
        <v>0</v>
      </c>
      <c r="Z72" s="262">
        <v>0</v>
      </c>
      <c r="AA72" s="262">
        <v>0</v>
      </c>
      <c r="AB72" s="263">
        <v>0</v>
      </c>
    </row>
    <row r="73" spans="1:28" ht="15" customHeight="1">
      <c r="A73" s="265" t="s">
        <v>69</v>
      </c>
      <c r="B73" s="266" t="s">
        <v>172</v>
      </c>
      <c r="C73" s="267"/>
      <c r="D73" s="268"/>
      <c r="E73" s="285">
        <v>0</v>
      </c>
      <c r="F73" s="285">
        <v>0</v>
      </c>
      <c r="G73" s="285">
        <v>0</v>
      </c>
      <c r="H73" s="285">
        <v>0</v>
      </c>
      <c r="I73" s="285">
        <v>0</v>
      </c>
      <c r="J73" s="285">
        <v>95</v>
      </c>
      <c r="K73" s="285">
        <v>72</v>
      </c>
      <c r="L73" s="285">
        <v>0</v>
      </c>
      <c r="M73" s="285">
        <v>0</v>
      </c>
      <c r="N73" s="285">
        <v>0</v>
      </c>
      <c r="O73" s="285">
        <v>0</v>
      </c>
      <c r="P73" s="285">
        <v>0</v>
      </c>
      <c r="Q73" s="285">
        <v>0</v>
      </c>
      <c r="R73" s="285">
        <v>0</v>
      </c>
      <c r="S73" s="285">
        <v>0</v>
      </c>
      <c r="T73" s="285">
        <v>0</v>
      </c>
      <c r="U73" s="285">
        <v>0</v>
      </c>
      <c r="V73" s="285">
        <v>0</v>
      </c>
      <c r="W73" s="285">
        <v>0</v>
      </c>
      <c r="X73" s="285">
        <v>0</v>
      </c>
      <c r="Y73" s="285">
        <v>0</v>
      </c>
      <c r="Z73" s="285">
        <v>0</v>
      </c>
      <c r="AA73" s="285">
        <v>0</v>
      </c>
      <c r="AB73" s="286">
        <v>0</v>
      </c>
    </row>
    <row r="74" spans="1:28" ht="15" customHeight="1">
      <c r="A74" s="269"/>
      <c r="B74" s="270" t="s">
        <v>173</v>
      </c>
      <c r="C74" s="271"/>
      <c r="D74" s="272"/>
      <c r="E74" s="288">
        <v>0</v>
      </c>
      <c r="F74" s="288">
        <v>0</v>
      </c>
      <c r="G74" s="288">
        <v>0</v>
      </c>
      <c r="H74" s="288">
        <v>0</v>
      </c>
      <c r="I74" s="288">
        <v>0</v>
      </c>
      <c r="J74" s="288">
        <v>0</v>
      </c>
      <c r="K74" s="288">
        <v>0</v>
      </c>
      <c r="L74" s="288">
        <v>0</v>
      </c>
      <c r="M74" s="288">
        <v>0</v>
      </c>
      <c r="N74" s="288">
        <v>0</v>
      </c>
      <c r="O74" s="288">
        <v>0</v>
      </c>
      <c r="P74" s="288">
        <v>0</v>
      </c>
      <c r="Q74" s="288">
        <v>0</v>
      </c>
      <c r="R74" s="288">
        <v>0</v>
      </c>
      <c r="S74" s="288">
        <v>0</v>
      </c>
      <c r="T74" s="288">
        <v>0</v>
      </c>
      <c r="U74" s="288">
        <v>0</v>
      </c>
      <c r="V74" s="288">
        <v>0</v>
      </c>
      <c r="W74" s="288">
        <v>0</v>
      </c>
      <c r="X74" s="288">
        <v>0</v>
      </c>
      <c r="Y74" s="288">
        <v>0</v>
      </c>
      <c r="Z74" s="288">
        <v>0</v>
      </c>
      <c r="AA74" s="288">
        <v>0</v>
      </c>
      <c r="AB74" s="289">
        <v>0</v>
      </c>
    </row>
    <row r="75" spans="1:28" ht="15" customHeight="1" thickBot="1">
      <c r="A75" s="273"/>
      <c r="B75" s="274" t="s">
        <v>174</v>
      </c>
      <c r="C75" s="275"/>
      <c r="D75" s="276"/>
      <c r="E75" s="291">
        <v>0</v>
      </c>
      <c r="F75" s="291">
        <v>0</v>
      </c>
      <c r="G75" s="291">
        <v>0</v>
      </c>
      <c r="H75" s="291">
        <v>0</v>
      </c>
      <c r="I75" s="291">
        <v>0</v>
      </c>
      <c r="J75" s="291">
        <v>19</v>
      </c>
      <c r="K75" s="291">
        <v>47</v>
      </c>
      <c r="L75" s="291">
        <v>72</v>
      </c>
      <c r="M75" s="291">
        <v>88</v>
      </c>
      <c r="N75" s="291">
        <v>97</v>
      </c>
      <c r="O75" s="291">
        <v>101</v>
      </c>
      <c r="P75" s="291">
        <v>101</v>
      </c>
      <c r="Q75" s="291">
        <v>98</v>
      </c>
      <c r="R75" s="291">
        <v>91</v>
      </c>
      <c r="S75" s="291">
        <v>78</v>
      </c>
      <c r="T75" s="291">
        <v>55</v>
      </c>
      <c r="U75" s="291">
        <v>24</v>
      </c>
      <c r="V75" s="291">
        <v>3</v>
      </c>
      <c r="W75" s="291">
        <v>0</v>
      </c>
      <c r="X75" s="291">
        <v>0</v>
      </c>
      <c r="Y75" s="291">
        <v>0</v>
      </c>
      <c r="Z75" s="291">
        <v>0</v>
      </c>
      <c r="AA75" s="291">
        <v>0</v>
      </c>
      <c r="AB75" s="292">
        <v>0</v>
      </c>
    </row>
    <row r="76" spans="1:28" ht="15" customHeight="1">
      <c r="A76" s="265" t="s">
        <v>70</v>
      </c>
      <c r="B76" s="266" t="s">
        <v>172</v>
      </c>
      <c r="C76" s="267"/>
      <c r="D76" s="268"/>
      <c r="E76" s="285">
        <v>0</v>
      </c>
      <c r="F76" s="285">
        <v>0</v>
      </c>
      <c r="G76" s="285">
        <v>0</v>
      </c>
      <c r="H76" s="285">
        <v>0</v>
      </c>
      <c r="I76" s="285">
        <v>0</v>
      </c>
      <c r="J76" s="285">
        <v>275</v>
      </c>
      <c r="K76" s="285">
        <v>372</v>
      </c>
      <c r="L76" s="285">
        <v>348</v>
      </c>
      <c r="M76" s="285">
        <v>242</v>
      </c>
      <c r="N76" s="285">
        <v>90</v>
      </c>
      <c r="O76" s="285">
        <v>0</v>
      </c>
      <c r="P76" s="285">
        <v>0</v>
      </c>
      <c r="Q76" s="285">
        <v>0</v>
      </c>
      <c r="R76" s="285">
        <v>0</v>
      </c>
      <c r="S76" s="285">
        <v>0</v>
      </c>
      <c r="T76" s="285">
        <v>0</v>
      </c>
      <c r="U76" s="285">
        <v>0</v>
      </c>
      <c r="V76" s="285">
        <v>0</v>
      </c>
      <c r="W76" s="285">
        <v>0</v>
      </c>
      <c r="X76" s="285">
        <v>0</v>
      </c>
      <c r="Y76" s="285">
        <v>0</v>
      </c>
      <c r="Z76" s="285">
        <v>0</v>
      </c>
      <c r="AA76" s="285">
        <v>0</v>
      </c>
      <c r="AB76" s="286">
        <v>0</v>
      </c>
    </row>
    <row r="77" spans="1:28" ht="15" customHeight="1">
      <c r="A77" s="269"/>
      <c r="B77" s="270" t="s">
        <v>173</v>
      </c>
      <c r="C77" s="271"/>
      <c r="D77" s="272"/>
      <c r="E77" s="288">
        <v>0</v>
      </c>
      <c r="F77" s="288">
        <v>0</v>
      </c>
      <c r="G77" s="288">
        <v>0</v>
      </c>
      <c r="H77" s="288">
        <v>0</v>
      </c>
      <c r="I77" s="288">
        <v>0</v>
      </c>
      <c r="J77" s="288">
        <v>0.98399999999999999</v>
      </c>
      <c r="K77" s="288">
        <v>0.73599999999999999</v>
      </c>
      <c r="L77" s="288">
        <v>0.156</v>
      </c>
      <c r="M77" s="288">
        <v>0</v>
      </c>
      <c r="N77" s="288">
        <v>0</v>
      </c>
      <c r="O77" s="288">
        <v>0</v>
      </c>
      <c r="P77" s="288">
        <v>0</v>
      </c>
      <c r="Q77" s="288">
        <v>0</v>
      </c>
      <c r="R77" s="288">
        <v>0</v>
      </c>
      <c r="S77" s="288">
        <v>0</v>
      </c>
      <c r="T77" s="288">
        <v>0</v>
      </c>
      <c r="U77" s="288">
        <v>0</v>
      </c>
      <c r="V77" s="288">
        <v>0</v>
      </c>
      <c r="W77" s="288">
        <v>0</v>
      </c>
      <c r="X77" s="288">
        <v>0</v>
      </c>
      <c r="Y77" s="288">
        <v>0</v>
      </c>
      <c r="Z77" s="288">
        <v>0</v>
      </c>
      <c r="AA77" s="288">
        <v>0</v>
      </c>
      <c r="AB77" s="289">
        <v>0</v>
      </c>
    </row>
    <row r="78" spans="1:28" ht="15" customHeight="1" thickBot="1">
      <c r="A78" s="273"/>
      <c r="B78" s="274" t="s">
        <v>174</v>
      </c>
      <c r="C78" s="275"/>
      <c r="D78" s="276"/>
      <c r="E78" s="291">
        <v>0</v>
      </c>
      <c r="F78" s="291">
        <v>0</v>
      </c>
      <c r="G78" s="291">
        <v>0</v>
      </c>
      <c r="H78" s="291">
        <v>0</v>
      </c>
      <c r="I78" s="291">
        <v>0</v>
      </c>
      <c r="J78" s="291">
        <v>289</v>
      </c>
      <c r="K78" s="291">
        <v>321</v>
      </c>
      <c r="L78" s="291">
        <v>126</v>
      </c>
      <c r="M78" s="291">
        <v>88</v>
      </c>
      <c r="N78" s="291">
        <v>97</v>
      </c>
      <c r="O78" s="291">
        <v>101</v>
      </c>
      <c r="P78" s="291">
        <v>101</v>
      </c>
      <c r="Q78" s="291">
        <v>98</v>
      </c>
      <c r="R78" s="291">
        <v>91</v>
      </c>
      <c r="S78" s="291">
        <v>78</v>
      </c>
      <c r="T78" s="291">
        <v>55</v>
      </c>
      <c r="U78" s="291">
        <v>24</v>
      </c>
      <c r="V78" s="291">
        <v>3</v>
      </c>
      <c r="W78" s="291">
        <v>0</v>
      </c>
      <c r="X78" s="291">
        <v>0</v>
      </c>
      <c r="Y78" s="291">
        <v>0</v>
      </c>
      <c r="Z78" s="291">
        <v>0</v>
      </c>
      <c r="AA78" s="291">
        <v>0</v>
      </c>
      <c r="AB78" s="292">
        <v>0</v>
      </c>
    </row>
    <row r="79" spans="1:28" ht="15" customHeight="1">
      <c r="A79" s="265" t="s">
        <v>71</v>
      </c>
      <c r="B79" s="266" t="s">
        <v>172</v>
      </c>
      <c r="C79" s="267"/>
      <c r="D79" s="268"/>
      <c r="E79" s="285">
        <v>0</v>
      </c>
      <c r="F79" s="285">
        <v>0</v>
      </c>
      <c r="G79" s="285">
        <v>0</v>
      </c>
      <c r="H79" s="285">
        <v>0</v>
      </c>
      <c r="I79" s="285">
        <v>0</v>
      </c>
      <c r="J79" s="285">
        <v>282</v>
      </c>
      <c r="K79" s="285">
        <v>441</v>
      </c>
      <c r="L79" s="285">
        <v>494</v>
      </c>
      <c r="M79" s="285">
        <v>459</v>
      </c>
      <c r="N79" s="285">
        <v>356</v>
      </c>
      <c r="O79" s="285">
        <v>204</v>
      </c>
      <c r="P79" s="285">
        <v>40</v>
      </c>
      <c r="Q79" s="285">
        <v>0</v>
      </c>
      <c r="R79" s="285">
        <v>0</v>
      </c>
      <c r="S79" s="285">
        <v>0</v>
      </c>
      <c r="T79" s="285">
        <v>0</v>
      </c>
      <c r="U79" s="285">
        <v>0</v>
      </c>
      <c r="V79" s="285">
        <v>-1</v>
      </c>
      <c r="W79" s="285">
        <v>0</v>
      </c>
      <c r="X79" s="285">
        <v>0</v>
      </c>
      <c r="Y79" s="285">
        <v>0</v>
      </c>
      <c r="Z79" s="285">
        <v>0</v>
      </c>
      <c r="AA79" s="285">
        <v>0</v>
      </c>
      <c r="AB79" s="286">
        <v>0</v>
      </c>
    </row>
    <row r="80" spans="1:28" ht="15" customHeight="1">
      <c r="A80" s="269"/>
      <c r="B80" s="270" t="s">
        <v>173</v>
      </c>
      <c r="C80" s="271"/>
      <c r="D80" s="272"/>
      <c r="E80" s="288">
        <v>0</v>
      </c>
      <c r="F80" s="288">
        <v>0</v>
      </c>
      <c r="G80" s="288">
        <v>0</v>
      </c>
      <c r="H80" s="288">
        <v>0</v>
      </c>
      <c r="I80" s="288">
        <v>0</v>
      </c>
      <c r="J80" s="288">
        <v>1</v>
      </c>
      <c r="K80" s="288">
        <v>0.95299999999999996</v>
      </c>
      <c r="L80" s="288">
        <v>0.60099999999999998</v>
      </c>
      <c r="M80" s="288">
        <v>0.13200000000000001</v>
      </c>
      <c r="N80" s="288">
        <v>0</v>
      </c>
      <c r="O80" s="288">
        <v>0</v>
      </c>
      <c r="P80" s="288">
        <v>0</v>
      </c>
      <c r="Q80" s="288">
        <v>0</v>
      </c>
      <c r="R80" s="288">
        <v>0</v>
      </c>
      <c r="S80" s="288">
        <v>0</v>
      </c>
      <c r="T80" s="288">
        <v>0</v>
      </c>
      <c r="U80" s="288">
        <v>0</v>
      </c>
      <c r="V80" s="288">
        <v>0</v>
      </c>
      <c r="W80" s="288">
        <v>0</v>
      </c>
      <c r="X80" s="288">
        <v>0</v>
      </c>
      <c r="Y80" s="288">
        <v>0</v>
      </c>
      <c r="Z80" s="288">
        <v>0</v>
      </c>
      <c r="AA80" s="288">
        <v>0</v>
      </c>
      <c r="AB80" s="289">
        <v>0</v>
      </c>
    </row>
    <row r="81" spans="1:28" ht="15" customHeight="1" thickBot="1">
      <c r="A81" s="273"/>
      <c r="B81" s="274" t="s">
        <v>174</v>
      </c>
      <c r="C81" s="275"/>
      <c r="D81" s="276"/>
      <c r="E81" s="291">
        <v>0</v>
      </c>
      <c r="F81" s="291">
        <v>0</v>
      </c>
      <c r="G81" s="291">
        <v>0</v>
      </c>
      <c r="H81" s="291">
        <v>0</v>
      </c>
      <c r="I81" s="291">
        <v>0</v>
      </c>
      <c r="J81" s="291">
        <v>301</v>
      </c>
      <c r="K81" s="291">
        <v>467</v>
      </c>
      <c r="L81" s="291">
        <v>369</v>
      </c>
      <c r="M81" s="291">
        <v>149</v>
      </c>
      <c r="N81" s="291">
        <v>97</v>
      </c>
      <c r="O81" s="291">
        <v>101</v>
      </c>
      <c r="P81" s="291">
        <v>101</v>
      </c>
      <c r="Q81" s="291">
        <v>98</v>
      </c>
      <c r="R81" s="291">
        <v>91</v>
      </c>
      <c r="S81" s="291">
        <v>78</v>
      </c>
      <c r="T81" s="291">
        <v>55</v>
      </c>
      <c r="U81" s="291">
        <v>24</v>
      </c>
      <c r="V81" s="291">
        <v>3</v>
      </c>
      <c r="W81" s="291">
        <v>0</v>
      </c>
      <c r="X81" s="291">
        <v>0</v>
      </c>
      <c r="Y81" s="291">
        <v>0</v>
      </c>
      <c r="Z81" s="291">
        <v>0</v>
      </c>
      <c r="AA81" s="291">
        <v>0</v>
      </c>
      <c r="AB81" s="292">
        <v>0</v>
      </c>
    </row>
    <row r="82" spans="1:28" ht="15" customHeight="1">
      <c r="A82" s="265" t="s">
        <v>72</v>
      </c>
      <c r="B82" s="266" t="s">
        <v>172</v>
      </c>
      <c r="C82" s="267"/>
      <c r="D82" s="268"/>
      <c r="E82" s="285">
        <v>0</v>
      </c>
      <c r="F82" s="285">
        <v>0</v>
      </c>
      <c r="G82" s="285">
        <v>0</v>
      </c>
      <c r="H82" s="285">
        <v>0</v>
      </c>
      <c r="I82" s="285">
        <v>0</v>
      </c>
      <c r="J82" s="285">
        <v>42</v>
      </c>
      <c r="K82" s="285">
        <v>164</v>
      </c>
      <c r="L82" s="285">
        <v>284</v>
      </c>
      <c r="M82" s="285">
        <v>360</v>
      </c>
      <c r="N82" s="285">
        <v>381</v>
      </c>
      <c r="O82" s="285">
        <v>353</v>
      </c>
      <c r="P82" s="285">
        <v>283</v>
      </c>
      <c r="Q82" s="285">
        <v>183</v>
      </c>
      <c r="R82" s="285">
        <v>74</v>
      </c>
      <c r="S82" s="285">
        <v>0</v>
      </c>
      <c r="T82" s="285">
        <v>0</v>
      </c>
      <c r="U82" s="285">
        <v>0</v>
      </c>
      <c r="V82" s="285">
        <v>-3</v>
      </c>
      <c r="W82" s="285">
        <v>0</v>
      </c>
      <c r="X82" s="285">
        <v>0</v>
      </c>
      <c r="Y82" s="285">
        <v>0</v>
      </c>
      <c r="Z82" s="285">
        <v>0</v>
      </c>
      <c r="AA82" s="285">
        <v>0</v>
      </c>
      <c r="AB82" s="286">
        <v>0</v>
      </c>
    </row>
    <row r="83" spans="1:28" ht="15" customHeight="1">
      <c r="A83" s="269"/>
      <c r="B83" s="270" t="s">
        <v>193</v>
      </c>
      <c r="C83" s="271"/>
      <c r="D83" s="272"/>
      <c r="E83" s="288">
        <v>0</v>
      </c>
      <c r="F83" s="288">
        <v>0</v>
      </c>
      <c r="G83" s="288">
        <v>0</v>
      </c>
      <c r="H83" s="288">
        <v>0</v>
      </c>
      <c r="I83" s="288">
        <v>0</v>
      </c>
      <c r="J83" s="288">
        <v>1.2999999999999999E-2</v>
      </c>
      <c r="K83" s="288">
        <v>0.23300000000000001</v>
      </c>
      <c r="L83" s="288">
        <v>0.156</v>
      </c>
      <c r="M83" s="288">
        <v>0</v>
      </c>
      <c r="N83" s="288">
        <v>0</v>
      </c>
      <c r="O83" s="288">
        <v>0</v>
      </c>
      <c r="P83" s="288">
        <v>0</v>
      </c>
      <c r="Q83" s="288">
        <v>0</v>
      </c>
      <c r="R83" s="288">
        <v>0</v>
      </c>
      <c r="S83" s="288">
        <v>0</v>
      </c>
      <c r="T83" s="288">
        <v>0</v>
      </c>
      <c r="U83" s="288">
        <v>0</v>
      </c>
      <c r="V83" s="288">
        <v>0</v>
      </c>
      <c r="W83" s="288">
        <v>0</v>
      </c>
      <c r="X83" s="288">
        <v>0</v>
      </c>
      <c r="Y83" s="288">
        <v>0</v>
      </c>
      <c r="Z83" s="288">
        <v>0</v>
      </c>
      <c r="AA83" s="288">
        <v>0</v>
      </c>
      <c r="AB83" s="289">
        <v>0</v>
      </c>
    </row>
    <row r="84" spans="1:28" ht="15" customHeight="1" thickBot="1">
      <c r="A84" s="273"/>
      <c r="B84" s="274" t="s">
        <v>174</v>
      </c>
      <c r="C84" s="275"/>
      <c r="D84" s="276"/>
      <c r="E84" s="291">
        <v>0</v>
      </c>
      <c r="F84" s="291">
        <v>0</v>
      </c>
      <c r="G84" s="291">
        <v>0</v>
      </c>
      <c r="H84" s="291">
        <v>0</v>
      </c>
      <c r="I84" s="291">
        <v>0</v>
      </c>
      <c r="J84" s="291">
        <v>20</v>
      </c>
      <c r="K84" s="291">
        <v>85</v>
      </c>
      <c r="L84" s="291">
        <v>116</v>
      </c>
      <c r="M84" s="291">
        <v>88</v>
      </c>
      <c r="N84" s="291">
        <v>97</v>
      </c>
      <c r="O84" s="291">
        <v>101</v>
      </c>
      <c r="P84" s="291">
        <v>101</v>
      </c>
      <c r="Q84" s="291">
        <v>98</v>
      </c>
      <c r="R84" s="291">
        <v>91</v>
      </c>
      <c r="S84" s="291">
        <v>78</v>
      </c>
      <c r="T84" s="291">
        <v>55</v>
      </c>
      <c r="U84" s="291">
        <v>24</v>
      </c>
      <c r="V84" s="291">
        <v>3</v>
      </c>
      <c r="W84" s="291">
        <v>0</v>
      </c>
      <c r="X84" s="291">
        <v>0</v>
      </c>
      <c r="Y84" s="291">
        <v>0</v>
      </c>
      <c r="Z84" s="291">
        <v>0</v>
      </c>
      <c r="AA84" s="291">
        <v>0</v>
      </c>
      <c r="AB84" s="292">
        <v>0</v>
      </c>
    </row>
    <row r="85" spans="1:28" ht="15" customHeight="1">
      <c r="A85" s="265" t="s">
        <v>73</v>
      </c>
      <c r="B85" s="266" t="s">
        <v>172</v>
      </c>
      <c r="C85" s="267"/>
      <c r="D85" s="268"/>
      <c r="E85" s="285">
        <v>0</v>
      </c>
      <c r="F85" s="285">
        <v>0</v>
      </c>
      <c r="G85" s="285">
        <v>0</v>
      </c>
      <c r="H85" s="285">
        <v>0</v>
      </c>
      <c r="I85" s="285">
        <v>0</v>
      </c>
      <c r="J85" s="285">
        <v>0</v>
      </c>
      <c r="K85" s="285">
        <v>0</v>
      </c>
      <c r="L85" s="285">
        <v>0</v>
      </c>
      <c r="M85" s="285">
        <v>0</v>
      </c>
      <c r="N85" s="285">
        <v>73</v>
      </c>
      <c r="O85" s="285">
        <v>226</v>
      </c>
      <c r="P85" s="285">
        <v>335</v>
      </c>
      <c r="Q85" s="285">
        <v>382</v>
      </c>
      <c r="R85" s="285">
        <v>382</v>
      </c>
      <c r="S85" s="285">
        <v>325</v>
      </c>
      <c r="T85" s="285">
        <v>221</v>
      </c>
      <c r="U85" s="285">
        <v>107</v>
      </c>
      <c r="V85" s="285">
        <v>-3</v>
      </c>
      <c r="W85" s="285">
        <v>0</v>
      </c>
      <c r="X85" s="285">
        <v>0</v>
      </c>
      <c r="Y85" s="285">
        <v>0</v>
      </c>
      <c r="Z85" s="285">
        <v>0</v>
      </c>
      <c r="AA85" s="285">
        <v>0</v>
      </c>
      <c r="AB85" s="286">
        <v>0</v>
      </c>
    </row>
    <row r="86" spans="1:28" ht="15" customHeight="1">
      <c r="A86" s="269"/>
      <c r="B86" s="270" t="s">
        <v>173</v>
      </c>
      <c r="C86" s="271"/>
      <c r="D86" s="272"/>
      <c r="E86" s="288">
        <v>0</v>
      </c>
      <c r="F86" s="288">
        <v>0</v>
      </c>
      <c r="G86" s="288">
        <v>0</v>
      </c>
      <c r="H86" s="288">
        <v>0</v>
      </c>
      <c r="I86" s="288">
        <v>0</v>
      </c>
      <c r="J86" s="288">
        <v>0</v>
      </c>
      <c r="K86" s="288">
        <v>0</v>
      </c>
      <c r="L86" s="288">
        <v>0</v>
      </c>
      <c r="M86" s="288">
        <v>0</v>
      </c>
      <c r="N86" s="288">
        <v>0</v>
      </c>
      <c r="O86" s="288">
        <v>0</v>
      </c>
      <c r="P86" s="288">
        <v>0</v>
      </c>
      <c r="Q86" s="288">
        <v>0</v>
      </c>
      <c r="R86" s="288">
        <v>0</v>
      </c>
      <c r="S86" s="288">
        <v>3.5999999999999997E-2</v>
      </c>
      <c r="T86" s="288">
        <v>0.112</v>
      </c>
      <c r="U86" s="288">
        <v>0</v>
      </c>
      <c r="V86" s="288">
        <v>0</v>
      </c>
      <c r="W86" s="288">
        <v>0</v>
      </c>
      <c r="X86" s="288">
        <v>0</v>
      </c>
      <c r="Y86" s="288">
        <v>0</v>
      </c>
      <c r="Z86" s="288">
        <v>0</v>
      </c>
      <c r="AA86" s="288">
        <v>0</v>
      </c>
      <c r="AB86" s="289">
        <v>0</v>
      </c>
    </row>
    <row r="87" spans="1:28" ht="15" customHeight="1" thickBot="1">
      <c r="A87" s="273"/>
      <c r="B87" s="274" t="s">
        <v>174</v>
      </c>
      <c r="C87" s="275"/>
      <c r="D87" s="276"/>
      <c r="E87" s="291">
        <v>0</v>
      </c>
      <c r="F87" s="291">
        <v>0</v>
      </c>
      <c r="G87" s="291">
        <v>0</v>
      </c>
      <c r="H87" s="291">
        <v>0</v>
      </c>
      <c r="I87" s="291">
        <v>0</v>
      </c>
      <c r="J87" s="291">
        <v>19</v>
      </c>
      <c r="K87" s="291">
        <v>47</v>
      </c>
      <c r="L87" s="291">
        <v>72</v>
      </c>
      <c r="M87" s="291">
        <v>88</v>
      </c>
      <c r="N87" s="291">
        <v>97</v>
      </c>
      <c r="O87" s="291">
        <v>101</v>
      </c>
      <c r="P87" s="291">
        <v>101</v>
      </c>
      <c r="Q87" s="291">
        <v>98</v>
      </c>
      <c r="R87" s="291">
        <v>91</v>
      </c>
      <c r="S87" s="291">
        <v>90</v>
      </c>
      <c r="T87" s="291">
        <v>80</v>
      </c>
      <c r="U87" s="291">
        <v>24</v>
      </c>
      <c r="V87" s="291">
        <v>3</v>
      </c>
      <c r="W87" s="291">
        <v>0</v>
      </c>
      <c r="X87" s="291">
        <v>0</v>
      </c>
      <c r="Y87" s="291">
        <v>0</v>
      </c>
      <c r="Z87" s="291">
        <v>0</v>
      </c>
      <c r="AA87" s="291">
        <v>0</v>
      </c>
      <c r="AB87" s="292">
        <v>0</v>
      </c>
    </row>
    <row r="88" spans="1:28" ht="15" customHeight="1">
      <c r="A88" s="265" t="s">
        <v>74</v>
      </c>
      <c r="B88" s="266" t="s">
        <v>172</v>
      </c>
      <c r="C88" s="267"/>
      <c r="D88" s="268"/>
      <c r="E88" s="285">
        <v>0</v>
      </c>
      <c r="F88" s="285">
        <v>0</v>
      </c>
      <c r="G88" s="285">
        <v>0</v>
      </c>
      <c r="H88" s="285">
        <v>0</v>
      </c>
      <c r="I88" s="285">
        <v>0</v>
      </c>
      <c r="J88" s="285">
        <v>0</v>
      </c>
      <c r="K88" s="285">
        <v>0</v>
      </c>
      <c r="L88" s="285">
        <v>0</v>
      </c>
      <c r="M88" s="285">
        <v>0</v>
      </c>
      <c r="N88" s="285">
        <v>0</v>
      </c>
      <c r="O88" s="285">
        <v>0</v>
      </c>
      <c r="P88" s="285">
        <v>98</v>
      </c>
      <c r="Q88" s="285">
        <v>304</v>
      </c>
      <c r="R88" s="285">
        <v>443</v>
      </c>
      <c r="S88" s="285">
        <v>485</v>
      </c>
      <c r="T88" s="285">
        <v>419</v>
      </c>
      <c r="U88" s="285">
        <v>267</v>
      </c>
      <c r="V88" s="285">
        <v>0</v>
      </c>
      <c r="W88" s="285">
        <v>0</v>
      </c>
      <c r="X88" s="285">
        <v>0</v>
      </c>
      <c r="Y88" s="285">
        <v>0</v>
      </c>
      <c r="Z88" s="285">
        <v>0</v>
      </c>
      <c r="AA88" s="285">
        <v>0</v>
      </c>
      <c r="AB88" s="286">
        <v>0</v>
      </c>
    </row>
    <row r="89" spans="1:28" ht="15" customHeight="1">
      <c r="A89" s="269"/>
      <c r="B89" s="270" t="s">
        <v>173</v>
      </c>
      <c r="C89" s="271"/>
      <c r="D89" s="272"/>
      <c r="E89" s="288">
        <v>0</v>
      </c>
      <c r="F89" s="288">
        <v>0</v>
      </c>
      <c r="G89" s="288">
        <v>0</v>
      </c>
      <c r="H89" s="288">
        <v>0</v>
      </c>
      <c r="I89" s="288">
        <v>0</v>
      </c>
      <c r="J89" s="288">
        <v>0</v>
      </c>
      <c r="K89" s="288">
        <v>0</v>
      </c>
      <c r="L89" s="288">
        <v>0</v>
      </c>
      <c r="M89" s="288">
        <v>0</v>
      </c>
      <c r="N89" s="288">
        <v>0</v>
      </c>
      <c r="O89" s="288">
        <v>0</v>
      </c>
      <c r="P89" s="288">
        <v>0</v>
      </c>
      <c r="Q89" s="288">
        <v>0</v>
      </c>
      <c r="R89" s="288">
        <v>4.3999999999999997E-2</v>
      </c>
      <c r="S89" s="288">
        <v>0.51300000000000001</v>
      </c>
      <c r="T89" s="288">
        <v>0.88</v>
      </c>
      <c r="U89" s="288">
        <v>1</v>
      </c>
      <c r="V89" s="288">
        <v>0</v>
      </c>
      <c r="W89" s="288">
        <v>0</v>
      </c>
      <c r="X89" s="288">
        <v>0</v>
      </c>
      <c r="Y89" s="288">
        <v>0</v>
      </c>
      <c r="Z89" s="288">
        <v>0</v>
      </c>
      <c r="AA89" s="288">
        <v>0</v>
      </c>
      <c r="AB89" s="289">
        <v>0</v>
      </c>
    </row>
    <row r="90" spans="1:28" ht="15" customHeight="1" thickBot="1">
      <c r="A90" s="273"/>
      <c r="B90" s="274" t="s">
        <v>174</v>
      </c>
      <c r="C90" s="275"/>
      <c r="D90" s="276"/>
      <c r="E90" s="291">
        <v>0</v>
      </c>
      <c r="F90" s="291">
        <v>0</v>
      </c>
      <c r="G90" s="291">
        <v>0</v>
      </c>
      <c r="H90" s="291">
        <v>0</v>
      </c>
      <c r="I90" s="291">
        <v>0</v>
      </c>
      <c r="J90" s="291">
        <v>19</v>
      </c>
      <c r="K90" s="291">
        <v>47</v>
      </c>
      <c r="L90" s="291">
        <v>72</v>
      </c>
      <c r="M90" s="291">
        <v>88</v>
      </c>
      <c r="N90" s="291">
        <v>97</v>
      </c>
      <c r="O90" s="291">
        <v>101</v>
      </c>
      <c r="P90" s="291">
        <v>101</v>
      </c>
      <c r="Q90" s="291">
        <v>98</v>
      </c>
      <c r="R90" s="291">
        <v>111</v>
      </c>
      <c r="S90" s="291">
        <v>327</v>
      </c>
      <c r="T90" s="291">
        <v>424</v>
      </c>
      <c r="U90" s="291">
        <v>291</v>
      </c>
      <c r="V90" s="291">
        <v>3</v>
      </c>
      <c r="W90" s="291">
        <v>0</v>
      </c>
      <c r="X90" s="291">
        <v>0</v>
      </c>
      <c r="Y90" s="291">
        <v>0</v>
      </c>
      <c r="Z90" s="291">
        <v>0</v>
      </c>
      <c r="AA90" s="291">
        <v>0</v>
      </c>
      <c r="AB90" s="292">
        <v>0</v>
      </c>
    </row>
    <row r="91" spans="1:28" ht="15" customHeight="1">
      <c r="A91" s="265" t="s">
        <v>75</v>
      </c>
      <c r="B91" s="266" t="s">
        <v>172</v>
      </c>
      <c r="C91" s="267"/>
      <c r="D91" s="268"/>
      <c r="E91" s="285">
        <v>0</v>
      </c>
      <c r="F91" s="285">
        <v>0</v>
      </c>
      <c r="G91" s="285">
        <v>0</v>
      </c>
      <c r="H91" s="285">
        <v>0</v>
      </c>
      <c r="I91" s="285">
        <v>0</v>
      </c>
      <c r="J91" s="285">
        <v>0</v>
      </c>
      <c r="K91" s="285">
        <v>0</v>
      </c>
      <c r="L91" s="285">
        <v>0</v>
      </c>
      <c r="M91" s="285">
        <v>0</v>
      </c>
      <c r="N91" s="285">
        <v>0</v>
      </c>
      <c r="O91" s="285">
        <v>0</v>
      </c>
      <c r="P91" s="285">
        <v>0</v>
      </c>
      <c r="Q91" s="285">
        <v>0</v>
      </c>
      <c r="R91" s="285">
        <v>133</v>
      </c>
      <c r="S91" s="285">
        <v>300</v>
      </c>
      <c r="T91" s="285">
        <v>342</v>
      </c>
      <c r="U91" s="285">
        <v>258</v>
      </c>
      <c r="V91" s="285">
        <v>0</v>
      </c>
      <c r="W91" s="285">
        <v>0</v>
      </c>
      <c r="X91" s="285">
        <v>0</v>
      </c>
      <c r="Y91" s="285">
        <v>0</v>
      </c>
      <c r="Z91" s="285">
        <v>0</v>
      </c>
      <c r="AA91" s="285">
        <v>0</v>
      </c>
      <c r="AB91" s="286">
        <v>0</v>
      </c>
    </row>
    <row r="92" spans="1:28" ht="15" customHeight="1">
      <c r="A92" s="269"/>
      <c r="B92" s="270" t="s">
        <v>193</v>
      </c>
      <c r="C92" s="271"/>
      <c r="D92" s="272"/>
      <c r="E92" s="288">
        <v>0</v>
      </c>
      <c r="F92" s="288">
        <v>0</v>
      </c>
      <c r="G92" s="288">
        <v>0</v>
      </c>
      <c r="H92" s="288">
        <v>0</v>
      </c>
      <c r="I92" s="288">
        <v>0</v>
      </c>
      <c r="J92" s="288">
        <v>0</v>
      </c>
      <c r="K92" s="288">
        <v>0</v>
      </c>
      <c r="L92" s="288">
        <v>0</v>
      </c>
      <c r="M92" s="288">
        <v>0</v>
      </c>
      <c r="N92" s="288">
        <v>0</v>
      </c>
      <c r="O92" s="288">
        <v>0</v>
      </c>
      <c r="P92" s="288">
        <v>0</v>
      </c>
      <c r="Q92" s="288">
        <v>0</v>
      </c>
      <c r="R92" s="288">
        <v>0</v>
      </c>
      <c r="S92" s="288">
        <v>0.126</v>
      </c>
      <c r="T92" s="288">
        <v>0.71199999999999997</v>
      </c>
      <c r="U92" s="288">
        <v>1</v>
      </c>
      <c r="V92" s="288">
        <v>0</v>
      </c>
      <c r="W92" s="288">
        <v>0</v>
      </c>
      <c r="X92" s="288">
        <v>0</v>
      </c>
      <c r="Y92" s="288">
        <v>0</v>
      </c>
      <c r="Z92" s="288">
        <v>0</v>
      </c>
      <c r="AA92" s="288">
        <v>0</v>
      </c>
      <c r="AB92" s="289">
        <v>0</v>
      </c>
    </row>
    <row r="93" spans="1:28" ht="15" customHeight="1" thickBot="1">
      <c r="A93" s="273"/>
      <c r="B93" s="274" t="s">
        <v>174</v>
      </c>
      <c r="C93" s="275"/>
      <c r="D93" s="276"/>
      <c r="E93" s="291">
        <v>0</v>
      </c>
      <c r="F93" s="291">
        <v>0</v>
      </c>
      <c r="G93" s="291">
        <v>0</v>
      </c>
      <c r="H93" s="291">
        <v>0</v>
      </c>
      <c r="I93" s="291">
        <v>0</v>
      </c>
      <c r="J93" s="291">
        <v>19</v>
      </c>
      <c r="K93" s="291">
        <v>47</v>
      </c>
      <c r="L93" s="291">
        <v>72</v>
      </c>
      <c r="M93" s="291">
        <v>88</v>
      </c>
      <c r="N93" s="291">
        <v>97</v>
      </c>
      <c r="O93" s="291">
        <v>101</v>
      </c>
      <c r="P93" s="291">
        <v>101</v>
      </c>
      <c r="Q93" s="291">
        <v>98</v>
      </c>
      <c r="R93" s="291">
        <v>91</v>
      </c>
      <c r="S93" s="291">
        <v>116</v>
      </c>
      <c r="T93" s="291">
        <v>298</v>
      </c>
      <c r="U93" s="291">
        <v>282</v>
      </c>
      <c r="V93" s="291">
        <v>3</v>
      </c>
      <c r="W93" s="291">
        <v>0</v>
      </c>
      <c r="X93" s="291">
        <v>0</v>
      </c>
      <c r="Y93" s="291">
        <v>0</v>
      </c>
      <c r="Z93" s="291">
        <v>0</v>
      </c>
      <c r="AA93" s="291">
        <v>0</v>
      </c>
      <c r="AB93" s="292">
        <v>0</v>
      </c>
    </row>
    <row r="94" spans="1:28" ht="15" customHeight="1">
      <c r="A94" s="277" t="s">
        <v>76</v>
      </c>
      <c r="B94" s="266" t="s">
        <v>172</v>
      </c>
      <c r="C94" s="267"/>
      <c r="D94" s="268"/>
      <c r="E94" s="285">
        <v>0</v>
      </c>
      <c r="F94" s="285">
        <v>0</v>
      </c>
      <c r="G94" s="285">
        <v>0</v>
      </c>
      <c r="H94" s="285">
        <v>0</v>
      </c>
      <c r="I94" s="285">
        <v>0</v>
      </c>
      <c r="J94" s="285">
        <v>0</v>
      </c>
      <c r="K94" s="285">
        <v>0</v>
      </c>
      <c r="L94" s="285">
        <v>0</v>
      </c>
      <c r="M94" s="285">
        <v>0</v>
      </c>
      <c r="N94" s="285">
        <v>0</v>
      </c>
      <c r="O94" s="285">
        <v>0</v>
      </c>
      <c r="P94" s="285">
        <v>0</v>
      </c>
      <c r="Q94" s="285">
        <v>0</v>
      </c>
      <c r="R94" s="285">
        <v>0</v>
      </c>
      <c r="S94" s="285">
        <v>0</v>
      </c>
      <c r="T94" s="285">
        <v>0</v>
      </c>
      <c r="U94" s="285">
        <v>15</v>
      </c>
      <c r="V94" s="285">
        <v>0</v>
      </c>
      <c r="W94" s="285">
        <v>0</v>
      </c>
      <c r="X94" s="285">
        <v>0</v>
      </c>
      <c r="Y94" s="285">
        <v>0</v>
      </c>
      <c r="Z94" s="285">
        <v>0</v>
      </c>
      <c r="AA94" s="285">
        <v>0</v>
      </c>
      <c r="AB94" s="286">
        <v>0</v>
      </c>
    </row>
    <row r="95" spans="1:28" ht="15" customHeight="1">
      <c r="A95" s="278"/>
      <c r="B95" s="270" t="s">
        <v>173</v>
      </c>
      <c r="C95" s="271"/>
      <c r="D95" s="272"/>
      <c r="E95" s="288">
        <v>0</v>
      </c>
      <c r="F95" s="288">
        <v>0</v>
      </c>
      <c r="G95" s="288">
        <v>0</v>
      </c>
      <c r="H95" s="288">
        <v>0</v>
      </c>
      <c r="I95" s="288">
        <v>0</v>
      </c>
      <c r="J95" s="288">
        <v>0</v>
      </c>
      <c r="K95" s="288">
        <v>0</v>
      </c>
      <c r="L95" s="288">
        <v>0</v>
      </c>
      <c r="M95" s="288">
        <v>0</v>
      </c>
      <c r="N95" s="288">
        <v>0</v>
      </c>
      <c r="O95" s="288">
        <v>0</v>
      </c>
      <c r="P95" s="288">
        <v>0</v>
      </c>
      <c r="Q95" s="288">
        <v>0</v>
      </c>
      <c r="R95" s="288">
        <v>0</v>
      </c>
      <c r="S95" s="288">
        <v>0</v>
      </c>
      <c r="T95" s="288">
        <v>0</v>
      </c>
      <c r="U95" s="288">
        <v>0</v>
      </c>
      <c r="V95" s="288">
        <v>0</v>
      </c>
      <c r="W95" s="288">
        <v>0</v>
      </c>
      <c r="X95" s="288">
        <v>0</v>
      </c>
      <c r="Y95" s="288">
        <v>0</v>
      </c>
      <c r="Z95" s="288">
        <v>0</v>
      </c>
      <c r="AA95" s="288">
        <v>0</v>
      </c>
      <c r="AB95" s="289">
        <v>0</v>
      </c>
    </row>
    <row r="96" spans="1:28" ht="15" customHeight="1" thickBot="1">
      <c r="A96" s="279"/>
      <c r="B96" s="274" t="s">
        <v>174</v>
      </c>
      <c r="C96" s="275"/>
      <c r="D96" s="276"/>
      <c r="E96" s="291">
        <v>0</v>
      </c>
      <c r="F96" s="291">
        <v>0</v>
      </c>
      <c r="G96" s="291">
        <v>0</v>
      </c>
      <c r="H96" s="291">
        <v>0</v>
      </c>
      <c r="I96" s="291">
        <v>0</v>
      </c>
      <c r="J96" s="291">
        <v>19</v>
      </c>
      <c r="K96" s="291">
        <v>47</v>
      </c>
      <c r="L96" s="291">
        <v>72</v>
      </c>
      <c r="M96" s="291">
        <v>88</v>
      </c>
      <c r="N96" s="291">
        <v>97</v>
      </c>
      <c r="O96" s="291">
        <v>101</v>
      </c>
      <c r="P96" s="291">
        <v>101</v>
      </c>
      <c r="Q96" s="291">
        <v>98</v>
      </c>
      <c r="R96" s="291">
        <v>91</v>
      </c>
      <c r="S96" s="291">
        <v>78</v>
      </c>
      <c r="T96" s="291">
        <v>55</v>
      </c>
      <c r="U96" s="291">
        <v>24</v>
      </c>
      <c r="V96" s="291">
        <v>3</v>
      </c>
      <c r="W96" s="291">
        <v>0</v>
      </c>
      <c r="X96" s="291">
        <v>0</v>
      </c>
      <c r="Y96" s="291">
        <v>0</v>
      </c>
      <c r="Z96" s="291">
        <v>0</v>
      </c>
      <c r="AA96" s="291">
        <v>0</v>
      </c>
      <c r="AB96" s="292">
        <v>0</v>
      </c>
    </row>
  </sheetData>
  <mergeCells count="108">
    <mergeCell ref="A94:A96"/>
    <mergeCell ref="B94:D94"/>
    <mergeCell ref="B95:D95"/>
    <mergeCell ref="B96:D96"/>
    <mergeCell ref="A88:A90"/>
    <mergeCell ref="B88:D88"/>
    <mergeCell ref="B89:D89"/>
    <mergeCell ref="B90:D90"/>
    <mergeCell ref="A91:A93"/>
    <mergeCell ref="B91:D91"/>
    <mergeCell ref="B92:D92"/>
    <mergeCell ref="B93:D93"/>
    <mergeCell ref="A82:A84"/>
    <mergeCell ref="B82:D82"/>
    <mergeCell ref="B83:D83"/>
    <mergeCell ref="B84:D84"/>
    <mergeCell ref="A85:A87"/>
    <mergeCell ref="B85:D85"/>
    <mergeCell ref="B86:D86"/>
    <mergeCell ref="B87:D87"/>
    <mergeCell ref="A76:A78"/>
    <mergeCell ref="B76:D76"/>
    <mergeCell ref="B77:D77"/>
    <mergeCell ref="B78:D78"/>
    <mergeCell ref="A79:A81"/>
    <mergeCell ref="B79:D79"/>
    <mergeCell ref="B80:D80"/>
    <mergeCell ref="B81:D81"/>
    <mergeCell ref="B71:D71"/>
    <mergeCell ref="B72:D72"/>
    <mergeCell ref="A73:A75"/>
    <mergeCell ref="B73:D73"/>
    <mergeCell ref="B74:D74"/>
    <mergeCell ref="B75:D75"/>
    <mergeCell ref="A65:A67"/>
    <mergeCell ref="B65:D65"/>
    <mergeCell ref="B66:D66"/>
    <mergeCell ref="B67:D67"/>
    <mergeCell ref="B69:D69"/>
    <mergeCell ref="B70:D70"/>
    <mergeCell ref="A59:A61"/>
    <mergeCell ref="B59:D59"/>
    <mergeCell ref="B60:D60"/>
    <mergeCell ref="B61:D61"/>
    <mergeCell ref="A62:A64"/>
    <mergeCell ref="B62:D62"/>
    <mergeCell ref="B63:D63"/>
    <mergeCell ref="B64:D64"/>
    <mergeCell ref="A53:A55"/>
    <mergeCell ref="B53:D53"/>
    <mergeCell ref="B54:D54"/>
    <mergeCell ref="B55:D55"/>
    <mergeCell ref="A56:A58"/>
    <mergeCell ref="B56:D56"/>
    <mergeCell ref="B57:D57"/>
    <mergeCell ref="B58:D58"/>
    <mergeCell ref="A47:A49"/>
    <mergeCell ref="B47:D47"/>
    <mergeCell ref="B48:D48"/>
    <mergeCell ref="B49:D49"/>
    <mergeCell ref="A50:A52"/>
    <mergeCell ref="B50:D50"/>
    <mergeCell ref="B51:D51"/>
    <mergeCell ref="B52:D52"/>
    <mergeCell ref="B42:D42"/>
    <mergeCell ref="B43:D43"/>
    <mergeCell ref="A44:A46"/>
    <mergeCell ref="B44:D44"/>
    <mergeCell ref="B45:D45"/>
    <mergeCell ref="B46:D46"/>
    <mergeCell ref="A36:A38"/>
    <mergeCell ref="B36:D36"/>
    <mergeCell ref="B37:D37"/>
    <mergeCell ref="B38:D38"/>
    <mergeCell ref="B40:D40"/>
    <mergeCell ref="B41:D41"/>
    <mergeCell ref="A30:A32"/>
    <mergeCell ref="B30:D30"/>
    <mergeCell ref="B31:D31"/>
    <mergeCell ref="B32:D32"/>
    <mergeCell ref="A33:A35"/>
    <mergeCell ref="B33:D33"/>
    <mergeCell ref="B34:D34"/>
    <mergeCell ref="B35:D35"/>
    <mergeCell ref="A24:A26"/>
    <mergeCell ref="B24:D24"/>
    <mergeCell ref="B25:D25"/>
    <mergeCell ref="B26:D26"/>
    <mergeCell ref="A27:A29"/>
    <mergeCell ref="B27:D27"/>
    <mergeCell ref="B28:D28"/>
    <mergeCell ref="B29:D29"/>
    <mergeCell ref="A18:A20"/>
    <mergeCell ref="B18:D18"/>
    <mergeCell ref="B19:D19"/>
    <mergeCell ref="B20:D20"/>
    <mergeCell ref="A21:A23"/>
    <mergeCell ref="B21:D21"/>
    <mergeCell ref="B22:D22"/>
    <mergeCell ref="B23:D23"/>
    <mergeCell ref="B11:D11"/>
    <mergeCell ref="B12:D12"/>
    <mergeCell ref="B13:D13"/>
    <mergeCell ref="B14:D14"/>
    <mergeCell ref="A15:A17"/>
    <mergeCell ref="B15:D15"/>
    <mergeCell ref="B16:D16"/>
    <mergeCell ref="B17:D17"/>
  </mergeCells>
  <phoneticPr fontId="3"/>
  <printOptions horizontalCentered="1"/>
  <pageMargins left="0.59055118110236227" right="0.47244094488188981" top="0.62992125984251968" bottom="0.39370078740157483" header="0.39370078740157483" footer="0.15748031496062992"/>
  <pageSetup paperSize="9" scale="69" fitToHeight="0" orientation="landscape" horizontalDpi="400" verticalDpi="400" r:id="rId1"/>
  <headerFooter scaleWithDoc="0">
    <oddFooter>&amp;C&amp;"ＭＳ Ｐゴシック,標準"&amp;9( &amp;P / &amp;N )</oddFooter>
  </headerFooter>
  <rowBreaks count="2" manualBreakCount="2">
    <brk id="38" max="16383" man="1"/>
    <brk id="67" max="2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198</v>
      </c>
    </row>
    <row r="6" spans="1:5" ht="30" customHeight="1">
      <c r="A6" s="6"/>
    </row>
    <row r="7" spans="1:5" ht="30" customHeight="1">
      <c r="A7" s="6" t="s">
        <v>199</v>
      </c>
    </row>
    <row r="8" spans="1:5" ht="30" customHeight="1">
      <c r="A8" s="6"/>
    </row>
    <row r="9" spans="1:5" ht="30" customHeight="1">
      <c r="A9" s="6"/>
    </row>
    <row r="10" spans="1:5" ht="30" customHeight="1">
      <c r="A10" s="6"/>
    </row>
    <row r="11" spans="1:5" ht="30" customHeight="1">
      <c r="A11" s="6"/>
    </row>
    <row r="12" spans="1:5" ht="30" customHeight="1">
      <c r="A12" s="6"/>
    </row>
    <row r="13" spans="1:5" ht="30" customHeight="1">
      <c r="A13" s="6"/>
    </row>
  </sheetData>
  <sheetProtection insertRows="0" deleteRows="0" sort="0" autoFilter="0"/>
  <phoneticPr fontId="3"/>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oddFooter>&amp;C&amp;"ＭＳ Ｐゴシック,標準"&amp;9( &amp;P / &amp;N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406"/>
  <sheetViews>
    <sheetView showGridLines="0" workbookViewId="0">
      <selection activeCell="A6" sqref="A6"/>
    </sheetView>
  </sheetViews>
  <sheetFormatPr defaultColWidth="8.5703125" defaultRowHeight="13.5" customHeight="1"/>
  <cols>
    <col min="1" max="1" width="20.140625" style="302" customWidth="1"/>
    <col min="2" max="2" width="3" style="363" customWidth="1"/>
    <col min="3" max="3" width="23.5703125" style="302" customWidth="1"/>
    <col min="4" max="4" width="7.140625" style="364" customWidth="1"/>
    <col min="5" max="6" width="10.5703125" style="365" customWidth="1"/>
    <col min="7" max="7" width="20.140625" style="302" customWidth="1"/>
    <col min="8" max="8" width="3" style="363" customWidth="1"/>
    <col min="9" max="9" width="23.5703125" style="302" customWidth="1"/>
    <col min="10" max="10" width="7.140625" style="364" customWidth="1"/>
    <col min="11" max="12" width="10.5703125" style="365" customWidth="1"/>
    <col min="13" max="16384" width="8.5703125" style="302"/>
  </cols>
  <sheetData>
    <row r="1" spans="1:13" s="297" customFormat="1" ht="18" customHeight="1">
      <c r="A1" s="293" t="s">
        <v>200</v>
      </c>
      <c r="B1" s="294"/>
      <c r="C1" s="294"/>
      <c r="D1" s="294"/>
      <c r="E1" s="294"/>
      <c r="F1" s="294"/>
      <c r="G1" s="294"/>
      <c r="H1" s="295"/>
      <c r="I1" s="295"/>
      <c r="J1" s="294"/>
      <c r="K1" s="294"/>
      <c r="L1" s="296"/>
    </row>
    <row r="2" spans="1:13" ht="6.95" customHeight="1">
      <c r="A2" s="298"/>
      <c r="B2" s="299"/>
      <c r="C2" s="298"/>
      <c r="D2" s="300"/>
      <c r="E2" s="301"/>
      <c r="F2" s="301"/>
      <c r="G2" s="298"/>
      <c r="H2" s="299"/>
      <c r="I2" s="298"/>
      <c r="J2" s="300"/>
      <c r="K2" s="301"/>
      <c r="L2" s="301"/>
    </row>
    <row r="3" spans="1:13" ht="13.5" customHeight="1">
      <c r="A3" s="303" t="s">
        <v>201</v>
      </c>
      <c r="B3" s="304" t="s">
        <v>202</v>
      </c>
      <c r="C3" s="305" t="s">
        <v>203</v>
      </c>
      <c r="D3" s="306" t="s">
        <v>204</v>
      </c>
      <c r="E3" s="307" t="s">
        <v>205</v>
      </c>
      <c r="F3" s="308" t="s">
        <v>206</v>
      </c>
      <c r="G3" s="303" t="s">
        <v>201</v>
      </c>
      <c r="H3" s="304" t="s">
        <v>202</v>
      </c>
      <c r="I3" s="305" t="s">
        <v>203</v>
      </c>
      <c r="J3" s="306" t="s">
        <v>207</v>
      </c>
      <c r="K3" s="307" t="s">
        <v>208</v>
      </c>
      <c r="L3" s="309" t="s">
        <v>209</v>
      </c>
    </row>
    <row r="4" spans="1:13" ht="13.5" customHeight="1">
      <c r="A4" s="310"/>
      <c r="B4" s="311"/>
      <c r="C4" s="312"/>
      <c r="D4" s="313"/>
      <c r="E4" s="314"/>
      <c r="F4" s="315"/>
      <c r="G4" s="310"/>
      <c r="H4" s="316"/>
      <c r="I4" s="312"/>
      <c r="J4" s="313"/>
      <c r="K4" s="314"/>
      <c r="L4" s="317"/>
    </row>
    <row r="5" spans="1:13" ht="13.5" customHeight="1">
      <c r="A5" s="310"/>
      <c r="B5" s="311"/>
      <c r="C5" s="312"/>
      <c r="D5" s="313"/>
      <c r="E5" s="314"/>
      <c r="F5" s="315"/>
      <c r="G5" s="310"/>
      <c r="H5" s="316"/>
      <c r="I5" s="312"/>
      <c r="J5" s="313"/>
      <c r="K5" s="314"/>
      <c r="L5" s="317"/>
    </row>
    <row r="6" spans="1:13" ht="13.5" customHeight="1">
      <c r="A6" s="318" t="s">
        <v>211</v>
      </c>
      <c r="B6" s="319"/>
      <c r="C6" s="320" t="s">
        <v>215</v>
      </c>
      <c r="D6" s="367" t="s">
        <v>216</v>
      </c>
      <c r="E6" s="322" t="s">
        <v>217</v>
      </c>
      <c r="F6" s="323">
        <v>4.2999999999999997E-2</v>
      </c>
      <c r="G6" s="318" t="s">
        <v>230</v>
      </c>
      <c r="H6" s="319">
        <v>1</v>
      </c>
      <c r="I6" s="372" t="s">
        <v>232</v>
      </c>
      <c r="J6" s="321"/>
      <c r="K6" s="322"/>
      <c r="L6" s="323"/>
      <c r="M6" s="366" t="s">
        <v>210</v>
      </c>
    </row>
    <row r="7" spans="1:13" ht="13.5" customHeight="1">
      <c r="A7" s="324" t="s">
        <v>212</v>
      </c>
      <c r="B7" s="325">
        <v>1</v>
      </c>
      <c r="C7" s="326" t="s">
        <v>218</v>
      </c>
      <c r="D7" s="327">
        <v>0.10000000149011612</v>
      </c>
      <c r="E7" s="328">
        <v>0.19</v>
      </c>
      <c r="F7" s="329">
        <v>0.52600000000000002</v>
      </c>
      <c r="G7" s="324" t="s">
        <v>231</v>
      </c>
      <c r="H7" s="325"/>
      <c r="I7" s="373"/>
      <c r="J7" s="327"/>
      <c r="K7" s="328"/>
      <c r="L7" s="329"/>
    </row>
    <row r="8" spans="1:13" ht="13.5" customHeight="1">
      <c r="A8" s="324" t="s">
        <v>213</v>
      </c>
      <c r="B8" s="325">
        <v>2</v>
      </c>
      <c r="C8" s="326" t="s">
        <v>219</v>
      </c>
      <c r="D8" s="327">
        <v>2.500000037252903E-2</v>
      </c>
      <c r="E8" s="328">
        <v>0.04</v>
      </c>
      <c r="F8" s="329">
        <v>0.625</v>
      </c>
      <c r="G8" s="324"/>
      <c r="H8" s="325"/>
      <c r="I8" s="326" t="s">
        <v>233</v>
      </c>
      <c r="J8" s="327"/>
      <c r="K8" s="328"/>
      <c r="L8" s="329"/>
    </row>
    <row r="9" spans="1:13" ht="13.5" customHeight="1">
      <c r="A9" s="324" t="s">
        <v>214</v>
      </c>
      <c r="B9" s="325">
        <v>3</v>
      </c>
      <c r="C9" s="326" t="s">
        <v>220</v>
      </c>
      <c r="D9" s="368" t="s">
        <v>216</v>
      </c>
      <c r="E9" s="369" t="s">
        <v>216</v>
      </c>
      <c r="F9" s="329">
        <v>7.0000000000000007E-2</v>
      </c>
      <c r="G9" s="324"/>
      <c r="H9" s="325"/>
      <c r="I9" s="326" t="s">
        <v>234</v>
      </c>
      <c r="J9" s="327"/>
      <c r="K9" s="328"/>
      <c r="L9" s="329"/>
    </row>
    <row r="10" spans="1:13" ht="13.5" customHeight="1">
      <c r="A10" s="324"/>
      <c r="B10" s="325">
        <v>4</v>
      </c>
      <c r="C10" s="326" t="s">
        <v>221</v>
      </c>
      <c r="D10" s="327">
        <v>1.2000000104308128E-2</v>
      </c>
      <c r="E10" s="328">
        <v>0.22</v>
      </c>
      <c r="F10" s="329">
        <v>5.5E-2</v>
      </c>
      <c r="G10" s="324"/>
      <c r="H10" s="325"/>
      <c r="I10" s="326"/>
      <c r="J10" s="327"/>
      <c r="K10" s="328"/>
      <c r="L10" s="329"/>
    </row>
    <row r="11" spans="1:13" ht="13.5" customHeight="1">
      <c r="A11" s="324"/>
      <c r="B11" s="325">
        <v>5</v>
      </c>
      <c r="C11" s="326" t="s">
        <v>222</v>
      </c>
      <c r="D11" s="327">
        <v>6.0000000521540642E-3</v>
      </c>
      <c r="E11" s="328">
        <v>0.2</v>
      </c>
      <c r="F11" s="329">
        <v>0.03</v>
      </c>
      <c r="G11" s="324"/>
      <c r="H11" s="325"/>
      <c r="I11" s="326"/>
      <c r="J11" s="327"/>
      <c r="K11" s="328"/>
      <c r="L11" s="329"/>
    </row>
    <row r="12" spans="1:13" ht="13.5" customHeight="1">
      <c r="A12" s="324"/>
      <c r="B12" s="325"/>
      <c r="C12" s="326" t="s">
        <v>223</v>
      </c>
      <c r="D12" s="368" t="s">
        <v>216</v>
      </c>
      <c r="E12" s="328" t="s">
        <v>224</v>
      </c>
      <c r="F12" s="329">
        <v>0.111</v>
      </c>
      <c r="G12" s="324"/>
      <c r="H12" s="325"/>
      <c r="I12" s="326"/>
      <c r="J12" s="327"/>
      <c r="K12" s="328"/>
      <c r="L12" s="329"/>
    </row>
    <row r="13" spans="1:13" ht="13.5" customHeight="1">
      <c r="A13" s="324"/>
      <c r="B13" s="325"/>
      <c r="C13" s="326"/>
      <c r="D13" s="327"/>
      <c r="E13" s="328"/>
      <c r="F13" s="329"/>
      <c r="G13" s="324"/>
      <c r="H13" s="325"/>
      <c r="I13" s="326"/>
      <c r="J13" s="327"/>
      <c r="K13" s="328"/>
      <c r="L13" s="329"/>
    </row>
    <row r="14" spans="1:13" ht="13.5" customHeight="1">
      <c r="A14" s="324"/>
      <c r="B14" s="325"/>
      <c r="C14" s="326"/>
      <c r="D14" s="327"/>
      <c r="E14" s="328"/>
      <c r="F14" s="329"/>
      <c r="G14" s="324"/>
      <c r="H14" s="325"/>
      <c r="I14" s="326"/>
      <c r="J14" s="327"/>
      <c r="K14" s="328"/>
      <c r="L14" s="329"/>
    </row>
    <row r="15" spans="1:13" ht="13.5" customHeight="1">
      <c r="A15" s="324"/>
      <c r="B15" s="325"/>
      <c r="C15" s="326"/>
      <c r="D15" s="327"/>
      <c r="E15" s="328"/>
      <c r="F15" s="329"/>
      <c r="G15" s="324"/>
      <c r="H15" s="325"/>
      <c r="I15" s="326"/>
      <c r="J15" s="327"/>
      <c r="K15" s="328"/>
      <c r="L15" s="329"/>
    </row>
    <row r="16" spans="1:13" ht="13.5" customHeight="1">
      <c r="A16" s="324"/>
      <c r="B16" s="325"/>
      <c r="C16" s="326"/>
      <c r="D16" s="327"/>
      <c r="E16" s="328"/>
      <c r="F16" s="329"/>
      <c r="G16" s="324"/>
      <c r="H16" s="325"/>
      <c r="I16" s="326"/>
      <c r="J16" s="327"/>
      <c r="K16" s="328"/>
      <c r="L16" s="329"/>
    </row>
    <row r="17" spans="1:12" ht="13.5" customHeight="1">
      <c r="A17" s="324"/>
      <c r="B17" s="325"/>
      <c r="C17" s="326"/>
      <c r="D17" s="327"/>
      <c r="E17" s="328"/>
      <c r="F17" s="329"/>
      <c r="G17" s="324"/>
      <c r="H17" s="325"/>
      <c r="I17" s="326"/>
      <c r="J17" s="327"/>
      <c r="K17" s="328"/>
      <c r="L17" s="329"/>
    </row>
    <row r="18" spans="1:12" ht="13.5" customHeight="1">
      <c r="A18" s="324"/>
      <c r="B18" s="325"/>
      <c r="C18" s="326"/>
      <c r="D18" s="327"/>
      <c r="E18" s="328"/>
      <c r="F18" s="329"/>
      <c r="G18" s="324"/>
      <c r="H18" s="325"/>
      <c r="I18" s="326"/>
      <c r="J18" s="327"/>
      <c r="K18" s="328"/>
      <c r="L18" s="329"/>
    </row>
    <row r="19" spans="1:12" ht="13.5" customHeight="1">
      <c r="A19" s="324"/>
      <c r="B19" s="325"/>
      <c r="C19" s="326"/>
      <c r="D19" s="327"/>
      <c r="E19" s="328"/>
      <c r="F19" s="329"/>
      <c r="G19" s="324"/>
      <c r="H19" s="325"/>
      <c r="I19" s="326"/>
      <c r="J19" s="327"/>
      <c r="K19" s="328"/>
      <c r="L19" s="329"/>
    </row>
    <row r="20" spans="1:12" ht="13.5" customHeight="1">
      <c r="A20" s="330"/>
      <c r="B20" s="331"/>
      <c r="C20" s="332"/>
      <c r="D20" s="333"/>
      <c r="E20" s="334"/>
      <c r="F20" s="335"/>
      <c r="G20" s="330"/>
      <c r="H20" s="331"/>
      <c r="I20" s="332"/>
      <c r="J20" s="333"/>
      <c r="K20" s="334"/>
      <c r="L20" s="335"/>
    </row>
    <row r="21" spans="1:12" ht="13.5" customHeight="1">
      <c r="A21" s="336"/>
      <c r="B21" s="337"/>
      <c r="C21" s="336" t="s">
        <v>225</v>
      </c>
      <c r="D21" s="338"/>
      <c r="E21" s="338"/>
      <c r="F21" s="339">
        <v>1.46</v>
      </c>
      <c r="G21" s="336"/>
      <c r="H21" s="337"/>
      <c r="I21" s="336"/>
      <c r="J21" s="338"/>
      <c r="K21" s="338"/>
      <c r="L21" s="339"/>
    </row>
    <row r="22" spans="1:12" ht="13.5" customHeight="1">
      <c r="A22" s="340"/>
      <c r="B22" s="341"/>
      <c r="C22" s="342" t="s">
        <v>226</v>
      </c>
      <c r="D22" s="343"/>
      <c r="E22" s="344"/>
      <c r="F22" s="345"/>
      <c r="G22" s="340"/>
      <c r="H22" s="341"/>
      <c r="I22" s="342" t="s">
        <v>236</v>
      </c>
      <c r="J22" s="343"/>
      <c r="K22" s="344" t="s">
        <v>235</v>
      </c>
      <c r="L22" s="345"/>
    </row>
    <row r="23" spans="1:12" ht="13.5" customHeight="1">
      <c r="A23" s="324" t="s">
        <v>211</v>
      </c>
      <c r="B23" s="325"/>
      <c r="C23" s="346" t="s">
        <v>215</v>
      </c>
      <c r="D23" s="370" t="s">
        <v>216</v>
      </c>
      <c r="E23" s="348" t="s">
        <v>217</v>
      </c>
      <c r="F23" s="349">
        <v>4.2999999999999997E-2</v>
      </c>
      <c r="G23" s="324" t="s">
        <v>230</v>
      </c>
      <c r="H23" s="325">
        <v>1</v>
      </c>
      <c r="I23" s="374" t="s">
        <v>232</v>
      </c>
      <c r="J23" s="347"/>
      <c r="K23" s="348"/>
      <c r="L23" s="349"/>
    </row>
    <row r="24" spans="1:12" ht="13.5" customHeight="1">
      <c r="A24" s="324" t="s">
        <v>227</v>
      </c>
      <c r="B24" s="325">
        <v>1</v>
      </c>
      <c r="C24" s="346" t="s">
        <v>218</v>
      </c>
      <c r="D24" s="347">
        <v>0.10000000149011612</v>
      </c>
      <c r="E24" s="348">
        <v>0.19</v>
      </c>
      <c r="F24" s="349">
        <v>0.52600000000000002</v>
      </c>
      <c r="G24" s="324" t="s">
        <v>237</v>
      </c>
      <c r="H24" s="325"/>
      <c r="I24" s="373"/>
      <c r="J24" s="347"/>
      <c r="K24" s="348"/>
      <c r="L24" s="349"/>
    </row>
    <row r="25" spans="1:12" ht="13.5" customHeight="1">
      <c r="A25" s="324" t="s">
        <v>213</v>
      </c>
      <c r="B25" s="325">
        <v>2</v>
      </c>
      <c r="C25" s="346" t="s">
        <v>228</v>
      </c>
      <c r="D25" s="347">
        <v>2.500000037252903E-2</v>
      </c>
      <c r="E25" s="348">
        <v>3.4000000000000002E-2</v>
      </c>
      <c r="F25" s="349">
        <v>0.73499999999999999</v>
      </c>
      <c r="G25" s="324"/>
      <c r="H25" s="325"/>
      <c r="I25" s="346" t="s">
        <v>238</v>
      </c>
      <c r="J25" s="347"/>
      <c r="K25" s="348"/>
      <c r="L25" s="349"/>
    </row>
    <row r="26" spans="1:12" ht="13.5" customHeight="1">
      <c r="A26" s="324" t="s">
        <v>214</v>
      </c>
      <c r="B26" s="325">
        <v>3</v>
      </c>
      <c r="C26" s="346" t="s">
        <v>220</v>
      </c>
      <c r="D26" s="370" t="s">
        <v>216</v>
      </c>
      <c r="E26" s="371" t="s">
        <v>216</v>
      </c>
      <c r="F26" s="349">
        <v>7.0000000000000007E-2</v>
      </c>
      <c r="G26" s="324"/>
      <c r="H26" s="325"/>
      <c r="I26" s="346" t="s">
        <v>234</v>
      </c>
      <c r="J26" s="347"/>
      <c r="K26" s="348"/>
      <c r="L26" s="349"/>
    </row>
    <row r="27" spans="1:12" ht="13.5" customHeight="1">
      <c r="A27" s="324"/>
      <c r="B27" s="325">
        <v>4</v>
      </c>
      <c r="C27" s="346" t="s">
        <v>221</v>
      </c>
      <c r="D27" s="347">
        <v>1.2000000104308128E-2</v>
      </c>
      <c r="E27" s="348">
        <v>0.22</v>
      </c>
      <c r="F27" s="349">
        <v>5.5E-2</v>
      </c>
      <c r="G27" s="324"/>
      <c r="H27" s="325"/>
      <c r="I27" s="346"/>
      <c r="J27" s="347"/>
      <c r="K27" s="348"/>
      <c r="L27" s="349"/>
    </row>
    <row r="28" spans="1:12" ht="13.5" customHeight="1">
      <c r="A28" s="324"/>
      <c r="B28" s="325"/>
      <c r="C28" s="346" t="s">
        <v>223</v>
      </c>
      <c r="D28" s="370" t="s">
        <v>216</v>
      </c>
      <c r="E28" s="348" t="s">
        <v>224</v>
      </c>
      <c r="F28" s="349">
        <v>0.111</v>
      </c>
      <c r="G28" s="324"/>
      <c r="H28" s="325"/>
      <c r="I28" s="346"/>
      <c r="J28" s="347"/>
      <c r="K28" s="348"/>
      <c r="L28" s="349"/>
    </row>
    <row r="29" spans="1:12" ht="13.5" customHeight="1">
      <c r="A29" s="324"/>
      <c r="B29" s="325"/>
      <c r="C29" s="346"/>
      <c r="D29" s="347"/>
      <c r="E29" s="348"/>
      <c r="F29" s="349"/>
      <c r="G29" s="324"/>
      <c r="H29" s="325"/>
      <c r="I29" s="346"/>
      <c r="J29" s="347"/>
      <c r="K29" s="348"/>
      <c r="L29" s="349"/>
    </row>
    <row r="30" spans="1:12" ht="13.5" customHeight="1">
      <c r="A30" s="324"/>
      <c r="B30" s="325"/>
      <c r="C30" s="346"/>
      <c r="D30" s="347"/>
      <c r="E30" s="348"/>
      <c r="F30" s="349"/>
      <c r="G30" s="324"/>
      <c r="H30" s="325"/>
      <c r="I30" s="346"/>
      <c r="J30" s="347"/>
      <c r="K30" s="348"/>
      <c r="L30" s="349"/>
    </row>
    <row r="31" spans="1:12" ht="13.5" customHeight="1">
      <c r="A31" s="324"/>
      <c r="B31" s="325"/>
      <c r="C31" s="346"/>
      <c r="D31" s="347"/>
      <c r="E31" s="348"/>
      <c r="F31" s="349"/>
      <c r="G31" s="324"/>
      <c r="H31" s="325"/>
      <c r="I31" s="346"/>
      <c r="J31" s="347"/>
      <c r="K31" s="348"/>
      <c r="L31" s="349"/>
    </row>
    <row r="32" spans="1:12" ht="13.5" customHeight="1">
      <c r="A32" s="324"/>
      <c r="B32" s="325"/>
      <c r="C32" s="346"/>
      <c r="D32" s="347"/>
      <c r="E32" s="348"/>
      <c r="F32" s="349"/>
      <c r="G32" s="324"/>
      <c r="H32" s="325"/>
      <c r="I32" s="346"/>
      <c r="J32" s="347"/>
      <c r="K32" s="348"/>
      <c r="L32" s="349"/>
    </row>
    <row r="33" spans="1:12" ht="13.5" customHeight="1">
      <c r="A33" s="324"/>
      <c r="B33" s="325"/>
      <c r="C33" s="346"/>
      <c r="D33" s="347"/>
      <c r="E33" s="348"/>
      <c r="F33" s="349"/>
      <c r="G33" s="324"/>
      <c r="H33" s="325"/>
      <c r="I33" s="346"/>
      <c r="J33" s="347"/>
      <c r="K33" s="348"/>
      <c r="L33" s="349"/>
    </row>
    <row r="34" spans="1:12" ht="13.5" customHeight="1">
      <c r="A34" s="324"/>
      <c r="B34" s="325"/>
      <c r="C34" s="346"/>
      <c r="D34" s="347"/>
      <c r="E34" s="348"/>
      <c r="F34" s="349"/>
      <c r="G34" s="324"/>
      <c r="H34" s="325"/>
      <c r="I34" s="346"/>
      <c r="J34" s="347"/>
      <c r="K34" s="348"/>
      <c r="L34" s="349"/>
    </row>
    <row r="35" spans="1:12" ht="13.5" customHeight="1">
      <c r="A35" s="324"/>
      <c r="B35" s="325"/>
      <c r="C35" s="346"/>
      <c r="D35" s="347"/>
      <c r="E35" s="348"/>
      <c r="F35" s="349"/>
      <c r="G35" s="324"/>
      <c r="H35" s="325"/>
      <c r="I35" s="346"/>
      <c r="J35" s="347"/>
      <c r="K35" s="348"/>
      <c r="L35" s="349"/>
    </row>
    <row r="36" spans="1:12" ht="13.5" customHeight="1">
      <c r="A36" s="324"/>
      <c r="B36" s="325"/>
      <c r="C36" s="346"/>
      <c r="D36" s="347"/>
      <c r="E36" s="348"/>
      <c r="F36" s="349"/>
      <c r="G36" s="324"/>
      <c r="H36" s="325"/>
      <c r="I36" s="346"/>
      <c r="J36" s="347"/>
      <c r="K36" s="348"/>
      <c r="L36" s="349"/>
    </row>
    <row r="37" spans="1:12" ht="13.5" customHeight="1">
      <c r="A37" s="330"/>
      <c r="B37" s="331"/>
      <c r="C37" s="350"/>
      <c r="D37" s="351"/>
      <c r="E37" s="352"/>
      <c r="F37" s="353"/>
      <c r="G37" s="330"/>
      <c r="H37" s="331"/>
      <c r="I37" s="350"/>
      <c r="J37" s="351"/>
      <c r="K37" s="352"/>
      <c r="L37" s="353"/>
    </row>
    <row r="38" spans="1:12" ht="13.5" customHeight="1">
      <c r="A38" s="336"/>
      <c r="B38" s="337"/>
      <c r="C38" s="354" t="s">
        <v>225</v>
      </c>
      <c r="D38" s="355"/>
      <c r="E38" s="355"/>
      <c r="F38" s="356">
        <v>1.54</v>
      </c>
      <c r="G38" s="336"/>
      <c r="H38" s="337"/>
      <c r="I38" s="354"/>
      <c r="J38" s="355"/>
      <c r="K38" s="355"/>
      <c r="L38" s="356"/>
    </row>
    <row r="39" spans="1:12" ht="13.5" customHeight="1">
      <c r="A39" s="357"/>
      <c r="B39" s="358"/>
      <c r="C39" s="359" t="s">
        <v>229</v>
      </c>
      <c r="D39" s="360"/>
      <c r="E39" s="361"/>
      <c r="F39" s="362"/>
      <c r="G39" s="357"/>
      <c r="H39" s="358"/>
      <c r="I39" s="359" t="s">
        <v>240</v>
      </c>
      <c r="J39" s="360"/>
      <c r="K39" s="361" t="s">
        <v>239</v>
      </c>
      <c r="L39" s="362"/>
    </row>
    <row r="40" spans="1:12" ht="13.5" customHeight="1">
      <c r="A40" s="318" t="s">
        <v>230</v>
      </c>
      <c r="B40" s="319">
        <v>1</v>
      </c>
      <c r="C40" s="372" t="s">
        <v>242</v>
      </c>
      <c r="D40" s="321"/>
      <c r="E40" s="322"/>
      <c r="F40" s="323"/>
      <c r="G40" s="318" t="s">
        <v>245</v>
      </c>
      <c r="H40" s="319"/>
      <c r="I40" s="320" t="s">
        <v>215</v>
      </c>
      <c r="J40" s="367" t="s">
        <v>216</v>
      </c>
      <c r="K40" s="322" t="s">
        <v>217</v>
      </c>
      <c r="L40" s="323">
        <v>4.2999999999999997E-2</v>
      </c>
    </row>
    <row r="41" spans="1:12" ht="13.5" customHeight="1">
      <c r="A41" s="324" t="s">
        <v>241</v>
      </c>
      <c r="B41" s="325"/>
      <c r="C41" s="373"/>
      <c r="D41" s="327"/>
      <c r="E41" s="328"/>
      <c r="F41" s="329"/>
      <c r="G41" s="324" t="s">
        <v>253</v>
      </c>
      <c r="H41" s="325">
        <v>1</v>
      </c>
      <c r="I41" s="326" t="s">
        <v>248</v>
      </c>
      <c r="J41" s="327">
        <v>0.10000000149011612</v>
      </c>
      <c r="K41" s="328">
        <v>0.5</v>
      </c>
      <c r="L41" s="329">
        <v>0.2</v>
      </c>
    </row>
    <row r="42" spans="1:12" ht="13.5" customHeight="1">
      <c r="A42" s="324"/>
      <c r="B42" s="325"/>
      <c r="C42" s="326" t="s">
        <v>233</v>
      </c>
      <c r="D42" s="327"/>
      <c r="E42" s="328"/>
      <c r="F42" s="329"/>
      <c r="G42" s="324" t="s">
        <v>247</v>
      </c>
      <c r="H42" s="325">
        <v>2</v>
      </c>
      <c r="I42" s="326" t="s">
        <v>249</v>
      </c>
      <c r="J42" s="327">
        <v>5.000000074505806E-2</v>
      </c>
      <c r="K42" s="328">
        <v>3.4000000000000002E-2</v>
      </c>
      <c r="L42" s="329">
        <v>1.4710000000000001</v>
      </c>
    </row>
    <row r="43" spans="1:12" ht="13.5" customHeight="1">
      <c r="A43" s="324"/>
      <c r="B43" s="325"/>
      <c r="C43" s="326" t="s">
        <v>234</v>
      </c>
      <c r="D43" s="327"/>
      <c r="E43" s="328"/>
      <c r="F43" s="329"/>
      <c r="G43" s="324" t="s">
        <v>214</v>
      </c>
      <c r="H43" s="325">
        <v>3</v>
      </c>
      <c r="I43" s="326" t="s">
        <v>250</v>
      </c>
      <c r="J43" s="327">
        <v>9.9999997764825821E-3</v>
      </c>
      <c r="K43" s="328">
        <v>0.11</v>
      </c>
      <c r="L43" s="329">
        <v>9.0999999999999998E-2</v>
      </c>
    </row>
    <row r="44" spans="1:12" ht="13.5" customHeight="1">
      <c r="A44" s="324"/>
      <c r="B44" s="325"/>
      <c r="C44" s="326"/>
      <c r="D44" s="327"/>
      <c r="E44" s="328"/>
      <c r="F44" s="329"/>
      <c r="G44" s="324"/>
      <c r="H44" s="325">
        <v>4</v>
      </c>
      <c r="I44" s="326" t="s">
        <v>251</v>
      </c>
      <c r="J44" s="327">
        <v>0.15000000596046448</v>
      </c>
      <c r="K44" s="328">
        <v>1.6</v>
      </c>
      <c r="L44" s="329">
        <v>9.4E-2</v>
      </c>
    </row>
    <row r="45" spans="1:12" ht="13.5" customHeight="1">
      <c r="A45" s="324"/>
      <c r="B45" s="325"/>
      <c r="C45" s="326"/>
      <c r="D45" s="327"/>
      <c r="E45" s="328"/>
      <c r="F45" s="329"/>
      <c r="G45" s="324"/>
      <c r="H45" s="325">
        <v>5</v>
      </c>
      <c r="I45" s="326" t="s">
        <v>220</v>
      </c>
      <c r="J45" s="368" t="s">
        <v>216</v>
      </c>
      <c r="K45" s="369" t="s">
        <v>216</v>
      </c>
      <c r="L45" s="329">
        <v>7.0000000000000007E-2</v>
      </c>
    </row>
    <row r="46" spans="1:12" ht="13.5" customHeight="1">
      <c r="A46" s="324"/>
      <c r="B46" s="325"/>
      <c r="C46" s="326"/>
      <c r="D46" s="327"/>
      <c r="E46" s="328"/>
      <c r="F46" s="329"/>
      <c r="G46" s="324"/>
      <c r="H46" s="325">
        <v>6</v>
      </c>
      <c r="I46" s="326" t="s">
        <v>221</v>
      </c>
      <c r="J46" s="327">
        <v>8.999999612569809E-3</v>
      </c>
      <c r="K46" s="328">
        <v>0.22</v>
      </c>
      <c r="L46" s="329">
        <v>4.1000000000000002E-2</v>
      </c>
    </row>
    <row r="47" spans="1:12" ht="13.5" customHeight="1">
      <c r="A47" s="324"/>
      <c r="B47" s="325"/>
      <c r="C47" s="326"/>
      <c r="D47" s="327"/>
      <c r="E47" s="328"/>
      <c r="F47" s="329"/>
      <c r="G47" s="324"/>
      <c r="H47" s="325">
        <v>7</v>
      </c>
      <c r="I47" s="326" t="s">
        <v>222</v>
      </c>
      <c r="J47" s="327">
        <v>6.0000000521540642E-3</v>
      </c>
      <c r="K47" s="328">
        <v>0.2</v>
      </c>
      <c r="L47" s="329">
        <v>0.03</v>
      </c>
    </row>
    <row r="48" spans="1:12" ht="13.5" customHeight="1">
      <c r="A48" s="324"/>
      <c r="B48" s="325"/>
      <c r="C48" s="326"/>
      <c r="D48" s="327"/>
      <c r="E48" s="328"/>
      <c r="F48" s="329"/>
      <c r="G48" s="324"/>
      <c r="H48" s="325"/>
      <c r="I48" s="326" t="s">
        <v>223</v>
      </c>
      <c r="J48" s="368" t="s">
        <v>216</v>
      </c>
      <c r="K48" s="328" t="s">
        <v>224</v>
      </c>
      <c r="L48" s="329">
        <v>0.111</v>
      </c>
    </row>
    <row r="49" spans="1:12" ht="13.5" customHeight="1">
      <c r="A49" s="324"/>
      <c r="B49" s="325"/>
      <c r="C49" s="326"/>
      <c r="D49" s="327"/>
      <c r="E49" s="328"/>
      <c r="F49" s="329"/>
      <c r="G49" s="324"/>
      <c r="H49" s="325"/>
      <c r="I49" s="326"/>
      <c r="J49" s="327"/>
      <c r="K49" s="328"/>
      <c r="L49" s="329"/>
    </row>
    <row r="50" spans="1:12" ht="13.5" customHeight="1">
      <c r="A50" s="324"/>
      <c r="B50" s="325"/>
      <c r="C50" s="326"/>
      <c r="D50" s="327"/>
      <c r="E50" s="328"/>
      <c r="F50" s="329"/>
      <c r="G50" s="324"/>
      <c r="H50" s="325"/>
      <c r="I50" s="326"/>
      <c r="J50" s="327"/>
      <c r="K50" s="328"/>
      <c r="L50" s="329"/>
    </row>
    <row r="51" spans="1:12" ht="13.5" customHeight="1">
      <c r="A51" s="324"/>
      <c r="B51" s="325"/>
      <c r="C51" s="326"/>
      <c r="D51" s="327"/>
      <c r="E51" s="328"/>
      <c r="F51" s="329"/>
      <c r="G51" s="324"/>
      <c r="H51" s="325"/>
      <c r="I51" s="326"/>
      <c r="J51" s="327"/>
      <c r="K51" s="328"/>
      <c r="L51" s="329"/>
    </row>
    <row r="52" spans="1:12" ht="13.5" customHeight="1">
      <c r="A52" s="324"/>
      <c r="B52" s="325"/>
      <c r="C52" s="326"/>
      <c r="D52" s="327"/>
      <c r="E52" s="328"/>
      <c r="F52" s="329"/>
      <c r="G52" s="324"/>
      <c r="H52" s="325"/>
      <c r="I52" s="326"/>
      <c r="J52" s="327"/>
      <c r="K52" s="328"/>
      <c r="L52" s="329"/>
    </row>
    <row r="53" spans="1:12" ht="13.5" customHeight="1">
      <c r="A53" s="324"/>
      <c r="B53" s="325"/>
      <c r="C53" s="326"/>
      <c r="D53" s="327"/>
      <c r="E53" s="328"/>
      <c r="F53" s="329"/>
      <c r="G53" s="324"/>
      <c r="H53" s="325"/>
      <c r="I53" s="326"/>
      <c r="J53" s="327"/>
      <c r="K53" s="328"/>
      <c r="L53" s="329"/>
    </row>
    <row r="54" spans="1:12" ht="13.5" customHeight="1">
      <c r="A54" s="330"/>
      <c r="B54" s="331"/>
      <c r="C54" s="332"/>
      <c r="D54" s="333"/>
      <c r="E54" s="334"/>
      <c r="F54" s="335"/>
      <c r="G54" s="330"/>
      <c r="H54" s="331"/>
      <c r="I54" s="332"/>
      <c r="J54" s="333"/>
      <c r="K54" s="334"/>
      <c r="L54" s="335"/>
    </row>
    <row r="55" spans="1:12" ht="13.5" customHeight="1">
      <c r="A55" s="336"/>
      <c r="B55" s="337"/>
      <c r="C55" s="336"/>
      <c r="D55" s="338"/>
      <c r="E55" s="338"/>
      <c r="F55" s="339"/>
      <c r="G55" s="336"/>
      <c r="H55" s="337"/>
      <c r="I55" s="336" t="s">
        <v>225</v>
      </c>
      <c r="J55" s="338"/>
      <c r="K55" s="338"/>
      <c r="L55" s="339">
        <v>2.1509999999999998</v>
      </c>
    </row>
    <row r="56" spans="1:12" ht="13.5" customHeight="1">
      <c r="A56" s="340"/>
      <c r="B56" s="341"/>
      <c r="C56" s="342" t="s">
        <v>244</v>
      </c>
      <c r="D56" s="343"/>
      <c r="E56" s="344" t="s">
        <v>243</v>
      </c>
      <c r="F56" s="345"/>
      <c r="G56" s="340"/>
      <c r="H56" s="341"/>
      <c r="I56" s="342" t="s">
        <v>254</v>
      </c>
      <c r="J56" s="343"/>
      <c r="K56" s="344"/>
      <c r="L56" s="345"/>
    </row>
    <row r="57" spans="1:12" ht="13.5" customHeight="1">
      <c r="A57" s="324" t="s">
        <v>245</v>
      </c>
      <c r="B57" s="325"/>
      <c r="C57" s="346" t="s">
        <v>215</v>
      </c>
      <c r="D57" s="370" t="s">
        <v>216</v>
      </c>
      <c r="E57" s="348" t="s">
        <v>217</v>
      </c>
      <c r="F57" s="349">
        <v>4.2999999999999997E-2</v>
      </c>
      <c r="G57" s="324" t="s">
        <v>255</v>
      </c>
      <c r="H57" s="325"/>
      <c r="I57" s="346" t="s">
        <v>223</v>
      </c>
      <c r="J57" s="370" t="s">
        <v>216</v>
      </c>
      <c r="K57" s="348" t="s">
        <v>224</v>
      </c>
      <c r="L57" s="349">
        <v>0.111</v>
      </c>
    </row>
    <row r="58" spans="1:12" ht="13.5" customHeight="1">
      <c r="A58" s="324" t="s">
        <v>246</v>
      </c>
      <c r="B58" s="325">
        <v>1</v>
      </c>
      <c r="C58" s="346" t="s">
        <v>248</v>
      </c>
      <c r="D58" s="347">
        <v>0.10000000149011612</v>
      </c>
      <c r="E58" s="348">
        <v>0.5</v>
      </c>
      <c r="F58" s="349">
        <v>0.2</v>
      </c>
      <c r="G58" s="324" t="s">
        <v>256</v>
      </c>
      <c r="H58" s="325">
        <v>1</v>
      </c>
      <c r="I58" s="346" t="s">
        <v>222</v>
      </c>
      <c r="J58" s="347">
        <v>6.0000000521540642E-3</v>
      </c>
      <c r="K58" s="348">
        <v>0.2</v>
      </c>
      <c r="L58" s="349">
        <v>0.03</v>
      </c>
    </row>
    <row r="59" spans="1:12" ht="13.5" customHeight="1">
      <c r="A59" s="324" t="s">
        <v>247</v>
      </c>
      <c r="B59" s="325">
        <v>2</v>
      </c>
      <c r="C59" s="346" t="s">
        <v>249</v>
      </c>
      <c r="D59" s="347">
        <v>5.000000074505806E-2</v>
      </c>
      <c r="E59" s="348">
        <v>3.4000000000000002E-2</v>
      </c>
      <c r="F59" s="349">
        <v>1.4710000000000001</v>
      </c>
      <c r="G59" s="324"/>
      <c r="H59" s="325">
        <v>2</v>
      </c>
      <c r="I59" s="346" t="s">
        <v>221</v>
      </c>
      <c r="J59" s="347">
        <v>1.2000000104308128E-2</v>
      </c>
      <c r="K59" s="348">
        <v>0.22</v>
      </c>
      <c r="L59" s="349">
        <v>5.5E-2</v>
      </c>
    </row>
    <row r="60" spans="1:12" ht="13.5" customHeight="1">
      <c r="A60" s="324" t="s">
        <v>214</v>
      </c>
      <c r="B60" s="325">
        <v>3</v>
      </c>
      <c r="C60" s="346" t="s">
        <v>250</v>
      </c>
      <c r="D60" s="347">
        <v>9.9999997764825821E-3</v>
      </c>
      <c r="E60" s="348">
        <v>0.11</v>
      </c>
      <c r="F60" s="349">
        <v>9.0999999999999998E-2</v>
      </c>
      <c r="G60" s="324"/>
      <c r="H60" s="325">
        <v>3</v>
      </c>
      <c r="I60" s="346" t="s">
        <v>220</v>
      </c>
      <c r="J60" s="370" t="s">
        <v>216</v>
      </c>
      <c r="K60" s="371" t="s">
        <v>216</v>
      </c>
      <c r="L60" s="349">
        <v>7.0000000000000007E-2</v>
      </c>
    </row>
    <row r="61" spans="1:12" ht="13.5" customHeight="1">
      <c r="A61" s="324"/>
      <c r="B61" s="325">
        <v>4</v>
      </c>
      <c r="C61" s="346" t="s">
        <v>251</v>
      </c>
      <c r="D61" s="347">
        <v>0.15000000596046448</v>
      </c>
      <c r="E61" s="348">
        <v>1.6</v>
      </c>
      <c r="F61" s="349">
        <v>9.4E-2</v>
      </c>
      <c r="G61" s="324"/>
      <c r="H61" s="325">
        <v>4</v>
      </c>
      <c r="I61" s="346" t="s">
        <v>221</v>
      </c>
      <c r="J61" s="347">
        <v>1.2000000104308128E-2</v>
      </c>
      <c r="K61" s="348">
        <v>0.22</v>
      </c>
      <c r="L61" s="349">
        <v>5.5E-2</v>
      </c>
    </row>
    <row r="62" spans="1:12" ht="13.5" customHeight="1">
      <c r="A62" s="324"/>
      <c r="B62" s="325">
        <v>5</v>
      </c>
      <c r="C62" s="346" t="s">
        <v>220</v>
      </c>
      <c r="D62" s="370" t="s">
        <v>216</v>
      </c>
      <c r="E62" s="371" t="s">
        <v>216</v>
      </c>
      <c r="F62" s="349">
        <v>7.0000000000000007E-2</v>
      </c>
      <c r="G62" s="324"/>
      <c r="H62" s="325">
        <v>5</v>
      </c>
      <c r="I62" s="346" t="s">
        <v>222</v>
      </c>
      <c r="J62" s="347">
        <v>6.0000000521540642E-3</v>
      </c>
      <c r="K62" s="348">
        <v>0.2</v>
      </c>
      <c r="L62" s="349">
        <v>0.03</v>
      </c>
    </row>
    <row r="63" spans="1:12" ht="13.5" customHeight="1">
      <c r="A63" s="324"/>
      <c r="B63" s="325">
        <v>6</v>
      </c>
      <c r="C63" s="346" t="s">
        <v>221</v>
      </c>
      <c r="D63" s="347">
        <v>8.999999612569809E-3</v>
      </c>
      <c r="E63" s="348">
        <v>0.22</v>
      </c>
      <c r="F63" s="349">
        <v>4.1000000000000002E-2</v>
      </c>
      <c r="G63" s="324"/>
      <c r="H63" s="325"/>
      <c r="I63" s="346" t="s">
        <v>223</v>
      </c>
      <c r="J63" s="370" t="s">
        <v>216</v>
      </c>
      <c r="K63" s="348" t="s">
        <v>224</v>
      </c>
      <c r="L63" s="349">
        <v>0.111</v>
      </c>
    </row>
    <row r="64" spans="1:12" ht="13.5" customHeight="1">
      <c r="A64" s="324"/>
      <c r="B64" s="325"/>
      <c r="C64" s="346" t="s">
        <v>223</v>
      </c>
      <c r="D64" s="370" t="s">
        <v>216</v>
      </c>
      <c r="E64" s="348" t="s">
        <v>224</v>
      </c>
      <c r="F64" s="349">
        <v>0.111</v>
      </c>
      <c r="G64" s="324"/>
      <c r="H64" s="325"/>
      <c r="I64" s="346"/>
      <c r="J64" s="347"/>
      <c r="K64" s="348"/>
      <c r="L64" s="349"/>
    </row>
    <row r="65" spans="1:12" ht="13.5" customHeight="1">
      <c r="A65" s="324"/>
      <c r="B65" s="325"/>
      <c r="C65" s="346"/>
      <c r="D65" s="347"/>
      <c r="E65" s="348"/>
      <c r="F65" s="349"/>
      <c r="G65" s="324"/>
      <c r="H65" s="325"/>
      <c r="I65" s="346"/>
      <c r="J65" s="347"/>
      <c r="K65" s="348"/>
      <c r="L65" s="349"/>
    </row>
    <row r="66" spans="1:12" ht="13.5" customHeight="1">
      <c r="A66" s="324"/>
      <c r="B66" s="325"/>
      <c r="C66" s="346"/>
      <c r="D66" s="347"/>
      <c r="E66" s="348"/>
      <c r="F66" s="349"/>
      <c r="G66" s="324"/>
      <c r="H66" s="325"/>
      <c r="I66" s="346"/>
      <c r="J66" s="347"/>
      <c r="K66" s="348"/>
      <c r="L66" s="349"/>
    </row>
    <row r="67" spans="1:12" ht="13.5" customHeight="1">
      <c r="A67" s="324"/>
      <c r="B67" s="325"/>
      <c r="C67" s="346"/>
      <c r="D67" s="347"/>
      <c r="E67" s="348"/>
      <c r="F67" s="349"/>
      <c r="G67" s="324"/>
      <c r="H67" s="325"/>
      <c r="I67" s="346"/>
      <c r="J67" s="347"/>
      <c r="K67" s="348"/>
      <c r="L67" s="349"/>
    </row>
    <row r="68" spans="1:12" ht="13.5" customHeight="1">
      <c r="A68" s="324"/>
      <c r="B68" s="325"/>
      <c r="C68" s="346"/>
      <c r="D68" s="347"/>
      <c r="E68" s="348"/>
      <c r="F68" s="349"/>
      <c r="G68" s="324"/>
      <c r="H68" s="325"/>
      <c r="I68" s="346"/>
      <c r="J68" s="347"/>
      <c r="K68" s="348"/>
      <c r="L68" s="349"/>
    </row>
    <row r="69" spans="1:12" ht="13.5" customHeight="1">
      <c r="A69" s="324"/>
      <c r="B69" s="325"/>
      <c r="C69" s="346"/>
      <c r="D69" s="347"/>
      <c r="E69" s="348"/>
      <c r="F69" s="349"/>
      <c r="G69" s="324"/>
      <c r="H69" s="325"/>
      <c r="I69" s="346"/>
      <c r="J69" s="347"/>
      <c r="K69" s="348"/>
      <c r="L69" s="349"/>
    </row>
    <row r="70" spans="1:12" ht="13.5" customHeight="1">
      <c r="A70" s="324"/>
      <c r="B70" s="325"/>
      <c r="C70" s="346"/>
      <c r="D70" s="347"/>
      <c r="E70" s="348"/>
      <c r="F70" s="349"/>
      <c r="G70" s="324"/>
      <c r="H70" s="325"/>
      <c r="I70" s="346"/>
      <c r="J70" s="347"/>
      <c r="K70" s="348"/>
      <c r="L70" s="349"/>
    </row>
    <row r="71" spans="1:12" ht="13.5" customHeight="1">
      <c r="A71" s="330"/>
      <c r="B71" s="331"/>
      <c r="C71" s="350"/>
      <c r="D71" s="351"/>
      <c r="E71" s="352"/>
      <c r="F71" s="353"/>
      <c r="G71" s="330"/>
      <c r="H71" s="331"/>
      <c r="I71" s="350"/>
      <c r="J71" s="351"/>
      <c r="K71" s="352"/>
      <c r="L71" s="353"/>
    </row>
    <row r="72" spans="1:12" ht="13.5" customHeight="1">
      <c r="A72" s="336"/>
      <c r="B72" s="337"/>
      <c r="C72" s="354" t="s">
        <v>225</v>
      </c>
      <c r="D72" s="355"/>
      <c r="E72" s="355"/>
      <c r="F72" s="356">
        <v>2.121</v>
      </c>
      <c r="G72" s="336"/>
      <c r="H72" s="337"/>
      <c r="I72" s="354" t="s">
        <v>225</v>
      </c>
      <c r="J72" s="355"/>
      <c r="K72" s="355"/>
      <c r="L72" s="356">
        <v>0.46200000000000002</v>
      </c>
    </row>
    <row r="73" spans="1:12" ht="13.5" customHeight="1">
      <c r="A73" s="357"/>
      <c r="B73" s="358"/>
      <c r="C73" s="359" t="s">
        <v>252</v>
      </c>
      <c r="D73" s="360"/>
      <c r="E73" s="361"/>
      <c r="F73" s="362"/>
      <c r="G73" s="357"/>
      <c r="H73" s="358"/>
      <c r="I73" s="359" t="s">
        <v>257</v>
      </c>
      <c r="J73" s="360"/>
      <c r="K73" s="361"/>
      <c r="L73" s="362"/>
    </row>
    <row r="74" spans="1:12" ht="13.5" customHeight="1">
      <c r="A74" s="318" t="s">
        <v>255</v>
      </c>
      <c r="B74" s="319"/>
      <c r="C74" s="320" t="s">
        <v>223</v>
      </c>
      <c r="D74" s="367" t="s">
        <v>216</v>
      </c>
      <c r="E74" s="322" t="s">
        <v>224</v>
      </c>
      <c r="F74" s="323">
        <v>0.111</v>
      </c>
      <c r="G74" s="318" t="s">
        <v>262</v>
      </c>
      <c r="H74" s="319"/>
      <c r="I74" s="320" t="s">
        <v>223</v>
      </c>
      <c r="J74" s="367" t="s">
        <v>216</v>
      </c>
      <c r="K74" s="322" t="s">
        <v>224</v>
      </c>
      <c r="L74" s="323">
        <v>0.111</v>
      </c>
    </row>
    <row r="75" spans="1:12" ht="13.5" customHeight="1">
      <c r="A75" s="324" t="s">
        <v>258</v>
      </c>
      <c r="B75" s="325">
        <v>1</v>
      </c>
      <c r="C75" s="326" t="s">
        <v>221</v>
      </c>
      <c r="D75" s="327">
        <v>1.2000000104308128E-2</v>
      </c>
      <c r="E75" s="328">
        <v>0.22</v>
      </c>
      <c r="F75" s="329">
        <v>5.5E-2</v>
      </c>
      <c r="G75" s="324" t="s">
        <v>263</v>
      </c>
      <c r="H75" s="325">
        <v>1</v>
      </c>
      <c r="I75" s="326" t="s">
        <v>264</v>
      </c>
      <c r="J75" s="327">
        <v>2.0000000949949026E-3</v>
      </c>
      <c r="K75" s="328">
        <v>0.19</v>
      </c>
      <c r="L75" s="329">
        <v>1.0999999999999999E-2</v>
      </c>
    </row>
    <row r="76" spans="1:12" ht="13.5" customHeight="1">
      <c r="A76" s="324"/>
      <c r="B76" s="325">
        <v>2</v>
      </c>
      <c r="C76" s="326" t="s">
        <v>220</v>
      </c>
      <c r="D76" s="368" t="s">
        <v>216</v>
      </c>
      <c r="E76" s="369" t="s">
        <v>216</v>
      </c>
      <c r="F76" s="329">
        <v>7.0000000000000007E-2</v>
      </c>
      <c r="G76" s="324"/>
      <c r="H76" s="325">
        <v>2</v>
      </c>
      <c r="I76" s="326" t="s">
        <v>265</v>
      </c>
      <c r="J76" s="327">
        <v>2.9999999329447746E-2</v>
      </c>
      <c r="K76" s="328">
        <v>1.5</v>
      </c>
      <c r="L76" s="329">
        <v>0.02</v>
      </c>
    </row>
    <row r="77" spans="1:12" ht="13.5" customHeight="1">
      <c r="A77" s="324"/>
      <c r="B77" s="325">
        <v>3</v>
      </c>
      <c r="C77" s="326" t="s">
        <v>221</v>
      </c>
      <c r="D77" s="327">
        <v>1.2000000104308128E-2</v>
      </c>
      <c r="E77" s="328">
        <v>0.22</v>
      </c>
      <c r="F77" s="329">
        <v>5.5E-2</v>
      </c>
      <c r="G77" s="324"/>
      <c r="H77" s="325">
        <v>3</v>
      </c>
      <c r="I77" s="326" t="s">
        <v>251</v>
      </c>
      <c r="J77" s="327">
        <v>0.15000000596046448</v>
      </c>
      <c r="K77" s="328">
        <v>1.6</v>
      </c>
      <c r="L77" s="329">
        <v>9.4E-2</v>
      </c>
    </row>
    <row r="78" spans="1:12" ht="13.5" customHeight="1">
      <c r="A78" s="324"/>
      <c r="B78" s="325"/>
      <c r="C78" s="326" t="s">
        <v>223</v>
      </c>
      <c r="D78" s="368" t="s">
        <v>216</v>
      </c>
      <c r="E78" s="328" t="s">
        <v>224</v>
      </c>
      <c r="F78" s="329">
        <v>0.111</v>
      </c>
      <c r="G78" s="324"/>
      <c r="H78" s="325">
        <v>4</v>
      </c>
      <c r="I78" s="326" t="s">
        <v>220</v>
      </c>
      <c r="J78" s="368" t="s">
        <v>216</v>
      </c>
      <c r="K78" s="369" t="s">
        <v>216</v>
      </c>
      <c r="L78" s="329">
        <v>7.0000000000000007E-2</v>
      </c>
    </row>
    <row r="79" spans="1:12" ht="13.5" customHeight="1">
      <c r="A79" s="324"/>
      <c r="B79" s="325"/>
      <c r="C79" s="326"/>
      <c r="D79" s="327"/>
      <c r="E79" s="328"/>
      <c r="F79" s="329"/>
      <c r="G79" s="324"/>
      <c r="H79" s="325">
        <v>5</v>
      </c>
      <c r="I79" s="326" t="s">
        <v>221</v>
      </c>
      <c r="J79" s="327">
        <v>8.999999612569809E-3</v>
      </c>
      <c r="K79" s="328">
        <v>0.22</v>
      </c>
      <c r="L79" s="329">
        <v>4.1000000000000002E-2</v>
      </c>
    </row>
    <row r="80" spans="1:12" ht="13.5" customHeight="1">
      <c r="A80" s="324"/>
      <c r="B80" s="325"/>
      <c r="C80" s="326"/>
      <c r="D80" s="327"/>
      <c r="E80" s="328"/>
      <c r="F80" s="329"/>
      <c r="G80" s="324"/>
      <c r="H80" s="325"/>
      <c r="I80" s="326" t="s">
        <v>223</v>
      </c>
      <c r="J80" s="368" t="s">
        <v>216</v>
      </c>
      <c r="K80" s="328" t="s">
        <v>224</v>
      </c>
      <c r="L80" s="329">
        <v>0.111</v>
      </c>
    </row>
    <row r="81" spans="1:12" ht="13.5" customHeight="1">
      <c r="A81" s="324"/>
      <c r="B81" s="325"/>
      <c r="C81" s="326"/>
      <c r="D81" s="327"/>
      <c r="E81" s="328"/>
      <c r="F81" s="329"/>
      <c r="G81" s="324"/>
      <c r="H81" s="325"/>
      <c r="I81" s="326"/>
      <c r="J81" s="327"/>
      <c r="K81" s="328"/>
      <c r="L81" s="329"/>
    </row>
    <row r="82" spans="1:12" ht="13.5" customHeight="1">
      <c r="A82" s="324"/>
      <c r="B82" s="325"/>
      <c r="C82" s="326"/>
      <c r="D82" s="327"/>
      <c r="E82" s="328"/>
      <c r="F82" s="329"/>
      <c r="G82" s="324"/>
      <c r="H82" s="325"/>
      <c r="I82" s="326"/>
      <c r="J82" s="327"/>
      <c r="K82" s="328"/>
      <c r="L82" s="329"/>
    </row>
    <row r="83" spans="1:12" ht="13.5" customHeight="1">
      <c r="A83" s="324"/>
      <c r="B83" s="325"/>
      <c r="C83" s="326"/>
      <c r="D83" s="327"/>
      <c r="E83" s="328"/>
      <c r="F83" s="329"/>
      <c r="G83" s="324"/>
      <c r="H83" s="325"/>
      <c r="I83" s="326"/>
      <c r="J83" s="327"/>
      <c r="K83" s="328"/>
      <c r="L83" s="329"/>
    </row>
    <row r="84" spans="1:12" ht="13.5" customHeight="1">
      <c r="A84" s="324"/>
      <c r="B84" s="325"/>
      <c r="C84" s="326"/>
      <c r="D84" s="327"/>
      <c r="E84" s="328"/>
      <c r="F84" s="329"/>
      <c r="G84" s="324"/>
      <c r="H84" s="325"/>
      <c r="I84" s="326"/>
      <c r="J84" s="327"/>
      <c r="K84" s="328"/>
      <c r="L84" s="329"/>
    </row>
    <row r="85" spans="1:12" ht="13.5" customHeight="1">
      <c r="A85" s="324"/>
      <c r="B85" s="325"/>
      <c r="C85" s="326"/>
      <c r="D85" s="327"/>
      <c r="E85" s="328"/>
      <c r="F85" s="329"/>
      <c r="G85" s="324"/>
      <c r="H85" s="325"/>
      <c r="I85" s="326"/>
      <c r="J85" s="327"/>
      <c r="K85" s="328"/>
      <c r="L85" s="329"/>
    </row>
    <row r="86" spans="1:12" ht="13.5" customHeight="1">
      <c r="A86" s="324"/>
      <c r="B86" s="325"/>
      <c r="C86" s="326"/>
      <c r="D86" s="327"/>
      <c r="E86" s="328"/>
      <c r="F86" s="329"/>
      <c r="G86" s="324"/>
      <c r="H86" s="325"/>
      <c r="I86" s="326"/>
      <c r="J86" s="327"/>
      <c r="K86" s="328"/>
      <c r="L86" s="329"/>
    </row>
    <row r="87" spans="1:12" ht="13.5" customHeight="1">
      <c r="A87" s="324"/>
      <c r="B87" s="325"/>
      <c r="C87" s="326"/>
      <c r="D87" s="327"/>
      <c r="E87" s="328"/>
      <c r="F87" s="329"/>
      <c r="G87" s="324"/>
      <c r="H87" s="325"/>
      <c r="I87" s="326"/>
      <c r="J87" s="327"/>
      <c r="K87" s="328"/>
      <c r="L87" s="329"/>
    </row>
    <row r="88" spans="1:12" ht="13.5" customHeight="1">
      <c r="A88" s="330"/>
      <c r="B88" s="331"/>
      <c r="C88" s="332"/>
      <c r="D88" s="333"/>
      <c r="E88" s="334"/>
      <c r="F88" s="335"/>
      <c r="G88" s="330"/>
      <c r="H88" s="331"/>
      <c r="I88" s="332"/>
      <c r="J88" s="333"/>
      <c r="K88" s="334"/>
      <c r="L88" s="335"/>
    </row>
    <row r="89" spans="1:12" ht="13.5" customHeight="1">
      <c r="A89" s="336"/>
      <c r="B89" s="337"/>
      <c r="C89" s="336" t="s">
        <v>225</v>
      </c>
      <c r="D89" s="338"/>
      <c r="E89" s="338"/>
      <c r="F89" s="339">
        <v>0.40200000000000002</v>
      </c>
      <c r="G89" s="336"/>
      <c r="H89" s="337"/>
      <c r="I89" s="336" t="s">
        <v>225</v>
      </c>
      <c r="J89" s="338"/>
      <c r="K89" s="338"/>
      <c r="L89" s="339">
        <v>0.45800000000000002</v>
      </c>
    </row>
    <row r="90" spans="1:12" ht="13.5" customHeight="1">
      <c r="A90" s="340"/>
      <c r="B90" s="341"/>
      <c r="C90" s="342" t="s">
        <v>259</v>
      </c>
      <c r="D90" s="343"/>
      <c r="E90" s="344"/>
      <c r="F90" s="345"/>
      <c r="G90" s="340"/>
      <c r="H90" s="341"/>
      <c r="I90" s="342" t="s">
        <v>266</v>
      </c>
      <c r="J90" s="343"/>
      <c r="K90" s="344"/>
      <c r="L90" s="345"/>
    </row>
    <row r="91" spans="1:12" ht="13.5" customHeight="1">
      <c r="A91" s="324" t="s">
        <v>255</v>
      </c>
      <c r="B91" s="325"/>
      <c r="C91" s="346" t="s">
        <v>223</v>
      </c>
      <c r="D91" s="370" t="s">
        <v>216</v>
      </c>
      <c r="E91" s="348" t="s">
        <v>224</v>
      </c>
      <c r="F91" s="349">
        <v>0.111</v>
      </c>
      <c r="G91" s="324" t="s">
        <v>262</v>
      </c>
      <c r="H91" s="325"/>
      <c r="I91" s="346" t="s">
        <v>223</v>
      </c>
      <c r="J91" s="370" t="s">
        <v>216</v>
      </c>
      <c r="K91" s="348" t="s">
        <v>224</v>
      </c>
      <c r="L91" s="349">
        <v>0.111</v>
      </c>
    </row>
    <row r="92" spans="1:12" ht="13.5" customHeight="1">
      <c r="A92" s="324" t="s">
        <v>260</v>
      </c>
      <c r="B92" s="325">
        <v>1</v>
      </c>
      <c r="C92" s="346" t="s">
        <v>222</v>
      </c>
      <c r="D92" s="347">
        <v>6.0000000521540642E-3</v>
      </c>
      <c r="E92" s="348">
        <v>0.2</v>
      </c>
      <c r="F92" s="349">
        <v>0.03</v>
      </c>
      <c r="G92" s="324" t="s">
        <v>267</v>
      </c>
      <c r="H92" s="325">
        <v>1</v>
      </c>
      <c r="I92" s="346" t="s">
        <v>221</v>
      </c>
      <c r="J92" s="347">
        <v>8.999999612569809E-3</v>
      </c>
      <c r="K92" s="348">
        <v>0.22</v>
      </c>
      <c r="L92" s="349">
        <v>4.1000000000000002E-2</v>
      </c>
    </row>
    <row r="93" spans="1:12" ht="13.5" customHeight="1">
      <c r="A93" s="324"/>
      <c r="B93" s="325">
        <v>2</v>
      </c>
      <c r="C93" s="346" t="s">
        <v>221</v>
      </c>
      <c r="D93" s="347">
        <v>1.2000000104308128E-2</v>
      </c>
      <c r="E93" s="348">
        <v>0.22</v>
      </c>
      <c r="F93" s="349">
        <v>5.5E-2</v>
      </c>
      <c r="G93" s="324"/>
      <c r="H93" s="325">
        <v>2</v>
      </c>
      <c r="I93" s="346" t="s">
        <v>222</v>
      </c>
      <c r="J93" s="347">
        <v>6.0000000521540642E-3</v>
      </c>
      <c r="K93" s="348">
        <v>0.2</v>
      </c>
      <c r="L93" s="349">
        <v>0.03</v>
      </c>
    </row>
    <row r="94" spans="1:12" ht="13.5" customHeight="1">
      <c r="A94" s="324"/>
      <c r="B94" s="325">
        <v>3</v>
      </c>
      <c r="C94" s="346" t="s">
        <v>220</v>
      </c>
      <c r="D94" s="370" t="s">
        <v>216</v>
      </c>
      <c r="E94" s="371" t="s">
        <v>216</v>
      </c>
      <c r="F94" s="349">
        <v>7.0000000000000007E-2</v>
      </c>
      <c r="G94" s="324"/>
      <c r="H94" s="325"/>
      <c r="I94" s="346" t="s">
        <v>223</v>
      </c>
      <c r="J94" s="370" t="s">
        <v>216</v>
      </c>
      <c r="K94" s="348" t="s">
        <v>224</v>
      </c>
      <c r="L94" s="349">
        <v>0.111</v>
      </c>
    </row>
    <row r="95" spans="1:12" ht="13.5" customHeight="1">
      <c r="A95" s="324"/>
      <c r="B95" s="325">
        <v>4</v>
      </c>
      <c r="C95" s="346" t="s">
        <v>221</v>
      </c>
      <c r="D95" s="347">
        <v>1.2000000104308128E-2</v>
      </c>
      <c r="E95" s="348">
        <v>0.22</v>
      </c>
      <c r="F95" s="349">
        <v>5.5E-2</v>
      </c>
      <c r="G95" s="324"/>
      <c r="H95" s="325"/>
      <c r="I95" s="346"/>
      <c r="J95" s="347"/>
      <c r="K95" s="348"/>
      <c r="L95" s="349"/>
    </row>
    <row r="96" spans="1:12" ht="13.5" customHeight="1">
      <c r="A96" s="324"/>
      <c r="B96" s="325"/>
      <c r="C96" s="346" t="s">
        <v>223</v>
      </c>
      <c r="D96" s="370" t="s">
        <v>216</v>
      </c>
      <c r="E96" s="348" t="s">
        <v>224</v>
      </c>
      <c r="F96" s="349">
        <v>0.111</v>
      </c>
      <c r="G96" s="324"/>
      <c r="H96" s="325"/>
      <c r="I96" s="346"/>
      <c r="J96" s="347"/>
      <c r="K96" s="348"/>
      <c r="L96" s="349"/>
    </row>
    <row r="97" spans="1:12" ht="13.5" customHeight="1">
      <c r="A97" s="324"/>
      <c r="B97" s="325"/>
      <c r="C97" s="346"/>
      <c r="D97" s="347"/>
      <c r="E97" s="348"/>
      <c r="F97" s="349"/>
      <c r="G97" s="324"/>
      <c r="H97" s="325"/>
      <c r="I97" s="346"/>
      <c r="J97" s="347"/>
      <c r="K97" s="348"/>
      <c r="L97" s="349"/>
    </row>
    <row r="98" spans="1:12" ht="13.5" customHeight="1">
      <c r="A98" s="324"/>
      <c r="B98" s="325"/>
      <c r="C98" s="346"/>
      <c r="D98" s="347"/>
      <c r="E98" s="348"/>
      <c r="F98" s="349"/>
      <c r="G98" s="324"/>
      <c r="H98" s="325"/>
      <c r="I98" s="346"/>
      <c r="J98" s="347"/>
      <c r="K98" s="348"/>
      <c r="L98" s="349"/>
    </row>
    <row r="99" spans="1:12" ht="13.5" customHeight="1">
      <c r="A99" s="324"/>
      <c r="B99" s="325"/>
      <c r="C99" s="346"/>
      <c r="D99" s="347"/>
      <c r="E99" s="348"/>
      <c r="F99" s="349"/>
      <c r="G99" s="324"/>
      <c r="H99" s="325"/>
      <c r="I99" s="346"/>
      <c r="J99" s="347"/>
      <c r="K99" s="348"/>
      <c r="L99" s="349"/>
    </row>
    <row r="100" spans="1:12" ht="13.5" customHeight="1">
      <c r="A100" s="324"/>
      <c r="B100" s="325"/>
      <c r="C100" s="346"/>
      <c r="D100" s="347"/>
      <c r="E100" s="348"/>
      <c r="F100" s="349"/>
      <c r="G100" s="324"/>
      <c r="H100" s="325"/>
      <c r="I100" s="346"/>
      <c r="J100" s="347"/>
      <c r="K100" s="348"/>
      <c r="L100" s="349"/>
    </row>
    <row r="101" spans="1:12" ht="13.5" customHeight="1">
      <c r="A101" s="324"/>
      <c r="B101" s="325"/>
      <c r="C101" s="346"/>
      <c r="D101" s="347"/>
      <c r="E101" s="348"/>
      <c r="F101" s="349"/>
      <c r="G101" s="324"/>
      <c r="H101" s="325"/>
      <c r="I101" s="346"/>
      <c r="J101" s="347"/>
      <c r="K101" s="348"/>
      <c r="L101" s="349"/>
    </row>
    <row r="102" spans="1:12" ht="13.5" customHeight="1">
      <c r="A102" s="324"/>
      <c r="B102" s="325"/>
      <c r="C102" s="346"/>
      <c r="D102" s="347"/>
      <c r="E102" s="348"/>
      <c r="F102" s="349"/>
      <c r="G102" s="324"/>
      <c r="H102" s="325"/>
      <c r="I102" s="346"/>
      <c r="J102" s="347"/>
      <c r="K102" s="348"/>
      <c r="L102" s="349"/>
    </row>
    <row r="103" spans="1:12" ht="13.5" customHeight="1">
      <c r="A103" s="324"/>
      <c r="B103" s="325"/>
      <c r="C103" s="346"/>
      <c r="D103" s="347"/>
      <c r="E103" s="348"/>
      <c r="F103" s="349"/>
      <c r="G103" s="324"/>
      <c r="H103" s="325"/>
      <c r="I103" s="346"/>
      <c r="J103" s="347"/>
      <c r="K103" s="348"/>
      <c r="L103" s="349"/>
    </row>
    <row r="104" spans="1:12" ht="13.5" customHeight="1">
      <c r="A104" s="324"/>
      <c r="B104" s="325"/>
      <c r="C104" s="346"/>
      <c r="D104" s="347"/>
      <c r="E104" s="348"/>
      <c r="F104" s="349"/>
      <c r="G104" s="324"/>
      <c r="H104" s="325"/>
      <c r="I104" s="346"/>
      <c r="J104" s="347"/>
      <c r="K104" s="348"/>
      <c r="L104" s="349"/>
    </row>
    <row r="105" spans="1:12" ht="13.5" customHeight="1">
      <c r="A105" s="330"/>
      <c r="B105" s="331"/>
      <c r="C105" s="350"/>
      <c r="D105" s="351"/>
      <c r="E105" s="352"/>
      <c r="F105" s="353"/>
      <c r="G105" s="330"/>
      <c r="H105" s="331"/>
      <c r="I105" s="350"/>
      <c r="J105" s="351"/>
      <c r="K105" s="352"/>
      <c r="L105" s="353"/>
    </row>
    <row r="106" spans="1:12" ht="13.5" customHeight="1">
      <c r="A106" s="336"/>
      <c r="B106" s="337"/>
      <c r="C106" s="354" t="s">
        <v>225</v>
      </c>
      <c r="D106" s="355"/>
      <c r="E106" s="355"/>
      <c r="F106" s="356">
        <v>0.432</v>
      </c>
      <c r="G106" s="336"/>
      <c r="H106" s="337"/>
      <c r="I106" s="354" t="s">
        <v>225</v>
      </c>
      <c r="J106" s="355"/>
      <c r="K106" s="355"/>
      <c r="L106" s="356">
        <v>0.29299999999999998</v>
      </c>
    </row>
    <row r="107" spans="1:12" ht="13.5" customHeight="1">
      <c r="A107" s="357"/>
      <c r="B107" s="358"/>
      <c r="C107" s="359" t="s">
        <v>261</v>
      </c>
      <c r="D107" s="360"/>
      <c r="E107" s="361"/>
      <c r="F107" s="362"/>
      <c r="G107" s="357"/>
      <c r="H107" s="358"/>
      <c r="I107" s="359" t="s">
        <v>268</v>
      </c>
      <c r="J107" s="360"/>
      <c r="K107" s="361"/>
      <c r="L107" s="362"/>
    </row>
    <row r="108" spans="1:12" ht="13.5" customHeight="1">
      <c r="A108" s="318" t="s">
        <v>262</v>
      </c>
      <c r="B108" s="319"/>
      <c r="C108" s="320" t="s">
        <v>223</v>
      </c>
      <c r="D108" s="367" t="s">
        <v>216</v>
      </c>
      <c r="E108" s="322" t="s">
        <v>224</v>
      </c>
      <c r="F108" s="323">
        <v>0.111</v>
      </c>
      <c r="G108" s="318" t="s">
        <v>271</v>
      </c>
      <c r="H108" s="319"/>
      <c r="I108" s="320" t="s">
        <v>223</v>
      </c>
      <c r="J108" s="367" t="s">
        <v>216</v>
      </c>
      <c r="K108" s="322" t="s">
        <v>224</v>
      </c>
      <c r="L108" s="323">
        <v>0.111</v>
      </c>
    </row>
    <row r="109" spans="1:12" ht="13.5" customHeight="1">
      <c r="A109" s="324" t="s">
        <v>269</v>
      </c>
      <c r="B109" s="325">
        <v>1</v>
      </c>
      <c r="C109" s="326" t="s">
        <v>264</v>
      </c>
      <c r="D109" s="327">
        <v>3.0000000260770321E-3</v>
      </c>
      <c r="E109" s="328">
        <v>0.19</v>
      </c>
      <c r="F109" s="329">
        <v>1.6E-2</v>
      </c>
      <c r="G109" s="324" t="s">
        <v>276</v>
      </c>
      <c r="H109" s="325">
        <v>1</v>
      </c>
      <c r="I109" s="326" t="s">
        <v>264</v>
      </c>
      <c r="J109" s="327">
        <v>3.0000000260770321E-3</v>
      </c>
      <c r="K109" s="328">
        <v>0.19</v>
      </c>
      <c r="L109" s="329">
        <v>1.6E-2</v>
      </c>
    </row>
    <row r="110" spans="1:12" ht="13.5" customHeight="1">
      <c r="A110" s="324"/>
      <c r="B110" s="325">
        <v>2</v>
      </c>
      <c r="C110" s="326" t="s">
        <v>265</v>
      </c>
      <c r="D110" s="327">
        <v>2.9999999329447746E-2</v>
      </c>
      <c r="E110" s="328">
        <v>1.5</v>
      </c>
      <c r="F110" s="329">
        <v>0.02</v>
      </c>
      <c r="G110" s="324"/>
      <c r="H110" s="325">
        <v>2</v>
      </c>
      <c r="I110" s="326" t="s">
        <v>265</v>
      </c>
      <c r="J110" s="327">
        <v>2.9999999329447746E-2</v>
      </c>
      <c r="K110" s="328">
        <v>1.5</v>
      </c>
      <c r="L110" s="329">
        <v>0.02</v>
      </c>
    </row>
    <row r="111" spans="1:12" ht="13.5" customHeight="1">
      <c r="A111" s="324"/>
      <c r="B111" s="325">
        <v>3</v>
      </c>
      <c r="C111" s="326" t="s">
        <v>251</v>
      </c>
      <c r="D111" s="327">
        <v>0.15000000596046448</v>
      </c>
      <c r="E111" s="328">
        <v>1.6</v>
      </c>
      <c r="F111" s="329">
        <v>9.4E-2</v>
      </c>
      <c r="G111" s="324"/>
      <c r="H111" s="325">
        <v>3</v>
      </c>
      <c r="I111" s="326" t="s">
        <v>251</v>
      </c>
      <c r="J111" s="327">
        <v>0.15000000596046448</v>
      </c>
      <c r="K111" s="328">
        <v>1.6</v>
      </c>
      <c r="L111" s="329">
        <v>9.4E-2</v>
      </c>
    </row>
    <row r="112" spans="1:12" ht="13.5" customHeight="1">
      <c r="A112" s="324"/>
      <c r="B112" s="325"/>
      <c r="C112" s="326" t="s">
        <v>223</v>
      </c>
      <c r="D112" s="368" t="s">
        <v>216</v>
      </c>
      <c r="E112" s="328" t="s">
        <v>224</v>
      </c>
      <c r="F112" s="329">
        <v>0.111</v>
      </c>
      <c r="G112" s="324"/>
      <c r="H112" s="325">
        <v>4</v>
      </c>
      <c r="I112" s="326" t="s">
        <v>220</v>
      </c>
      <c r="J112" s="368" t="s">
        <v>216</v>
      </c>
      <c r="K112" s="369" t="s">
        <v>216</v>
      </c>
      <c r="L112" s="329">
        <v>7.0000000000000007E-2</v>
      </c>
    </row>
    <row r="113" spans="1:12" ht="13.5" customHeight="1">
      <c r="A113" s="324"/>
      <c r="B113" s="325"/>
      <c r="C113" s="326"/>
      <c r="D113" s="327"/>
      <c r="E113" s="328"/>
      <c r="F113" s="329"/>
      <c r="G113" s="324"/>
      <c r="H113" s="325">
        <v>5</v>
      </c>
      <c r="I113" s="326" t="s">
        <v>251</v>
      </c>
      <c r="J113" s="327">
        <v>0.15000000596046448</v>
      </c>
      <c r="K113" s="328">
        <v>1.6</v>
      </c>
      <c r="L113" s="329">
        <v>9.4E-2</v>
      </c>
    </row>
    <row r="114" spans="1:12" ht="13.5" customHeight="1">
      <c r="A114" s="324"/>
      <c r="B114" s="325"/>
      <c r="C114" s="326"/>
      <c r="D114" s="327"/>
      <c r="E114" s="328"/>
      <c r="F114" s="329"/>
      <c r="G114" s="324"/>
      <c r="H114" s="325">
        <v>6</v>
      </c>
      <c r="I114" s="326" t="s">
        <v>273</v>
      </c>
      <c r="J114" s="327">
        <v>0.15000000596046448</v>
      </c>
      <c r="K114" s="328">
        <v>3.1</v>
      </c>
      <c r="L114" s="329">
        <v>4.8000000000000001E-2</v>
      </c>
    </row>
    <row r="115" spans="1:12" ht="13.5" customHeight="1">
      <c r="A115" s="324"/>
      <c r="B115" s="325"/>
      <c r="C115" s="326"/>
      <c r="D115" s="327"/>
      <c r="E115" s="328"/>
      <c r="F115" s="329"/>
      <c r="G115" s="324"/>
      <c r="H115" s="325">
        <v>7</v>
      </c>
      <c r="I115" s="326" t="s">
        <v>274</v>
      </c>
      <c r="J115" s="327">
        <v>1</v>
      </c>
      <c r="K115" s="328">
        <v>1</v>
      </c>
      <c r="L115" s="329">
        <v>1</v>
      </c>
    </row>
    <row r="116" spans="1:12" ht="13.5" customHeight="1">
      <c r="A116" s="324"/>
      <c r="B116" s="325"/>
      <c r="C116" s="326"/>
      <c r="D116" s="327"/>
      <c r="E116" s="328"/>
      <c r="F116" s="329"/>
      <c r="G116" s="324"/>
      <c r="H116" s="325"/>
      <c r="I116" s="326"/>
      <c r="J116" s="327"/>
      <c r="K116" s="328"/>
      <c r="L116" s="329"/>
    </row>
    <row r="117" spans="1:12" ht="13.5" customHeight="1">
      <c r="A117" s="324"/>
      <c r="B117" s="325"/>
      <c r="C117" s="326"/>
      <c r="D117" s="327"/>
      <c r="E117" s="328"/>
      <c r="F117" s="329"/>
      <c r="G117" s="324"/>
      <c r="H117" s="325"/>
      <c r="I117" s="326"/>
      <c r="J117" s="327"/>
      <c r="K117" s="328"/>
      <c r="L117" s="329"/>
    </row>
    <row r="118" spans="1:12" ht="13.5" customHeight="1">
      <c r="A118" s="324"/>
      <c r="B118" s="325"/>
      <c r="C118" s="326"/>
      <c r="D118" s="327"/>
      <c r="E118" s="328"/>
      <c r="F118" s="329"/>
      <c r="G118" s="324"/>
      <c r="H118" s="325"/>
      <c r="I118" s="326"/>
      <c r="J118" s="327"/>
      <c r="K118" s="328"/>
      <c r="L118" s="329"/>
    </row>
    <row r="119" spans="1:12" ht="13.5" customHeight="1">
      <c r="A119" s="324"/>
      <c r="B119" s="325"/>
      <c r="C119" s="326"/>
      <c r="D119" s="327"/>
      <c r="E119" s="328"/>
      <c r="F119" s="329"/>
      <c r="G119" s="324"/>
      <c r="H119" s="325"/>
      <c r="I119" s="326"/>
      <c r="J119" s="327"/>
      <c r="K119" s="328"/>
      <c r="L119" s="329"/>
    </row>
    <row r="120" spans="1:12" ht="13.5" customHeight="1">
      <c r="A120" s="324"/>
      <c r="B120" s="325"/>
      <c r="C120" s="326"/>
      <c r="D120" s="327"/>
      <c r="E120" s="328"/>
      <c r="F120" s="329"/>
      <c r="G120" s="324"/>
      <c r="H120" s="325"/>
      <c r="I120" s="326"/>
      <c r="J120" s="327"/>
      <c r="K120" s="328"/>
      <c r="L120" s="329"/>
    </row>
    <row r="121" spans="1:12" ht="13.5" customHeight="1">
      <c r="A121" s="324"/>
      <c r="B121" s="325"/>
      <c r="C121" s="326"/>
      <c r="D121" s="327"/>
      <c r="E121" s="328"/>
      <c r="F121" s="329"/>
      <c r="G121" s="324"/>
      <c r="H121" s="325"/>
      <c r="I121" s="326"/>
      <c r="J121" s="327"/>
      <c r="K121" s="328"/>
      <c r="L121" s="329"/>
    </row>
    <row r="122" spans="1:12" ht="13.5" customHeight="1">
      <c r="A122" s="330"/>
      <c r="B122" s="331"/>
      <c r="C122" s="332"/>
      <c r="D122" s="333"/>
      <c r="E122" s="334"/>
      <c r="F122" s="335"/>
      <c r="G122" s="330"/>
      <c r="H122" s="331"/>
      <c r="I122" s="332"/>
      <c r="J122" s="333"/>
      <c r="K122" s="334"/>
      <c r="L122" s="335"/>
    </row>
    <row r="123" spans="1:12" ht="13.5" customHeight="1">
      <c r="A123" s="336"/>
      <c r="B123" s="337"/>
      <c r="C123" s="336" t="s">
        <v>225</v>
      </c>
      <c r="D123" s="338"/>
      <c r="E123" s="338"/>
      <c r="F123" s="339">
        <v>0.35199999999999998</v>
      </c>
      <c r="G123" s="336"/>
      <c r="H123" s="337"/>
      <c r="I123" s="336" t="s">
        <v>225</v>
      </c>
      <c r="J123" s="338"/>
      <c r="K123" s="338"/>
      <c r="L123" s="339">
        <v>1.4530000000000001</v>
      </c>
    </row>
    <row r="124" spans="1:12" ht="13.5" customHeight="1">
      <c r="A124" s="340"/>
      <c r="B124" s="341"/>
      <c r="C124" s="342" t="s">
        <v>270</v>
      </c>
      <c r="D124" s="343"/>
      <c r="E124" s="344"/>
      <c r="F124" s="345"/>
      <c r="G124" s="340"/>
      <c r="H124" s="341"/>
      <c r="I124" s="342" t="s">
        <v>277</v>
      </c>
      <c r="J124" s="343"/>
      <c r="K124" s="344"/>
      <c r="L124" s="345"/>
    </row>
    <row r="125" spans="1:12" ht="13.5" customHeight="1">
      <c r="A125" s="324" t="s">
        <v>271</v>
      </c>
      <c r="B125" s="325"/>
      <c r="C125" s="346" t="s">
        <v>223</v>
      </c>
      <c r="D125" s="370" t="s">
        <v>216</v>
      </c>
      <c r="E125" s="348" t="s">
        <v>224</v>
      </c>
      <c r="F125" s="349">
        <v>0.111</v>
      </c>
      <c r="G125" s="324" t="s">
        <v>278</v>
      </c>
      <c r="H125" s="325"/>
      <c r="I125" s="346" t="s">
        <v>223</v>
      </c>
      <c r="J125" s="370" t="s">
        <v>216</v>
      </c>
      <c r="K125" s="348" t="s">
        <v>224</v>
      </c>
      <c r="L125" s="349">
        <v>0.111</v>
      </c>
    </row>
    <row r="126" spans="1:12" ht="13.5" customHeight="1">
      <c r="A126" s="324" t="s">
        <v>272</v>
      </c>
      <c r="B126" s="325">
        <v>1</v>
      </c>
      <c r="C126" s="346" t="s">
        <v>264</v>
      </c>
      <c r="D126" s="347">
        <v>3.0000000260770321E-3</v>
      </c>
      <c r="E126" s="348">
        <v>0.19</v>
      </c>
      <c r="F126" s="349">
        <v>1.6E-2</v>
      </c>
      <c r="G126" s="324" t="s">
        <v>279</v>
      </c>
      <c r="H126" s="325">
        <v>1</v>
      </c>
      <c r="I126" s="346" t="s">
        <v>221</v>
      </c>
      <c r="J126" s="347">
        <v>1.2000000104308128E-2</v>
      </c>
      <c r="K126" s="348">
        <v>0.22</v>
      </c>
      <c r="L126" s="349">
        <v>5.5E-2</v>
      </c>
    </row>
    <row r="127" spans="1:12" ht="13.5" customHeight="1">
      <c r="A127" s="324"/>
      <c r="B127" s="325">
        <v>2</v>
      </c>
      <c r="C127" s="346" t="s">
        <v>265</v>
      </c>
      <c r="D127" s="347">
        <v>2.9999999329447746E-2</v>
      </c>
      <c r="E127" s="348">
        <v>1.5</v>
      </c>
      <c r="F127" s="349">
        <v>0.02</v>
      </c>
      <c r="G127" s="324"/>
      <c r="H127" s="325">
        <v>2</v>
      </c>
      <c r="I127" s="346" t="s">
        <v>220</v>
      </c>
      <c r="J127" s="370" t="s">
        <v>216</v>
      </c>
      <c r="K127" s="371" t="s">
        <v>216</v>
      </c>
      <c r="L127" s="349">
        <v>7.0000000000000007E-2</v>
      </c>
    </row>
    <row r="128" spans="1:12" ht="13.5" customHeight="1">
      <c r="A128" s="324"/>
      <c r="B128" s="325">
        <v>3</v>
      </c>
      <c r="C128" s="346" t="s">
        <v>251</v>
      </c>
      <c r="D128" s="347">
        <v>0.15000000596046448</v>
      </c>
      <c r="E128" s="348">
        <v>1.6</v>
      </c>
      <c r="F128" s="349">
        <v>9.4E-2</v>
      </c>
      <c r="G128" s="324"/>
      <c r="H128" s="325">
        <v>3</v>
      </c>
      <c r="I128" s="346" t="s">
        <v>280</v>
      </c>
      <c r="J128" s="347">
        <v>0.10000000149011612</v>
      </c>
      <c r="K128" s="348">
        <v>0.53</v>
      </c>
      <c r="L128" s="349">
        <v>0.189</v>
      </c>
    </row>
    <row r="129" spans="1:12" ht="13.5" customHeight="1">
      <c r="A129" s="324"/>
      <c r="B129" s="325">
        <v>4</v>
      </c>
      <c r="C129" s="346" t="s">
        <v>273</v>
      </c>
      <c r="D129" s="347">
        <v>0.15000000596046448</v>
      </c>
      <c r="E129" s="348">
        <v>3.1</v>
      </c>
      <c r="F129" s="349">
        <v>4.8000000000000001E-2</v>
      </c>
      <c r="G129" s="324"/>
      <c r="H129" s="325">
        <v>4</v>
      </c>
      <c r="I129" s="346" t="s">
        <v>220</v>
      </c>
      <c r="J129" s="370" t="s">
        <v>216</v>
      </c>
      <c r="K129" s="371" t="s">
        <v>216</v>
      </c>
      <c r="L129" s="349">
        <v>7.0000000000000007E-2</v>
      </c>
    </row>
    <row r="130" spans="1:12" ht="13.5" customHeight="1">
      <c r="A130" s="324"/>
      <c r="B130" s="325">
        <v>5</v>
      </c>
      <c r="C130" s="346" t="s">
        <v>274</v>
      </c>
      <c r="D130" s="347">
        <v>1</v>
      </c>
      <c r="E130" s="348">
        <v>1</v>
      </c>
      <c r="F130" s="349">
        <v>1</v>
      </c>
      <c r="G130" s="324"/>
      <c r="H130" s="325">
        <v>5</v>
      </c>
      <c r="I130" s="346" t="s">
        <v>251</v>
      </c>
      <c r="J130" s="347">
        <v>0.15000000596046448</v>
      </c>
      <c r="K130" s="348">
        <v>1.6</v>
      </c>
      <c r="L130" s="349">
        <v>9.4E-2</v>
      </c>
    </row>
    <row r="131" spans="1:12" ht="13.5" customHeight="1">
      <c r="A131" s="324"/>
      <c r="B131" s="325"/>
      <c r="C131" s="346"/>
      <c r="D131" s="347"/>
      <c r="E131" s="348"/>
      <c r="F131" s="349"/>
      <c r="G131" s="324"/>
      <c r="H131" s="325">
        <v>6</v>
      </c>
      <c r="I131" s="346" t="s">
        <v>274</v>
      </c>
      <c r="J131" s="347">
        <v>1</v>
      </c>
      <c r="K131" s="348">
        <v>1</v>
      </c>
      <c r="L131" s="349">
        <v>1</v>
      </c>
    </row>
    <row r="132" spans="1:12" ht="13.5" customHeight="1">
      <c r="A132" s="324"/>
      <c r="B132" s="325"/>
      <c r="C132" s="346"/>
      <c r="D132" s="347"/>
      <c r="E132" s="348"/>
      <c r="F132" s="349"/>
      <c r="G132" s="324"/>
      <c r="H132" s="325"/>
      <c r="I132" s="346"/>
      <c r="J132" s="347"/>
      <c r="K132" s="348"/>
      <c r="L132" s="349"/>
    </row>
    <row r="133" spans="1:12" ht="13.5" customHeight="1">
      <c r="A133" s="324"/>
      <c r="B133" s="325"/>
      <c r="C133" s="346"/>
      <c r="D133" s="347"/>
      <c r="E133" s="348"/>
      <c r="F133" s="349"/>
      <c r="G133" s="324"/>
      <c r="H133" s="325"/>
      <c r="I133" s="346"/>
      <c r="J133" s="347"/>
      <c r="K133" s="348"/>
      <c r="L133" s="349"/>
    </row>
    <row r="134" spans="1:12" ht="13.5" customHeight="1">
      <c r="A134" s="324"/>
      <c r="B134" s="325"/>
      <c r="C134" s="346"/>
      <c r="D134" s="347"/>
      <c r="E134" s="348"/>
      <c r="F134" s="349"/>
      <c r="G134" s="324"/>
      <c r="H134" s="325"/>
      <c r="I134" s="346"/>
      <c r="J134" s="347"/>
      <c r="K134" s="348"/>
      <c r="L134" s="349"/>
    </row>
    <row r="135" spans="1:12" ht="13.5" customHeight="1">
      <c r="A135" s="324"/>
      <c r="B135" s="325"/>
      <c r="C135" s="346"/>
      <c r="D135" s="347"/>
      <c r="E135" s="348"/>
      <c r="F135" s="349"/>
      <c r="G135" s="324"/>
      <c r="H135" s="325"/>
      <c r="I135" s="346"/>
      <c r="J135" s="347"/>
      <c r="K135" s="348"/>
      <c r="L135" s="349"/>
    </row>
    <row r="136" spans="1:12" ht="13.5" customHeight="1">
      <c r="A136" s="324"/>
      <c r="B136" s="325"/>
      <c r="C136" s="346"/>
      <c r="D136" s="347"/>
      <c r="E136" s="348"/>
      <c r="F136" s="349"/>
      <c r="G136" s="324"/>
      <c r="H136" s="325"/>
      <c r="I136" s="346"/>
      <c r="J136" s="347"/>
      <c r="K136" s="348"/>
      <c r="L136" s="349"/>
    </row>
    <row r="137" spans="1:12" ht="13.5" customHeight="1">
      <c r="A137" s="324"/>
      <c r="B137" s="325"/>
      <c r="C137" s="346"/>
      <c r="D137" s="347"/>
      <c r="E137" s="348"/>
      <c r="F137" s="349"/>
      <c r="G137" s="324"/>
      <c r="H137" s="325"/>
      <c r="I137" s="346"/>
      <c r="J137" s="347"/>
      <c r="K137" s="348"/>
      <c r="L137" s="349"/>
    </row>
    <row r="138" spans="1:12" ht="13.5" customHeight="1">
      <c r="A138" s="324"/>
      <c r="B138" s="325"/>
      <c r="C138" s="346"/>
      <c r="D138" s="347"/>
      <c r="E138" s="348"/>
      <c r="F138" s="349"/>
      <c r="G138" s="324"/>
      <c r="H138" s="325"/>
      <c r="I138" s="346"/>
      <c r="J138" s="347"/>
      <c r="K138" s="348"/>
      <c r="L138" s="349"/>
    </row>
    <row r="139" spans="1:12" ht="13.5" customHeight="1">
      <c r="A139" s="330"/>
      <c r="B139" s="331"/>
      <c r="C139" s="350"/>
      <c r="D139" s="351"/>
      <c r="E139" s="352"/>
      <c r="F139" s="353"/>
      <c r="G139" s="330"/>
      <c r="H139" s="331"/>
      <c r="I139" s="350"/>
      <c r="J139" s="351"/>
      <c r="K139" s="352"/>
      <c r="L139" s="353"/>
    </row>
    <row r="140" spans="1:12" ht="13.5" customHeight="1">
      <c r="A140" s="336"/>
      <c r="B140" s="337"/>
      <c r="C140" s="354" t="s">
        <v>225</v>
      </c>
      <c r="D140" s="355"/>
      <c r="E140" s="355"/>
      <c r="F140" s="356">
        <v>1.2889999999999999</v>
      </c>
      <c r="G140" s="336"/>
      <c r="H140" s="337"/>
      <c r="I140" s="354" t="s">
        <v>225</v>
      </c>
      <c r="J140" s="355"/>
      <c r="K140" s="355"/>
      <c r="L140" s="356">
        <v>1.589</v>
      </c>
    </row>
    <row r="141" spans="1:12" ht="13.5" customHeight="1">
      <c r="A141" s="357"/>
      <c r="B141" s="358"/>
      <c r="C141" s="359" t="s">
        <v>275</v>
      </c>
      <c r="D141" s="360"/>
      <c r="E141" s="361"/>
      <c r="F141" s="362"/>
      <c r="G141" s="357"/>
      <c r="H141" s="358"/>
      <c r="I141" s="359" t="s">
        <v>281</v>
      </c>
      <c r="J141" s="360"/>
      <c r="K141" s="361"/>
      <c r="L141" s="362"/>
    </row>
    <row r="142" spans="1:12" ht="13.5" customHeight="1">
      <c r="G142" s="365"/>
      <c r="I142" s="365"/>
    </row>
    <row r="143" spans="1:12" ht="13.5" customHeight="1">
      <c r="G143" s="365"/>
      <c r="I143" s="365"/>
    </row>
    <row r="144" spans="1:12" ht="13.5" customHeight="1">
      <c r="G144" s="365"/>
      <c r="I144" s="365"/>
    </row>
    <row r="145" spans="1:12" ht="13.5" customHeight="1">
      <c r="G145" s="365"/>
      <c r="I145" s="365"/>
    </row>
    <row r="146" spans="1:12" ht="13.5" customHeight="1">
      <c r="G146" s="365"/>
      <c r="I146" s="365"/>
    </row>
    <row r="147" spans="1:12" ht="13.5" customHeight="1">
      <c r="G147" s="365"/>
      <c r="I147" s="365"/>
    </row>
    <row r="148" spans="1:12" ht="13.5" customHeight="1">
      <c r="G148" s="365"/>
      <c r="I148" s="365"/>
    </row>
    <row r="149" spans="1:12" ht="13.5" customHeight="1">
      <c r="G149" s="365"/>
      <c r="I149" s="365"/>
    </row>
    <row r="150" spans="1:12" ht="13.5" customHeight="1">
      <c r="G150" s="365"/>
      <c r="I150" s="365"/>
    </row>
    <row r="151" spans="1:12" s="364" customFormat="1" ht="13.5" customHeight="1">
      <c r="A151" s="302"/>
      <c r="B151" s="363"/>
      <c r="C151" s="302"/>
      <c r="E151" s="365"/>
      <c r="F151" s="365"/>
      <c r="G151" s="365"/>
      <c r="H151" s="363"/>
      <c r="I151" s="365"/>
      <c r="K151" s="365"/>
      <c r="L151" s="365"/>
    </row>
    <row r="152" spans="1:12" s="364" customFormat="1" ht="13.5" customHeight="1">
      <c r="A152" s="302"/>
      <c r="B152" s="363"/>
      <c r="C152" s="302"/>
      <c r="E152" s="365"/>
      <c r="F152" s="365"/>
      <c r="G152" s="365"/>
      <c r="H152" s="363"/>
      <c r="I152" s="365"/>
      <c r="K152" s="365"/>
      <c r="L152" s="365"/>
    </row>
    <row r="153" spans="1:12" s="364" customFormat="1" ht="13.5" customHeight="1">
      <c r="A153" s="302"/>
      <c r="B153" s="363"/>
      <c r="C153" s="302"/>
      <c r="E153" s="365"/>
      <c r="F153" s="365"/>
      <c r="G153" s="365"/>
      <c r="H153" s="363"/>
      <c r="I153" s="365"/>
      <c r="K153" s="365"/>
      <c r="L153" s="365"/>
    </row>
    <row r="154" spans="1:12" s="364" customFormat="1" ht="13.5" customHeight="1">
      <c r="A154" s="302"/>
      <c r="B154" s="363"/>
      <c r="C154" s="302"/>
      <c r="E154" s="365"/>
      <c r="F154" s="365"/>
      <c r="G154" s="365"/>
      <c r="H154" s="363"/>
      <c r="I154" s="365"/>
      <c r="K154" s="365"/>
      <c r="L154" s="365"/>
    </row>
    <row r="155" spans="1:12" s="364" customFormat="1" ht="13.5" customHeight="1">
      <c r="A155" s="302"/>
      <c r="B155" s="363"/>
      <c r="C155" s="302"/>
      <c r="E155" s="365"/>
      <c r="F155" s="365"/>
      <c r="G155" s="365"/>
      <c r="H155" s="363"/>
      <c r="I155" s="365"/>
      <c r="K155" s="365"/>
      <c r="L155" s="365"/>
    </row>
    <row r="156" spans="1:12" s="364" customFormat="1" ht="13.5" customHeight="1">
      <c r="A156" s="302"/>
      <c r="B156" s="363"/>
      <c r="C156" s="302"/>
      <c r="E156" s="365"/>
      <c r="F156" s="365"/>
      <c r="G156" s="365"/>
      <c r="H156" s="363"/>
      <c r="I156" s="365"/>
      <c r="K156" s="365"/>
      <c r="L156" s="365"/>
    </row>
    <row r="157" spans="1:12" s="364" customFormat="1" ht="13.5" customHeight="1">
      <c r="A157" s="302"/>
      <c r="B157" s="363"/>
      <c r="C157" s="302"/>
      <c r="E157" s="365"/>
      <c r="F157" s="365"/>
      <c r="G157" s="365"/>
      <c r="H157" s="363"/>
      <c r="I157" s="365"/>
      <c r="K157" s="365"/>
      <c r="L157" s="365"/>
    </row>
    <row r="158" spans="1:12" s="364" customFormat="1" ht="13.5" customHeight="1">
      <c r="A158" s="302"/>
      <c r="B158" s="363"/>
      <c r="C158" s="302"/>
      <c r="E158" s="365"/>
      <c r="F158" s="365"/>
      <c r="G158" s="365"/>
      <c r="H158" s="363"/>
      <c r="I158" s="365"/>
      <c r="K158" s="365"/>
      <c r="L158" s="365"/>
    </row>
    <row r="159" spans="1:12" s="364" customFormat="1" ht="13.5" customHeight="1">
      <c r="A159" s="302"/>
      <c r="B159" s="363"/>
      <c r="C159" s="302"/>
      <c r="E159" s="365"/>
      <c r="F159" s="365"/>
      <c r="G159" s="365"/>
      <c r="H159" s="363"/>
      <c r="I159" s="365"/>
      <c r="K159" s="365"/>
      <c r="L159" s="365"/>
    </row>
    <row r="160" spans="1:12" s="364" customFormat="1" ht="13.5" customHeight="1">
      <c r="A160" s="302"/>
      <c r="B160" s="363"/>
      <c r="C160" s="302"/>
      <c r="E160" s="365"/>
      <c r="F160" s="365"/>
      <c r="G160" s="365"/>
      <c r="H160" s="363"/>
      <c r="I160" s="365"/>
      <c r="K160" s="365"/>
      <c r="L160" s="365"/>
    </row>
    <row r="161" spans="1:12" s="364" customFormat="1" ht="13.5" customHeight="1">
      <c r="A161" s="302"/>
      <c r="B161" s="363"/>
      <c r="C161" s="302"/>
      <c r="E161" s="365"/>
      <c r="F161" s="365"/>
      <c r="G161" s="365"/>
      <c r="H161" s="363"/>
      <c r="I161" s="365"/>
      <c r="K161" s="365"/>
      <c r="L161" s="365"/>
    </row>
    <row r="162" spans="1:12" s="364" customFormat="1" ht="13.5" customHeight="1">
      <c r="A162" s="302"/>
      <c r="B162" s="363"/>
      <c r="C162" s="302"/>
      <c r="E162" s="365"/>
      <c r="F162" s="365"/>
      <c r="G162" s="365"/>
      <c r="H162" s="363"/>
      <c r="I162" s="365"/>
      <c r="K162" s="365"/>
      <c r="L162" s="365"/>
    </row>
    <row r="163" spans="1:12" s="364" customFormat="1" ht="13.5" customHeight="1">
      <c r="A163" s="302"/>
      <c r="B163" s="363"/>
      <c r="C163" s="302"/>
      <c r="E163" s="365"/>
      <c r="F163" s="365"/>
      <c r="G163" s="365"/>
      <c r="H163" s="363"/>
      <c r="I163" s="365"/>
      <c r="K163" s="365"/>
      <c r="L163" s="365"/>
    </row>
    <row r="164" spans="1:12" s="364" customFormat="1" ht="13.5" customHeight="1">
      <c r="A164" s="302"/>
      <c r="B164" s="363"/>
      <c r="C164" s="302"/>
      <c r="E164" s="365"/>
      <c r="F164" s="365"/>
      <c r="G164" s="365"/>
      <c r="H164" s="363"/>
      <c r="I164" s="365"/>
      <c r="K164" s="365"/>
      <c r="L164" s="365"/>
    </row>
    <row r="165" spans="1:12" s="364" customFormat="1" ht="13.5" customHeight="1">
      <c r="A165" s="302"/>
      <c r="B165" s="363"/>
      <c r="C165" s="302"/>
      <c r="E165" s="365"/>
      <c r="F165" s="365"/>
      <c r="G165" s="365"/>
      <c r="H165" s="363"/>
      <c r="I165" s="365"/>
      <c r="K165" s="365"/>
      <c r="L165" s="365"/>
    </row>
    <row r="166" spans="1:12" s="364" customFormat="1" ht="13.5" customHeight="1">
      <c r="A166" s="302"/>
      <c r="B166" s="363"/>
      <c r="C166" s="302"/>
      <c r="E166" s="365"/>
      <c r="F166" s="365"/>
      <c r="G166" s="365"/>
      <c r="H166" s="363"/>
      <c r="I166" s="365"/>
      <c r="K166" s="365"/>
      <c r="L166" s="365"/>
    </row>
    <row r="167" spans="1:12" s="364" customFormat="1" ht="13.5" customHeight="1">
      <c r="A167" s="302"/>
      <c r="B167" s="363"/>
      <c r="C167" s="302"/>
      <c r="E167" s="365"/>
      <c r="F167" s="365"/>
      <c r="G167" s="365"/>
      <c r="H167" s="363"/>
      <c r="I167" s="365"/>
      <c r="K167" s="365"/>
      <c r="L167" s="365"/>
    </row>
    <row r="168" spans="1:12" s="364" customFormat="1" ht="13.5" customHeight="1">
      <c r="A168" s="302"/>
      <c r="B168" s="363"/>
      <c r="C168" s="302"/>
      <c r="E168" s="365"/>
      <c r="F168" s="365"/>
      <c r="G168" s="365"/>
      <c r="H168" s="363"/>
      <c r="I168" s="365"/>
      <c r="K168" s="365"/>
      <c r="L168" s="365"/>
    </row>
    <row r="169" spans="1:12" s="364" customFormat="1" ht="13.5" customHeight="1">
      <c r="A169" s="302"/>
      <c r="B169" s="363"/>
      <c r="C169" s="302"/>
      <c r="E169" s="365"/>
      <c r="F169" s="365"/>
      <c r="G169" s="365"/>
      <c r="H169" s="363"/>
      <c r="I169" s="365"/>
      <c r="K169" s="365"/>
      <c r="L169" s="365"/>
    </row>
    <row r="170" spans="1:12" s="364" customFormat="1" ht="13.5" customHeight="1">
      <c r="A170" s="302"/>
      <c r="B170" s="363"/>
      <c r="C170" s="302"/>
      <c r="E170" s="365"/>
      <c r="F170" s="365"/>
      <c r="G170" s="365"/>
      <c r="H170" s="363"/>
      <c r="I170" s="365"/>
      <c r="K170" s="365"/>
      <c r="L170" s="365"/>
    </row>
    <row r="171" spans="1:12" s="364" customFormat="1" ht="13.5" customHeight="1">
      <c r="A171" s="302"/>
      <c r="B171" s="363"/>
      <c r="C171" s="302"/>
      <c r="E171" s="365"/>
      <c r="F171" s="365"/>
      <c r="G171" s="365"/>
      <c r="H171" s="363"/>
      <c r="I171" s="365"/>
      <c r="K171" s="365"/>
      <c r="L171" s="365"/>
    </row>
    <row r="172" spans="1:12" s="364" customFormat="1" ht="13.5" customHeight="1">
      <c r="A172" s="302"/>
      <c r="B172" s="363"/>
      <c r="C172" s="302"/>
      <c r="E172" s="365"/>
      <c r="F172" s="365"/>
      <c r="G172" s="365"/>
      <c r="H172" s="363"/>
      <c r="I172" s="365"/>
      <c r="K172" s="365"/>
      <c r="L172" s="365"/>
    </row>
    <row r="173" spans="1:12" s="364" customFormat="1" ht="13.5" customHeight="1">
      <c r="A173" s="302"/>
      <c r="B173" s="363"/>
      <c r="C173" s="302"/>
      <c r="E173" s="365"/>
      <c r="F173" s="365"/>
      <c r="G173" s="365"/>
      <c r="H173" s="363"/>
      <c r="I173" s="365"/>
      <c r="K173" s="365"/>
      <c r="L173" s="365"/>
    </row>
    <row r="174" spans="1:12" s="364" customFormat="1" ht="13.5" customHeight="1">
      <c r="A174" s="302"/>
      <c r="B174" s="363"/>
      <c r="C174" s="302"/>
      <c r="E174" s="365"/>
      <c r="F174" s="365"/>
      <c r="G174" s="365"/>
      <c r="H174" s="363"/>
      <c r="I174" s="365"/>
      <c r="K174" s="365"/>
      <c r="L174" s="365"/>
    </row>
    <row r="175" spans="1:12" s="364" customFormat="1" ht="13.5" customHeight="1">
      <c r="A175" s="302"/>
      <c r="B175" s="363"/>
      <c r="C175" s="302"/>
      <c r="E175" s="365"/>
      <c r="F175" s="365"/>
      <c r="G175" s="365"/>
      <c r="H175" s="363"/>
      <c r="I175" s="365"/>
      <c r="K175" s="365"/>
      <c r="L175" s="365"/>
    </row>
    <row r="176" spans="1:12" s="364" customFormat="1" ht="13.5" customHeight="1">
      <c r="A176" s="302"/>
      <c r="B176" s="363"/>
      <c r="C176" s="302"/>
      <c r="E176" s="365"/>
      <c r="F176" s="365"/>
      <c r="G176" s="365"/>
      <c r="H176" s="363"/>
      <c r="I176" s="365"/>
      <c r="K176" s="365"/>
      <c r="L176" s="365"/>
    </row>
    <row r="177" spans="1:12" s="364" customFormat="1" ht="13.5" customHeight="1">
      <c r="A177" s="302"/>
      <c r="B177" s="363"/>
      <c r="C177" s="302"/>
      <c r="E177" s="365"/>
      <c r="F177" s="365"/>
      <c r="G177" s="365"/>
      <c r="H177" s="363"/>
      <c r="I177" s="365"/>
      <c r="K177" s="365"/>
      <c r="L177" s="365"/>
    </row>
    <row r="178" spans="1:12" s="364" customFormat="1" ht="13.5" customHeight="1">
      <c r="A178" s="302"/>
      <c r="B178" s="363"/>
      <c r="C178" s="302"/>
      <c r="E178" s="365"/>
      <c r="F178" s="365"/>
      <c r="G178" s="365"/>
      <c r="H178" s="363"/>
      <c r="I178" s="365"/>
      <c r="K178" s="365"/>
      <c r="L178" s="365"/>
    </row>
    <row r="179" spans="1:12" s="364" customFormat="1" ht="13.5" customHeight="1">
      <c r="A179" s="302"/>
      <c r="B179" s="363"/>
      <c r="C179" s="302"/>
      <c r="E179" s="365"/>
      <c r="F179" s="365"/>
      <c r="G179" s="365"/>
      <c r="H179" s="363"/>
      <c r="I179" s="365"/>
      <c r="K179" s="365"/>
      <c r="L179" s="365"/>
    </row>
    <row r="180" spans="1:12" s="364" customFormat="1" ht="13.5" customHeight="1">
      <c r="A180" s="302"/>
      <c r="B180" s="363"/>
      <c r="C180" s="302"/>
      <c r="E180" s="365"/>
      <c r="F180" s="365"/>
      <c r="G180" s="365"/>
      <c r="H180" s="363"/>
      <c r="I180" s="365"/>
      <c r="K180" s="365"/>
      <c r="L180" s="365"/>
    </row>
    <row r="181" spans="1:12" s="364" customFormat="1" ht="13.5" customHeight="1">
      <c r="A181" s="302"/>
      <c r="B181" s="363"/>
      <c r="C181" s="302"/>
      <c r="E181" s="365"/>
      <c r="F181" s="365"/>
      <c r="G181" s="365"/>
      <c r="H181" s="363"/>
      <c r="I181" s="365"/>
      <c r="K181" s="365"/>
      <c r="L181" s="365"/>
    </row>
    <row r="182" spans="1:12" s="364" customFormat="1" ht="13.5" customHeight="1">
      <c r="A182" s="302"/>
      <c r="B182" s="363"/>
      <c r="C182" s="302"/>
      <c r="E182" s="365"/>
      <c r="F182" s="365"/>
      <c r="G182" s="365"/>
      <c r="H182" s="363"/>
      <c r="I182" s="365"/>
      <c r="K182" s="365"/>
      <c r="L182" s="365"/>
    </row>
    <row r="183" spans="1:12" s="364" customFormat="1" ht="13.5" customHeight="1">
      <c r="A183" s="302"/>
      <c r="B183" s="363"/>
      <c r="C183" s="302"/>
      <c r="E183" s="365"/>
      <c r="F183" s="365"/>
      <c r="G183" s="365"/>
      <c r="H183" s="363"/>
      <c r="I183" s="365"/>
      <c r="K183" s="365"/>
      <c r="L183" s="365"/>
    </row>
    <row r="184" spans="1:12" s="364" customFormat="1" ht="13.5" customHeight="1">
      <c r="A184" s="302"/>
      <c r="B184" s="363"/>
      <c r="C184" s="302"/>
      <c r="E184" s="365"/>
      <c r="F184" s="365"/>
      <c r="G184" s="365"/>
      <c r="H184" s="363"/>
      <c r="I184" s="365"/>
      <c r="K184" s="365"/>
      <c r="L184" s="365"/>
    </row>
    <row r="185" spans="1:12" s="364" customFormat="1" ht="13.5" customHeight="1">
      <c r="A185" s="302"/>
      <c r="B185" s="363"/>
      <c r="C185" s="302"/>
      <c r="E185" s="365"/>
      <c r="F185" s="365"/>
      <c r="G185" s="365"/>
      <c r="H185" s="363"/>
      <c r="I185" s="365"/>
      <c r="K185" s="365"/>
      <c r="L185" s="365"/>
    </row>
    <row r="186" spans="1:12" s="364" customFormat="1" ht="13.5" customHeight="1">
      <c r="A186" s="302"/>
      <c r="B186" s="363"/>
      <c r="C186" s="302"/>
      <c r="E186" s="365"/>
      <c r="F186" s="365"/>
      <c r="G186" s="365"/>
      <c r="H186" s="363"/>
      <c r="I186" s="365"/>
      <c r="K186" s="365"/>
      <c r="L186" s="365"/>
    </row>
    <row r="187" spans="1:12" s="364" customFormat="1" ht="13.5" customHeight="1">
      <c r="A187" s="302"/>
      <c r="B187" s="363"/>
      <c r="C187" s="302"/>
      <c r="E187" s="365"/>
      <c r="F187" s="365"/>
      <c r="G187" s="365"/>
      <c r="H187" s="363"/>
      <c r="I187" s="365"/>
      <c r="K187" s="365"/>
      <c r="L187" s="365"/>
    </row>
    <row r="188" spans="1:12" s="364" customFormat="1" ht="13.5" customHeight="1">
      <c r="A188" s="302"/>
      <c r="B188" s="363"/>
      <c r="C188" s="302"/>
      <c r="E188" s="365"/>
      <c r="F188" s="365"/>
      <c r="G188" s="365"/>
      <c r="H188" s="363"/>
      <c r="I188" s="365"/>
      <c r="K188" s="365"/>
      <c r="L188" s="365"/>
    </row>
    <row r="189" spans="1:12" s="364" customFormat="1" ht="13.5" customHeight="1">
      <c r="A189" s="302"/>
      <c r="B189" s="363"/>
      <c r="C189" s="302"/>
      <c r="E189" s="365"/>
      <c r="F189" s="365"/>
      <c r="G189" s="365"/>
      <c r="H189" s="363"/>
      <c r="I189" s="365"/>
      <c r="K189" s="365"/>
      <c r="L189" s="365"/>
    </row>
    <row r="190" spans="1:12" s="364" customFormat="1" ht="13.5" customHeight="1">
      <c r="A190" s="302"/>
      <c r="B190" s="363"/>
      <c r="C190" s="302"/>
      <c r="E190" s="365"/>
      <c r="F190" s="365"/>
      <c r="G190" s="365"/>
      <c r="H190" s="363"/>
      <c r="I190" s="365"/>
      <c r="K190" s="365"/>
      <c r="L190" s="365"/>
    </row>
    <row r="191" spans="1:12" s="364" customFormat="1" ht="13.5" customHeight="1">
      <c r="A191" s="302"/>
      <c r="B191" s="363"/>
      <c r="C191" s="302"/>
      <c r="E191" s="365"/>
      <c r="F191" s="365"/>
      <c r="G191" s="365"/>
      <c r="H191" s="363"/>
      <c r="I191" s="365"/>
      <c r="K191" s="365"/>
      <c r="L191" s="365"/>
    </row>
    <row r="192" spans="1:12" s="364" customFormat="1" ht="13.5" customHeight="1">
      <c r="A192" s="302"/>
      <c r="B192" s="363"/>
      <c r="C192" s="302"/>
      <c r="E192" s="365"/>
      <c r="F192" s="365"/>
      <c r="G192" s="365"/>
      <c r="H192" s="363"/>
      <c r="I192" s="365"/>
      <c r="K192" s="365"/>
      <c r="L192" s="365"/>
    </row>
    <row r="193" spans="1:12" s="364" customFormat="1" ht="13.5" customHeight="1">
      <c r="A193" s="302"/>
      <c r="B193" s="363"/>
      <c r="C193" s="302"/>
      <c r="E193" s="365"/>
      <c r="F193" s="365"/>
      <c r="G193" s="365"/>
      <c r="H193" s="363"/>
      <c r="I193" s="365"/>
      <c r="K193" s="365"/>
      <c r="L193" s="365"/>
    </row>
    <row r="194" spans="1:12" s="364" customFormat="1" ht="13.5" customHeight="1">
      <c r="A194" s="302"/>
      <c r="B194" s="363"/>
      <c r="C194" s="302"/>
      <c r="E194" s="365"/>
      <c r="F194" s="365"/>
      <c r="G194" s="365"/>
      <c r="H194" s="363"/>
      <c r="I194" s="365"/>
      <c r="K194" s="365"/>
      <c r="L194" s="365"/>
    </row>
    <row r="195" spans="1:12" s="364" customFormat="1" ht="13.5" customHeight="1">
      <c r="A195" s="302"/>
      <c r="B195" s="363"/>
      <c r="C195" s="302"/>
      <c r="E195" s="365"/>
      <c r="F195" s="365"/>
      <c r="G195" s="365"/>
      <c r="H195" s="363"/>
      <c r="I195" s="365"/>
      <c r="K195" s="365"/>
      <c r="L195" s="365"/>
    </row>
    <row r="196" spans="1:12" s="364" customFormat="1" ht="13.5" customHeight="1">
      <c r="A196" s="302"/>
      <c r="B196" s="363"/>
      <c r="C196" s="302"/>
      <c r="E196" s="365"/>
      <c r="F196" s="365"/>
      <c r="G196" s="365"/>
      <c r="H196" s="363"/>
      <c r="I196" s="365"/>
      <c r="K196" s="365"/>
      <c r="L196" s="365"/>
    </row>
    <row r="197" spans="1:12" s="364" customFormat="1" ht="13.5" customHeight="1">
      <c r="A197" s="302"/>
      <c r="B197" s="363"/>
      <c r="C197" s="302"/>
      <c r="E197" s="365"/>
      <c r="F197" s="365"/>
      <c r="G197" s="365"/>
      <c r="H197" s="363"/>
      <c r="I197" s="365"/>
      <c r="K197" s="365"/>
      <c r="L197" s="365"/>
    </row>
    <row r="198" spans="1:12" s="364" customFormat="1" ht="13.5" customHeight="1">
      <c r="A198" s="302"/>
      <c r="B198" s="363"/>
      <c r="C198" s="302"/>
      <c r="E198" s="365"/>
      <c r="F198" s="365"/>
      <c r="G198" s="365"/>
      <c r="H198" s="363"/>
      <c r="I198" s="365"/>
      <c r="K198" s="365"/>
      <c r="L198" s="365"/>
    </row>
    <row r="199" spans="1:12" s="364" customFormat="1" ht="13.5" customHeight="1">
      <c r="A199" s="302"/>
      <c r="B199" s="363"/>
      <c r="C199" s="302"/>
      <c r="E199" s="365"/>
      <c r="F199" s="365"/>
      <c r="G199" s="365"/>
      <c r="H199" s="363"/>
      <c r="I199" s="365"/>
      <c r="K199" s="365"/>
      <c r="L199" s="365"/>
    </row>
    <row r="200" spans="1:12" s="364" customFormat="1" ht="13.5" customHeight="1">
      <c r="A200" s="302"/>
      <c r="B200" s="363"/>
      <c r="C200" s="302"/>
      <c r="E200" s="365"/>
      <c r="F200" s="365"/>
      <c r="G200" s="365"/>
      <c r="H200" s="363"/>
      <c r="I200" s="365"/>
      <c r="K200" s="365"/>
      <c r="L200" s="365"/>
    </row>
    <row r="201" spans="1:12" s="364" customFormat="1" ht="13.5" customHeight="1">
      <c r="A201" s="302"/>
      <c r="B201" s="363"/>
      <c r="C201" s="302"/>
      <c r="E201" s="365"/>
      <c r="F201" s="365"/>
      <c r="G201" s="365"/>
      <c r="H201" s="363"/>
      <c r="I201" s="365"/>
      <c r="K201" s="365"/>
      <c r="L201" s="365"/>
    </row>
    <row r="202" spans="1:12" s="364" customFormat="1" ht="13.5" customHeight="1">
      <c r="A202" s="302"/>
      <c r="B202" s="363"/>
      <c r="C202" s="302"/>
      <c r="E202" s="365"/>
      <c r="F202" s="365"/>
      <c r="G202" s="365"/>
      <c r="H202" s="363"/>
      <c r="I202" s="365"/>
      <c r="K202" s="365"/>
      <c r="L202" s="365"/>
    </row>
    <row r="203" spans="1:12" s="364" customFormat="1" ht="13.5" customHeight="1">
      <c r="A203" s="302"/>
      <c r="B203" s="363"/>
      <c r="C203" s="302"/>
      <c r="E203" s="365"/>
      <c r="F203" s="365"/>
      <c r="G203" s="365"/>
      <c r="H203" s="363"/>
      <c r="I203" s="365"/>
      <c r="K203" s="365"/>
      <c r="L203" s="365"/>
    </row>
    <row r="204" spans="1:12" s="364" customFormat="1" ht="13.5" customHeight="1">
      <c r="A204" s="302"/>
      <c r="B204" s="363"/>
      <c r="C204" s="302"/>
      <c r="E204" s="365"/>
      <c r="F204" s="365"/>
      <c r="G204" s="365"/>
      <c r="H204" s="363"/>
      <c r="I204" s="365"/>
      <c r="K204" s="365"/>
      <c r="L204" s="365"/>
    </row>
    <row r="205" spans="1:12" s="364" customFormat="1" ht="13.5" customHeight="1">
      <c r="A205" s="302"/>
      <c r="B205" s="363"/>
      <c r="C205" s="302"/>
      <c r="E205" s="365"/>
      <c r="F205" s="365"/>
      <c r="G205" s="365"/>
      <c r="H205" s="363"/>
      <c r="I205" s="365"/>
      <c r="K205" s="365"/>
      <c r="L205" s="365"/>
    </row>
    <row r="206" spans="1:12" s="364" customFormat="1" ht="13.5" customHeight="1">
      <c r="A206" s="302"/>
      <c r="B206" s="363"/>
      <c r="C206" s="302"/>
      <c r="E206" s="365"/>
      <c r="F206" s="365"/>
      <c r="G206" s="365"/>
      <c r="H206" s="363"/>
      <c r="I206" s="365"/>
      <c r="K206" s="365"/>
      <c r="L206" s="365"/>
    </row>
    <row r="207" spans="1:12" s="364" customFormat="1" ht="13.5" customHeight="1">
      <c r="A207" s="302"/>
      <c r="B207" s="363"/>
      <c r="C207" s="302"/>
      <c r="E207" s="365"/>
      <c r="F207" s="365"/>
      <c r="G207" s="365"/>
      <c r="H207" s="363"/>
      <c r="I207" s="365"/>
      <c r="K207" s="365"/>
      <c r="L207" s="365"/>
    </row>
    <row r="208" spans="1:12" s="364" customFormat="1" ht="13.5" customHeight="1">
      <c r="A208" s="302"/>
      <c r="B208" s="363"/>
      <c r="C208" s="302"/>
      <c r="E208" s="365"/>
      <c r="F208" s="365"/>
      <c r="G208" s="365"/>
      <c r="H208" s="363"/>
      <c r="I208" s="365"/>
      <c r="K208" s="365"/>
      <c r="L208" s="365"/>
    </row>
    <row r="209" spans="1:12" s="364" customFormat="1" ht="13.5" customHeight="1">
      <c r="A209" s="302"/>
      <c r="B209" s="363"/>
      <c r="C209" s="302"/>
      <c r="E209" s="365"/>
      <c r="F209" s="365"/>
      <c r="G209" s="365"/>
      <c r="H209" s="363"/>
      <c r="I209" s="365"/>
      <c r="K209" s="365"/>
      <c r="L209" s="365"/>
    </row>
    <row r="210" spans="1:12" s="364" customFormat="1" ht="13.5" customHeight="1">
      <c r="A210" s="302"/>
      <c r="B210" s="363"/>
      <c r="C210" s="302"/>
      <c r="E210" s="365"/>
      <c r="F210" s="365"/>
      <c r="G210" s="365"/>
      <c r="H210" s="363"/>
      <c r="I210" s="365"/>
      <c r="K210" s="365"/>
      <c r="L210" s="365"/>
    </row>
    <row r="211" spans="1:12" s="364" customFormat="1" ht="13.5" customHeight="1">
      <c r="A211" s="302"/>
      <c r="B211" s="363"/>
      <c r="C211" s="302"/>
      <c r="E211" s="365"/>
      <c r="F211" s="365"/>
      <c r="G211" s="365"/>
      <c r="H211" s="363"/>
      <c r="I211" s="365"/>
      <c r="K211" s="365"/>
      <c r="L211" s="365"/>
    </row>
    <row r="212" spans="1:12" s="364" customFormat="1" ht="13.5" customHeight="1">
      <c r="A212" s="302"/>
      <c r="B212" s="363"/>
      <c r="C212" s="302"/>
      <c r="E212" s="365"/>
      <c r="F212" s="365"/>
      <c r="G212" s="365"/>
      <c r="H212" s="363"/>
      <c r="I212" s="365"/>
      <c r="K212" s="365"/>
      <c r="L212" s="365"/>
    </row>
    <row r="213" spans="1:12" s="364" customFormat="1" ht="13.5" customHeight="1">
      <c r="A213" s="302"/>
      <c r="B213" s="363"/>
      <c r="C213" s="302"/>
      <c r="E213" s="365"/>
      <c r="F213" s="365"/>
      <c r="G213" s="365"/>
      <c r="H213" s="363"/>
      <c r="I213" s="365"/>
      <c r="K213" s="365"/>
      <c r="L213" s="365"/>
    </row>
    <row r="214" spans="1:12" s="364" customFormat="1" ht="13.5" customHeight="1">
      <c r="A214" s="302"/>
      <c r="B214" s="363"/>
      <c r="C214" s="302"/>
      <c r="E214" s="365"/>
      <c r="F214" s="365"/>
      <c r="G214" s="365"/>
      <c r="H214" s="363"/>
      <c r="I214" s="365"/>
      <c r="K214" s="365"/>
      <c r="L214" s="365"/>
    </row>
    <row r="215" spans="1:12" s="364" customFormat="1" ht="13.5" customHeight="1">
      <c r="A215" s="302"/>
      <c r="B215" s="363"/>
      <c r="C215" s="302"/>
      <c r="E215" s="365"/>
      <c r="F215" s="365"/>
      <c r="G215" s="365"/>
      <c r="H215" s="363"/>
      <c r="I215" s="365"/>
      <c r="K215" s="365"/>
      <c r="L215" s="365"/>
    </row>
    <row r="216" spans="1:12" s="364" customFormat="1" ht="13.5" customHeight="1">
      <c r="A216" s="302"/>
      <c r="B216" s="363"/>
      <c r="C216" s="302"/>
      <c r="E216" s="365"/>
      <c r="F216" s="365"/>
      <c r="G216" s="365"/>
      <c r="H216" s="363"/>
      <c r="I216" s="365"/>
      <c r="K216" s="365"/>
      <c r="L216" s="365"/>
    </row>
    <row r="217" spans="1:12" s="364" customFormat="1" ht="13.5" customHeight="1">
      <c r="A217" s="302"/>
      <c r="B217" s="363"/>
      <c r="C217" s="302"/>
      <c r="E217" s="365"/>
      <c r="F217" s="365"/>
      <c r="G217" s="365"/>
      <c r="H217" s="363"/>
      <c r="I217" s="365"/>
      <c r="K217" s="365"/>
      <c r="L217" s="365"/>
    </row>
    <row r="218" spans="1:12" s="364" customFormat="1" ht="13.5" customHeight="1">
      <c r="A218" s="302"/>
      <c r="B218" s="363"/>
      <c r="C218" s="302"/>
      <c r="E218" s="365"/>
      <c r="F218" s="365"/>
      <c r="G218" s="365"/>
      <c r="H218" s="363"/>
      <c r="I218" s="365"/>
      <c r="K218" s="365"/>
      <c r="L218" s="365"/>
    </row>
    <row r="219" spans="1:12" s="364" customFormat="1" ht="13.5" customHeight="1">
      <c r="A219" s="302"/>
      <c r="B219" s="363"/>
      <c r="C219" s="302"/>
      <c r="E219" s="365"/>
      <c r="F219" s="365"/>
      <c r="G219" s="365"/>
      <c r="H219" s="363"/>
      <c r="I219" s="365"/>
      <c r="K219" s="365"/>
      <c r="L219" s="365"/>
    </row>
    <row r="220" spans="1:12" s="364" customFormat="1" ht="13.5" customHeight="1">
      <c r="A220" s="302"/>
      <c r="B220" s="363"/>
      <c r="C220" s="302"/>
      <c r="E220" s="365"/>
      <c r="F220" s="365"/>
      <c r="G220" s="365"/>
      <c r="H220" s="363"/>
      <c r="I220" s="365"/>
      <c r="K220" s="365"/>
      <c r="L220" s="365"/>
    </row>
    <row r="221" spans="1:12" s="364" customFormat="1" ht="13.5" customHeight="1">
      <c r="A221" s="302"/>
      <c r="B221" s="363"/>
      <c r="C221" s="302"/>
      <c r="E221" s="365"/>
      <c r="F221" s="365"/>
      <c r="G221" s="365"/>
      <c r="H221" s="363"/>
      <c r="I221" s="365"/>
      <c r="K221" s="365"/>
      <c r="L221" s="365"/>
    </row>
    <row r="222" spans="1:12" s="364" customFormat="1" ht="13.5" customHeight="1">
      <c r="A222" s="302"/>
      <c r="B222" s="363"/>
      <c r="C222" s="302"/>
      <c r="E222" s="365"/>
      <c r="F222" s="365"/>
      <c r="G222" s="365"/>
      <c r="H222" s="363"/>
      <c r="I222" s="365"/>
      <c r="K222" s="365"/>
      <c r="L222" s="365"/>
    </row>
    <row r="223" spans="1:12" s="364" customFormat="1" ht="13.5" customHeight="1">
      <c r="A223" s="302"/>
      <c r="B223" s="363"/>
      <c r="C223" s="302"/>
      <c r="E223" s="365"/>
      <c r="F223" s="365"/>
      <c r="G223" s="365"/>
      <c r="H223" s="363"/>
      <c r="I223" s="365"/>
      <c r="K223" s="365"/>
      <c r="L223" s="365"/>
    </row>
    <row r="224" spans="1:12" s="364" customFormat="1" ht="13.5" customHeight="1">
      <c r="A224" s="302"/>
      <c r="B224" s="363"/>
      <c r="C224" s="302"/>
      <c r="E224" s="365"/>
      <c r="F224" s="365"/>
      <c r="G224" s="365"/>
      <c r="H224" s="363"/>
      <c r="I224" s="365"/>
      <c r="K224" s="365"/>
      <c r="L224" s="365"/>
    </row>
    <row r="225" spans="1:12" s="364" customFormat="1" ht="13.5" customHeight="1">
      <c r="A225" s="302"/>
      <c r="B225" s="363"/>
      <c r="C225" s="302"/>
      <c r="E225" s="365"/>
      <c r="F225" s="365"/>
      <c r="G225" s="365"/>
      <c r="H225" s="363"/>
      <c r="I225" s="365"/>
      <c r="K225" s="365"/>
      <c r="L225" s="365"/>
    </row>
    <row r="226" spans="1:12" s="364" customFormat="1" ht="13.5" customHeight="1">
      <c r="A226" s="302"/>
      <c r="B226" s="363"/>
      <c r="C226" s="302"/>
      <c r="E226" s="365"/>
      <c r="F226" s="365"/>
      <c r="G226" s="365"/>
      <c r="H226" s="363"/>
      <c r="I226" s="365"/>
      <c r="K226" s="365"/>
      <c r="L226" s="365"/>
    </row>
    <row r="227" spans="1:12" s="364" customFormat="1" ht="13.5" customHeight="1">
      <c r="A227" s="302"/>
      <c r="B227" s="363"/>
      <c r="C227" s="302"/>
      <c r="E227" s="365"/>
      <c r="F227" s="365"/>
      <c r="G227" s="365"/>
      <c r="H227" s="363"/>
      <c r="I227" s="365"/>
      <c r="K227" s="365"/>
      <c r="L227" s="365"/>
    </row>
    <row r="228" spans="1:12" s="364" customFormat="1" ht="13.5" customHeight="1">
      <c r="A228" s="302"/>
      <c r="B228" s="363"/>
      <c r="C228" s="302"/>
      <c r="E228" s="365"/>
      <c r="F228" s="365"/>
      <c r="G228" s="365"/>
      <c r="H228" s="363"/>
      <c r="I228" s="365"/>
      <c r="K228" s="365"/>
      <c r="L228" s="365"/>
    </row>
    <row r="229" spans="1:12" s="364" customFormat="1" ht="13.5" customHeight="1">
      <c r="A229" s="302"/>
      <c r="B229" s="363"/>
      <c r="C229" s="302"/>
      <c r="E229" s="365"/>
      <c r="F229" s="365"/>
      <c r="G229" s="365"/>
      <c r="H229" s="363"/>
      <c r="I229" s="365"/>
      <c r="K229" s="365"/>
      <c r="L229" s="365"/>
    </row>
    <row r="230" spans="1:12" s="364" customFormat="1" ht="13.5" customHeight="1">
      <c r="A230" s="302"/>
      <c r="B230" s="363"/>
      <c r="C230" s="302"/>
      <c r="E230" s="365"/>
      <c r="F230" s="365"/>
      <c r="G230" s="365"/>
      <c r="H230" s="363"/>
      <c r="I230" s="365"/>
      <c r="K230" s="365"/>
      <c r="L230" s="365"/>
    </row>
    <row r="231" spans="1:12" s="364" customFormat="1" ht="13.5" customHeight="1">
      <c r="A231" s="302"/>
      <c r="B231" s="363"/>
      <c r="C231" s="302"/>
      <c r="E231" s="365"/>
      <c r="F231" s="365"/>
      <c r="G231" s="365"/>
      <c r="H231" s="363"/>
      <c r="I231" s="365"/>
      <c r="K231" s="365"/>
      <c r="L231" s="365"/>
    </row>
    <row r="232" spans="1:12" s="364" customFormat="1" ht="13.5" customHeight="1">
      <c r="A232" s="302"/>
      <c r="B232" s="363"/>
      <c r="C232" s="302"/>
      <c r="E232" s="365"/>
      <c r="F232" s="365"/>
      <c r="G232" s="365"/>
      <c r="H232" s="363"/>
      <c r="I232" s="365"/>
      <c r="K232" s="365"/>
      <c r="L232" s="365"/>
    </row>
    <row r="233" spans="1:12" s="364" customFormat="1" ht="13.5" customHeight="1">
      <c r="A233" s="302"/>
      <c r="B233" s="363"/>
      <c r="C233" s="302"/>
      <c r="E233" s="365"/>
      <c r="F233" s="365"/>
      <c r="G233" s="365"/>
      <c r="H233" s="363"/>
      <c r="I233" s="365"/>
      <c r="K233" s="365"/>
      <c r="L233" s="365"/>
    </row>
    <row r="234" spans="1:12" s="364" customFormat="1" ht="13.5" customHeight="1">
      <c r="A234" s="302"/>
      <c r="B234" s="363"/>
      <c r="C234" s="302"/>
      <c r="E234" s="365"/>
      <c r="F234" s="365"/>
      <c r="G234" s="365"/>
      <c r="H234" s="363"/>
      <c r="I234" s="365"/>
      <c r="K234" s="365"/>
      <c r="L234" s="365"/>
    </row>
    <row r="235" spans="1:12" s="364" customFormat="1" ht="13.5" customHeight="1">
      <c r="A235" s="302"/>
      <c r="B235" s="363"/>
      <c r="C235" s="302"/>
      <c r="E235" s="365"/>
      <c r="F235" s="365"/>
      <c r="G235" s="365"/>
      <c r="H235" s="363"/>
      <c r="I235" s="365"/>
      <c r="K235" s="365"/>
      <c r="L235" s="365"/>
    </row>
    <row r="236" spans="1:12" s="364" customFormat="1" ht="13.5" customHeight="1">
      <c r="A236" s="302"/>
      <c r="B236" s="363"/>
      <c r="C236" s="302"/>
      <c r="E236" s="365"/>
      <c r="F236" s="365"/>
      <c r="G236" s="365"/>
      <c r="H236" s="363"/>
      <c r="I236" s="365"/>
      <c r="K236" s="365"/>
      <c r="L236" s="365"/>
    </row>
    <row r="237" spans="1:12" s="364" customFormat="1" ht="13.5" customHeight="1">
      <c r="A237" s="302"/>
      <c r="B237" s="363"/>
      <c r="C237" s="302"/>
      <c r="E237" s="365"/>
      <c r="F237" s="365"/>
      <c r="G237" s="365"/>
      <c r="H237" s="363"/>
      <c r="I237" s="365"/>
      <c r="K237" s="365"/>
      <c r="L237" s="365"/>
    </row>
    <row r="238" spans="1:12" s="364" customFormat="1" ht="13.5" customHeight="1">
      <c r="A238" s="302"/>
      <c r="B238" s="363"/>
      <c r="C238" s="302"/>
      <c r="E238" s="365"/>
      <c r="F238" s="365"/>
      <c r="G238" s="365"/>
      <c r="H238" s="363"/>
      <c r="I238" s="365"/>
      <c r="K238" s="365"/>
      <c r="L238" s="365"/>
    </row>
    <row r="239" spans="1:12" s="364" customFormat="1" ht="13.5" customHeight="1">
      <c r="A239" s="302"/>
      <c r="B239" s="363"/>
      <c r="C239" s="302"/>
      <c r="E239" s="365"/>
      <c r="F239" s="365"/>
      <c r="G239" s="365"/>
      <c r="H239" s="363"/>
      <c r="I239" s="365"/>
      <c r="K239" s="365"/>
      <c r="L239" s="365"/>
    </row>
    <row r="240" spans="1:12" s="364" customFormat="1" ht="13.5" customHeight="1">
      <c r="A240" s="302"/>
      <c r="B240" s="363"/>
      <c r="C240" s="302"/>
      <c r="E240" s="365"/>
      <c r="F240" s="365"/>
      <c r="G240" s="365"/>
      <c r="H240" s="363"/>
      <c r="I240" s="365"/>
      <c r="K240" s="365"/>
      <c r="L240" s="365"/>
    </row>
    <row r="241" spans="1:12" s="364" customFormat="1" ht="13.5" customHeight="1">
      <c r="A241" s="302"/>
      <c r="B241" s="363"/>
      <c r="C241" s="302"/>
      <c r="E241" s="365"/>
      <c r="F241" s="365"/>
      <c r="G241" s="365"/>
      <c r="H241" s="363"/>
      <c r="I241" s="365"/>
      <c r="K241" s="365"/>
      <c r="L241" s="365"/>
    </row>
    <row r="242" spans="1:12" s="364" customFormat="1" ht="13.5" customHeight="1">
      <c r="A242" s="302"/>
      <c r="B242" s="363"/>
      <c r="C242" s="302"/>
      <c r="E242" s="365"/>
      <c r="F242" s="365"/>
      <c r="G242" s="365"/>
      <c r="H242" s="363"/>
      <c r="I242" s="365"/>
      <c r="K242" s="365"/>
      <c r="L242" s="365"/>
    </row>
    <row r="243" spans="1:12" s="364" customFormat="1" ht="13.5" customHeight="1">
      <c r="A243" s="302"/>
      <c r="B243" s="363"/>
      <c r="C243" s="302"/>
      <c r="E243" s="365"/>
      <c r="F243" s="365"/>
      <c r="G243" s="365"/>
      <c r="H243" s="363"/>
      <c r="I243" s="365"/>
      <c r="K243" s="365"/>
      <c r="L243" s="365"/>
    </row>
    <row r="244" spans="1:12" s="364" customFormat="1" ht="13.5" customHeight="1">
      <c r="A244" s="302"/>
      <c r="B244" s="363"/>
      <c r="C244" s="302"/>
      <c r="E244" s="365"/>
      <c r="F244" s="365"/>
      <c r="G244" s="365"/>
      <c r="H244" s="363"/>
      <c r="I244" s="365"/>
      <c r="K244" s="365"/>
      <c r="L244" s="365"/>
    </row>
    <row r="245" spans="1:12" s="364" customFormat="1" ht="13.5" customHeight="1">
      <c r="A245" s="302"/>
      <c r="B245" s="363"/>
      <c r="C245" s="302"/>
      <c r="E245" s="365"/>
      <c r="F245" s="365"/>
      <c r="G245" s="365"/>
      <c r="H245" s="363"/>
      <c r="I245" s="365"/>
      <c r="K245" s="365"/>
      <c r="L245" s="365"/>
    </row>
    <row r="246" spans="1:12" s="364" customFormat="1" ht="13.5" customHeight="1">
      <c r="A246" s="302"/>
      <c r="B246" s="363"/>
      <c r="C246" s="302"/>
      <c r="E246" s="365"/>
      <c r="F246" s="365"/>
      <c r="G246" s="365"/>
      <c r="H246" s="363"/>
      <c r="I246" s="365"/>
      <c r="K246" s="365"/>
      <c r="L246" s="365"/>
    </row>
    <row r="247" spans="1:12" s="364" customFormat="1" ht="13.5" customHeight="1">
      <c r="A247" s="302"/>
      <c r="B247" s="363"/>
      <c r="C247" s="302"/>
      <c r="E247" s="365"/>
      <c r="F247" s="365"/>
      <c r="G247" s="365"/>
      <c r="H247" s="363"/>
      <c r="I247" s="365"/>
      <c r="K247" s="365"/>
      <c r="L247" s="365"/>
    </row>
    <row r="248" spans="1:12" s="364" customFormat="1" ht="13.5" customHeight="1">
      <c r="A248" s="302"/>
      <c r="B248" s="363"/>
      <c r="C248" s="302"/>
      <c r="E248" s="365"/>
      <c r="F248" s="365"/>
      <c r="G248" s="365"/>
      <c r="H248" s="363"/>
      <c r="I248" s="365"/>
      <c r="K248" s="365"/>
      <c r="L248" s="365"/>
    </row>
    <row r="249" spans="1:12" s="364" customFormat="1" ht="13.5" customHeight="1">
      <c r="A249" s="302"/>
      <c r="B249" s="363"/>
      <c r="C249" s="302"/>
      <c r="E249" s="365"/>
      <c r="F249" s="365"/>
      <c r="G249" s="365"/>
      <c r="H249" s="363"/>
      <c r="I249" s="365"/>
      <c r="K249" s="365"/>
      <c r="L249" s="365"/>
    </row>
    <row r="250" spans="1:12" s="364" customFormat="1" ht="13.5" customHeight="1">
      <c r="A250" s="302"/>
      <c r="B250" s="363"/>
      <c r="C250" s="302"/>
      <c r="E250" s="365"/>
      <c r="F250" s="365"/>
      <c r="G250" s="365"/>
      <c r="H250" s="363"/>
      <c r="I250" s="365"/>
      <c r="K250" s="365"/>
      <c r="L250" s="365"/>
    </row>
    <row r="251" spans="1:12" s="364" customFormat="1" ht="13.5" customHeight="1">
      <c r="A251" s="302"/>
      <c r="B251" s="363"/>
      <c r="C251" s="302"/>
      <c r="E251" s="365"/>
      <c r="F251" s="365"/>
      <c r="G251" s="365"/>
      <c r="H251" s="363"/>
      <c r="I251" s="365"/>
      <c r="K251" s="365"/>
      <c r="L251" s="365"/>
    </row>
    <row r="252" spans="1:12" s="364" customFormat="1" ht="13.5" customHeight="1">
      <c r="A252" s="302"/>
      <c r="B252" s="363"/>
      <c r="C252" s="302"/>
      <c r="E252" s="365"/>
      <c r="F252" s="365"/>
      <c r="G252" s="365"/>
      <c r="H252" s="363"/>
      <c r="I252" s="365"/>
      <c r="K252" s="365"/>
      <c r="L252" s="365"/>
    </row>
    <row r="253" spans="1:12" s="364" customFormat="1" ht="13.5" customHeight="1">
      <c r="A253" s="302"/>
      <c r="B253" s="363"/>
      <c r="C253" s="302"/>
      <c r="E253" s="365"/>
      <c r="F253" s="365"/>
      <c r="G253" s="365"/>
      <c r="H253" s="363"/>
      <c r="I253" s="365"/>
      <c r="K253" s="365"/>
      <c r="L253" s="365"/>
    </row>
    <row r="254" spans="1:12" s="364" customFormat="1" ht="13.5" customHeight="1">
      <c r="A254" s="302"/>
      <c r="B254" s="363"/>
      <c r="C254" s="302"/>
      <c r="E254" s="365"/>
      <c r="F254" s="365"/>
      <c r="G254" s="365"/>
      <c r="H254" s="363"/>
      <c r="I254" s="365"/>
      <c r="K254" s="365"/>
      <c r="L254" s="365"/>
    </row>
    <row r="255" spans="1:12" s="364" customFormat="1" ht="13.5" customHeight="1">
      <c r="A255" s="302"/>
      <c r="B255" s="363"/>
      <c r="C255" s="302"/>
      <c r="E255" s="365"/>
      <c r="F255" s="365"/>
      <c r="G255" s="365"/>
      <c r="H255" s="363"/>
      <c r="I255" s="365"/>
      <c r="K255" s="365"/>
      <c r="L255" s="365"/>
    </row>
    <row r="256" spans="1:12" s="364" customFormat="1" ht="13.5" customHeight="1">
      <c r="A256" s="302"/>
      <c r="B256" s="363"/>
      <c r="C256" s="302"/>
      <c r="E256" s="365"/>
      <c r="F256" s="365"/>
      <c r="G256" s="365"/>
      <c r="H256" s="363"/>
      <c r="I256" s="365"/>
      <c r="K256" s="365"/>
      <c r="L256" s="365"/>
    </row>
    <row r="257" spans="1:12" s="364" customFormat="1" ht="13.5" customHeight="1">
      <c r="A257" s="302"/>
      <c r="B257" s="363"/>
      <c r="C257" s="302"/>
      <c r="E257" s="365"/>
      <c r="F257" s="365"/>
      <c r="G257" s="365"/>
      <c r="H257" s="363"/>
      <c r="I257" s="365"/>
      <c r="K257" s="365"/>
      <c r="L257" s="365"/>
    </row>
    <row r="258" spans="1:12" s="364" customFormat="1" ht="13.5" customHeight="1">
      <c r="A258" s="302"/>
      <c r="B258" s="363"/>
      <c r="C258" s="302"/>
      <c r="E258" s="365"/>
      <c r="F258" s="365"/>
      <c r="G258" s="365"/>
      <c r="H258" s="363"/>
      <c r="I258" s="365"/>
      <c r="K258" s="365"/>
      <c r="L258" s="365"/>
    </row>
    <row r="259" spans="1:12" s="364" customFormat="1" ht="13.5" customHeight="1">
      <c r="A259" s="302"/>
      <c r="B259" s="363"/>
      <c r="C259" s="302"/>
      <c r="E259" s="365"/>
      <c r="F259" s="365"/>
      <c r="G259" s="365"/>
      <c r="H259" s="363"/>
      <c r="I259" s="365"/>
      <c r="K259" s="365"/>
      <c r="L259" s="365"/>
    </row>
    <row r="260" spans="1:12" s="364" customFormat="1" ht="13.5" customHeight="1">
      <c r="A260" s="302"/>
      <c r="B260" s="363"/>
      <c r="C260" s="302"/>
      <c r="E260" s="365"/>
      <c r="F260" s="365"/>
      <c r="G260" s="365"/>
      <c r="H260" s="363"/>
      <c r="I260" s="365"/>
      <c r="K260" s="365"/>
      <c r="L260" s="365"/>
    </row>
    <row r="261" spans="1:12" s="364" customFormat="1" ht="13.5" customHeight="1">
      <c r="A261" s="302"/>
      <c r="B261" s="363"/>
      <c r="C261" s="302"/>
      <c r="E261" s="365"/>
      <c r="F261" s="365"/>
      <c r="G261" s="365"/>
      <c r="H261" s="363"/>
      <c r="I261" s="365"/>
      <c r="K261" s="365"/>
      <c r="L261" s="365"/>
    </row>
    <row r="262" spans="1:12" s="364" customFormat="1" ht="13.5" customHeight="1">
      <c r="A262" s="302"/>
      <c r="B262" s="363"/>
      <c r="C262" s="302"/>
      <c r="E262" s="365"/>
      <c r="F262" s="365"/>
      <c r="G262" s="365"/>
      <c r="H262" s="363"/>
      <c r="I262" s="365"/>
      <c r="K262" s="365"/>
      <c r="L262" s="365"/>
    </row>
    <row r="263" spans="1:12" s="364" customFormat="1" ht="13.5" customHeight="1">
      <c r="A263" s="302"/>
      <c r="B263" s="363"/>
      <c r="C263" s="302"/>
      <c r="E263" s="365"/>
      <c r="F263" s="365"/>
      <c r="G263" s="365"/>
      <c r="H263" s="363"/>
      <c r="I263" s="365"/>
      <c r="K263" s="365"/>
      <c r="L263" s="365"/>
    </row>
    <row r="264" spans="1:12" s="364" customFormat="1" ht="13.5" customHeight="1">
      <c r="A264" s="302"/>
      <c r="B264" s="363"/>
      <c r="C264" s="302"/>
      <c r="E264" s="365"/>
      <c r="F264" s="365"/>
      <c r="G264" s="365"/>
      <c r="H264" s="363"/>
      <c r="I264" s="365"/>
      <c r="K264" s="365"/>
      <c r="L264" s="365"/>
    </row>
    <row r="265" spans="1:12" s="364" customFormat="1" ht="13.5" customHeight="1">
      <c r="A265" s="302"/>
      <c r="B265" s="363"/>
      <c r="C265" s="302"/>
      <c r="E265" s="365"/>
      <c r="F265" s="365"/>
      <c r="G265" s="365"/>
      <c r="H265" s="363"/>
      <c r="I265" s="365"/>
      <c r="K265" s="365"/>
      <c r="L265" s="365"/>
    </row>
    <row r="266" spans="1:12" s="364" customFormat="1" ht="13.5" customHeight="1">
      <c r="A266" s="302"/>
      <c r="B266" s="363"/>
      <c r="C266" s="302"/>
      <c r="E266" s="365"/>
      <c r="F266" s="365"/>
      <c r="G266" s="365"/>
      <c r="H266" s="363"/>
      <c r="I266" s="365"/>
      <c r="K266" s="365"/>
      <c r="L266" s="365"/>
    </row>
    <row r="267" spans="1:12" s="364" customFormat="1" ht="13.5" customHeight="1">
      <c r="A267" s="302"/>
      <c r="B267" s="363"/>
      <c r="C267" s="302"/>
      <c r="E267" s="365"/>
      <c r="F267" s="365"/>
      <c r="G267" s="365"/>
      <c r="H267" s="363"/>
      <c r="I267" s="365"/>
      <c r="K267" s="365"/>
      <c r="L267" s="365"/>
    </row>
    <row r="268" spans="1:12" s="364" customFormat="1" ht="13.5" customHeight="1">
      <c r="A268" s="302"/>
      <c r="B268" s="363"/>
      <c r="C268" s="302"/>
      <c r="E268" s="365"/>
      <c r="F268" s="365"/>
      <c r="G268" s="365"/>
      <c r="H268" s="363"/>
      <c r="I268" s="365"/>
      <c r="K268" s="365"/>
      <c r="L268" s="365"/>
    </row>
    <row r="269" spans="1:12" s="364" customFormat="1" ht="13.5" customHeight="1">
      <c r="A269" s="302"/>
      <c r="B269" s="363"/>
      <c r="C269" s="302"/>
      <c r="E269" s="365"/>
      <c r="F269" s="365"/>
      <c r="G269" s="365"/>
      <c r="H269" s="363"/>
      <c r="I269" s="365"/>
      <c r="K269" s="365"/>
      <c r="L269" s="365"/>
    </row>
    <row r="270" spans="1:12" s="364" customFormat="1" ht="13.5" customHeight="1">
      <c r="A270" s="302"/>
      <c r="B270" s="363"/>
      <c r="C270" s="302"/>
      <c r="E270" s="365"/>
      <c r="F270" s="365"/>
      <c r="G270" s="365"/>
      <c r="H270" s="363"/>
      <c r="I270" s="365"/>
      <c r="K270" s="365"/>
      <c r="L270" s="365"/>
    </row>
    <row r="271" spans="1:12" s="364" customFormat="1" ht="13.5" customHeight="1">
      <c r="A271" s="302"/>
      <c r="B271" s="363"/>
      <c r="C271" s="302"/>
      <c r="E271" s="365"/>
      <c r="F271" s="365"/>
      <c r="G271" s="365"/>
      <c r="H271" s="363"/>
      <c r="I271" s="365"/>
      <c r="K271" s="365"/>
      <c r="L271" s="365"/>
    </row>
    <row r="272" spans="1:12" s="364" customFormat="1" ht="13.5" customHeight="1">
      <c r="A272" s="302"/>
      <c r="B272" s="363"/>
      <c r="C272" s="302"/>
      <c r="E272" s="365"/>
      <c r="F272" s="365"/>
      <c r="G272" s="365"/>
      <c r="H272" s="363"/>
      <c r="I272" s="365"/>
      <c r="K272" s="365"/>
      <c r="L272" s="365"/>
    </row>
    <row r="273" spans="1:12" s="364" customFormat="1" ht="13.5" customHeight="1">
      <c r="A273" s="302"/>
      <c r="B273" s="363"/>
      <c r="C273" s="302"/>
      <c r="E273" s="365"/>
      <c r="F273" s="365"/>
      <c r="G273" s="365"/>
      <c r="H273" s="363"/>
      <c r="I273" s="365"/>
      <c r="K273" s="365"/>
      <c r="L273" s="365"/>
    </row>
    <row r="274" spans="1:12" s="364" customFormat="1" ht="13.5" customHeight="1">
      <c r="A274" s="302"/>
      <c r="B274" s="363"/>
      <c r="C274" s="302"/>
      <c r="E274" s="365"/>
      <c r="F274" s="365"/>
      <c r="G274" s="365"/>
      <c r="H274" s="363"/>
      <c r="I274" s="365"/>
      <c r="K274" s="365"/>
      <c r="L274" s="365"/>
    </row>
    <row r="275" spans="1:12" s="364" customFormat="1" ht="13.5" customHeight="1">
      <c r="A275" s="302"/>
      <c r="B275" s="363"/>
      <c r="C275" s="302"/>
      <c r="E275" s="365"/>
      <c r="F275" s="365"/>
      <c r="G275" s="365"/>
      <c r="H275" s="363"/>
      <c r="I275" s="365"/>
      <c r="K275" s="365"/>
      <c r="L275" s="365"/>
    </row>
    <row r="276" spans="1:12" s="364" customFormat="1" ht="13.5" customHeight="1">
      <c r="A276" s="302"/>
      <c r="B276" s="363"/>
      <c r="C276" s="302"/>
      <c r="E276" s="365"/>
      <c r="F276" s="365"/>
      <c r="G276" s="365"/>
      <c r="H276" s="363"/>
      <c r="I276" s="365"/>
      <c r="K276" s="365"/>
      <c r="L276" s="365"/>
    </row>
    <row r="277" spans="1:12" s="364" customFormat="1" ht="13.5" customHeight="1">
      <c r="A277" s="302"/>
      <c r="B277" s="363"/>
      <c r="C277" s="302"/>
      <c r="E277" s="365"/>
      <c r="F277" s="365"/>
      <c r="G277" s="365"/>
      <c r="H277" s="363"/>
      <c r="I277" s="365"/>
      <c r="K277" s="365"/>
      <c r="L277" s="365"/>
    </row>
    <row r="278" spans="1:12" s="364" customFormat="1" ht="13.5" customHeight="1">
      <c r="A278" s="302"/>
      <c r="B278" s="363"/>
      <c r="C278" s="302"/>
      <c r="E278" s="365"/>
      <c r="F278" s="365"/>
      <c r="G278" s="365"/>
      <c r="H278" s="363"/>
      <c r="I278" s="365"/>
      <c r="K278" s="365"/>
      <c r="L278" s="365"/>
    </row>
    <row r="279" spans="1:12" s="364" customFormat="1" ht="13.5" customHeight="1">
      <c r="A279" s="302"/>
      <c r="B279" s="363"/>
      <c r="C279" s="302"/>
      <c r="E279" s="365"/>
      <c r="F279" s="365"/>
      <c r="G279" s="365"/>
      <c r="H279" s="363"/>
      <c r="I279" s="365"/>
      <c r="K279" s="365"/>
      <c r="L279" s="365"/>
    </row>
    <row r="280" spans="1:12" s="364" customFormat="1" ht="13.5" customHeight="1">
      <c r="A280" s="302"/>
      <c r="B280" s="363"/>
      <c r="C280" s="302"/>
      <c r="E280" s="365"/>
      <c r="F280" s="365"/>
      <c r="G280" s="365"/>
      <c r="H280" s="363"/>
      <c r="I280" s="365"/>
      <c r="K280" s="365"/>
      <c r="L280" s="365"/>
    </row>
    <row r="281" spans="1:12" s="364" customFormat="1" ht="13.5" customHeight="1">
      <c r="A281" s="302"/>
      <c r="B281" s="363"/>
      <c r="C281" s="302"/>
      <c r="E281" s="365"/>
      <c r="F281" s="365"/>
      <c r="G281" s="365"/>
      <c r="H281" s="363"/>
      <c r="I281" s="365"/>
      <c r="K281" s="365"/>
      <c r="L281" s="365"/>
    </row>
    <row r="282" spans="1:12" s="364" customFormat="1" ht="13.5" customHeight="1">
      <c r="A282" s="302"/>
      <c r="B282" s="363"/>
      <c r="C282" s="302"/>
      <c r="E282" s="365"/>
      <c r="F282" s="365"/>
      <c r="G282" s="365"/>
      <c r="H282" s="363"/>
      <c r="I282" s="365"/>
      <c r="K282" s="365"/>
      <c r="L282" s="365"/>
    </row>
    <row r="283" spans="1:12" s="364" customFormat="1" ht="13.5" customHeight="1">
      <c r="A283" s="302"/>
      <c r="B283" s="363"/>
      <c r="C283" s="302"/>
      <c r="E283" s="365"/>
      <c r="F283" s="365"/>
      <c r="G283" s="365"/>
      <c r="H283" s="363"/>
      <c r="I283" s="365"/>
      <c r="K283" s="365"/>
      <c r="L283" s="365"/>
    </row>
    <row r="284" spans="1:12" s="364" customFormat="1" ht="13.5" customHeight="1">
      <c r="A284" s="302"/>
      <c r="B284" s="363"/>
      <c r="C284" s="302"/>
      <c r="E284" s="365"/>
      <c r="F284" s="365"/>
      <c r="G284" s="365"/>
      <c r="H284" s="363"/>
      <c r="I284" s="365"/>
      <c r="K284" s="365"/>
      <c r="L284" s="365"/>
    </row>
    <row r="285" spans="1:12" s="364" customFormat="1" ht="13.5" customHeight="1">
      <c r="A285" s="302"/>
      <c r="B285" s="363"/>
      <c r="C285" s="302"/>
      <c r="E285" s="365"/>
      <c r="F285" s="365"/>
      <c r="G285" s="365"/>
      <c r="H285" s="363"/>
      <c r="I285" s="365"/>
      <c r="K285" s="365"/>
      <c r="L285" s="365"/>
    </row>
    <row r="286" spans="1:12" s="364" customFormat="1" ht="13.5" customHeight="1">
      <c r="A286" s="302"/>
      <c r="B286" s="363"/>
      <c r="C286" s="302"/>
      <c r="E286" s="365"/>
      <c r="F286" s="365"/>
      <c r="G286" s="365"/>
      <c r="H286" s="363"/>
      <c r="I286" s="365"/>
      <c r="K286" s="365"/>
      <c r="L286" s="365"/>
    </row>
    <row r="287" spans="1:12" s="364" customFormat="1" ht="13.5" customHeight="1">
      <c r="A287" s="302"/>
      <c r="B287" s="363"/>
      <c r="C287" s="302"/>
      <c r="E287" s="365"/>
      <c r="F287" s="365"/>
      <c r="G287" s="365"/>
      <c r="H287" s="363"/>
      <c r="I287" s="365"/>
      <c r="K287" s="365"/>
      <c r="L287" s="365"/>
    </row>
    <row r="288" spans="1:12" s="364" customFormat="1" ht="13.5" customHeight="1">
      <c r="A288" s="302"/>
      <c r="B288" s="363"/>
      <c r="C288" s="302"/>
      <c r="E288" s="365"/>
      <c r="F288" s="365"/>
      <c r="G288" s="365"/>
      <c r="H288" s="363"/>
      <c r="I288" s="365"/>
      <c r="K288" s="365"/>
      <c r="L288" s="365"/>
    </row>
    <row r="289" spans="1:12" s="364" customFormat="1" ht="13.5" customHeight="1">
      <c r="A289" s="302"/>
      <c r="B289" s="363"/>
      <c r="C289" s="302"/>
      <c r="E289" s="365"/>
      <c r="F289" s="365"/>
      <c r="G289" s="365"/>
      <c r="H289" s="363"/>
      <c r="I289" s="365"/>
      <c r="K289" s="365"/>
      <c r="L289" s="365"/>
    </row>
    <row r="290" spans="1:12" s="364" customFormat="1" ht="13.5" customHeight="1">
      <c r="A290" s="302"/>
      <c r="B290" s="363"/>
      <c r="C290" s="302"/>
      <c r="E290" s="365"/>
      <c r="F290" s="365"/>
      <c r="G290" s="365"/>
      <c r="H290" s="363"/>
      <c r="I290" s="365"/>
      <c r="K290" s="365"/>
      <c r="L290" s="365"/>
    </row>
    <row r="291" spans="1:12" s="364" customFormat="1" ht="13.5" customHeight="1">
      <c r="A291" s="302"/>
      <c r="B291" s="363"/>
      <c r="C291" s="302"/>
      <c r="E291" s="365"/>
      <c r="F291" s="365"/>
      <c r="G291" s="365"/>
      <c r="H291" s="363"/>
      <c r="I291" s="365"/>
      <c r="K291" s="365"/>
      <c r="L291" s="365"/>
    </row>
    <row r="292" spans="1:12" s="364" customFormat="1" ht="13.5" customHeight="1">
      <c r="A292" s="302"/>
      <c r="B292" s="363"/>
      <c r="C292" s="302"/>
      <c r="E292" s="365"/>
      <c r="F292" s="365"/>
      <c r="G292" s="365"/>
      <c r="H292" s="363"/>
      <c r="I292" s="365"/>
      <c r="K292" s="365"/>
      <c r="L292" s="365"/>
    </row>
    <row r="293" spans="1:12" s="364" customFormat="1" ht="13.5" customHeight="1">
      <c r="A293" s="302"/>
      <c r="B293" s="363"/>
      <c r="C293" s="302"/>
      <c r="E293" s="365"/>
      <c r="F293" s="365"/>
      <c r="G293" s="365"/>
      <c r="H293" s="363"/>
      <c r="I293" s="365"/>
      <c r="K293" s="365"/>
      <c r="L293" s="365"/>
    </row>
    <row r="294" spans="1:12" s="364" customFormat="1" ht="13.5" customHeight="1">
      <c r="A294" s="302"/>
      <c r="B294" s="363"/>
      <c r="C294" s="302"/>
      <c r="E294" s="365"/>
      <c r="F294" s="365"/>
      <c r="G294" s="365"/>
      <c r="H294" s="363"/>
      <c r="I294" s="365"/>
      <c r="K294" s="365"/>
      <c r="L294" s="365"/>
    </row>
    <row r="295" spans="1:12" s="364" customFormat="1" ht="13.5" customHeight="1">
      <c r="A295" s="302"/>
      <c r="B295" s="363"/>
      <c r="C295" s="302"/>
      <c r="E295" s="365"/>
      <c r="F295" s="365"/>
      <c r="G295" s="365"/>
      <c r="H295" s="363"/>
      <c r="I295" s="365"/>
      <c r="K295" s="365"/>
      <c r="L295" s="365"/>
    </row>
    <row r="296" spans="1:12" s="364" customFormat="1" ht="13.5" customHeight="1">
      <c r="A296" s="302"/>
      <c r="B296" s="363"/>
      <c r="C296" s="302"/>
      <c r="E296" s="365"/>
      <c r="F296" s="365"/>
      <c r="G296" s="365"/>
      <c r="H296" s="363"/>
      <c r="I296" s="365"/>
      <c r="K296" s="365"/>
      <c r="L296" s="365"/>
    </row>
    <row r="297" spans="1:12" s="364" customFormat="1" ht="13.5" customHeight="1">
      <c r="A297" s="302"/>
      <c r="B297" s="363"/>
      <c r="C297" s="302"/>
      <c r="E297" s="365"/>
      <c r="F297" s="365"/>
      <c r="G297" s="365"/>
      <c r="H297" s="363"/>
      <c r="I297" s="365"/>
      <c r="K297" s="365"/>
      <c r="L297" s="365"/>
    </row>
    <row r="298" spans="1:12" s="364" customFormat="1" ht="13.5" customHeight="1">
      <c r="A298" s="302"/>
      <c r="B298" s="363"/>
      <c r="C298" s="302"/>
      <c r="E298" s="365"/>
      <c r="F298" s="365"/>
      <c r="G298" s="365"/>
      <c r="H298" s="363"/>
      <c r="I298" s="365"/>
      <c r="K298" s="365"/>
      <c r="L298" s="365"/>
    </row>
    <row r="299" spans="1:12" s="364" customFormat="1" ht="13.5" customHeight="1">
      <c r="A299" s="302"/>
      <c r="B299" s="363"/>
      <c r="C299" s="302"/>
      <c r="E299" s="365"/>
      <c r="F299" s="365"/>
      <c r="G299" s="365"/>
      <c r="H299" s="363"/>
      <c r="I299" s="365"/>
      <c r="K299" s="365"/>
      <c r="L299" s="365"/>
    </row>
    <row r="300" spans="1:12" s="364" customFormat="1" ht="13.5" customHeight="1">
      <c r="A300" s="302"/>
      <c r="B300" s="363"/>
      <c r="C300" s="302"/>
      <c r="E300" s="365"/>
      <c r="F300" s="365"/>
      <c r="G300" s="365"/>
      <c r="H300" s="363"/>
      <c r="I300" s="365"/>
      <c r="K300" s="365"/>
      <c r="L300" s="365"/>
    </row>
    <row r="301" spans="1:12" s="364" customFormat="1" ht="13.5" customHeight="1">
      <c r="A301" s="302"/>
      <c r="B301" s="363"/>
      <c r="C301" s="302"/>
      <c r="E301" s="365"/>
      <c r="F301" s="365"/>
      <c r="G301" s="365"/>
      <c r="H301" s="363"/>
      <c r="I301" s="365"/>
      <c r="K301" s="365"/>
      <c r="L301" s="365"/>
    </row>
    <row r="302" spans="1:12" s="364" customFormat="1" ht="13.5" customHeight="1">
      <c r="A302" s="302"/>
      <c r="B302" s="363"/>
      <c r="C302" s="302"/>
      <c r="E302" s="365"/>
      <c r="F302" s="365"/>
      <c r="G302" s="365"/>
      <c r="H302" s="363"/>
      <c r="I302" s="365"/>
      <c r="K302" s="365"/>
      <c r="L302" s="365"/>
    </row>
    <row r="303" spans="1:12" s="364" customFormat="1" ht="13.5" customHeight="1">
      <c r="A303" s="302"/>
      <c r="B303" s="363"/>
      <c r="C303" s="302"/>
      <c r="E303" s="365"/>
      <c r="F303" s="365"/>
      <c r="G303" s="365"/>
      <c r="H303" s="363"/>
      <c r="I303" s="365"/>
      <c r="K303" s="365"/>
      <c r="L303" s="365"/>
    </row>
    <row r="304" spans="1:12" s="364" customFormat="1" ht="13.5" customHeight="1">
      <c r="A304" s="302"/>
      <c r="B304" s="363"/>
      <c r="C304" s="302"/>
      <c r="E304" s="365"/>
      <c r="F304" s="365"/>
      <c r="G304" s="365"/>
      <c r="H304" s="363"/>
      <c r="I304" s="365"/>
      <c r="K304" s="365"/>
      <c r="L304" s="365"/>
    </row>
    <row r="305" spans="1:12" s="364" customFormat="1" ht="13.5" customHeight="1">
      <c r="A305" s="302"/>
      <c r="B305" s="363"/>
      <c r="C305" s="302"/>
      <c r="E305" s="365"/>
      <c r="F305" s="365"/>
      <c r="G305" s="365"/>
      <c r="H305" s="363"/>
      <c r="I305" s="365"/>
      <c r="K305" s="365"/>
      <c r="L305" s="365"/>
    </row>
    <row r="306" spans="1:12" s="364" customFormat="1" ht="13.5" customHeight="1">
      <c r="A306" s="302"/>
      <c r="B306" s="363"/>
      <c r="C306" s="302"/>
      <c r="E306" s="365"/>
      <c r="F306" s="365"/>
      <c r="G306" s="365"/>
      <c r="H306" s="363"/>
      <c r="I306" s="365"/>
      <c r="K306" s="365"/>
      <c r="L306" s="365"/>
    </row>
    <row r="307" spans="1:12" s="364" customFormat="1" ht="13.5" customHeight="1">
      <c r="A307" s="302"/>
      <c r="B307" s="363"/>
      <c r="C307" s="302"/>
      <c r="E307" s="365"/>
      <c r="F307" s="365"/>
      <c r="G307" s="365"/>
      <c r="H307" s="363"/>
      <c r="I307" s="365"/>
      <c r="K307" s="365"/>
      <c r="L307" s="365"/>
    </row>
    <row r="308" spans="1:12" s="364" customFormat="1" ht="13.5" customHeight="1">
      <c r="A308" s="302"/>
      <c r="B308" s="363"/>
      <c r="C308" s="302"/>
      <c r="E308" s="365"/>
      <c r="F308" s="365"/>
      <c r="G308" s="365"/>
      <c r="H308" s="363"/>
      <c r="I308" s="365"/>
      <c r="K308" s="365"/>
      <c r="L308" s="365"/>
    </row>
    <row r="309" spans="1:12" s="364" customFormat="1" ht="13.5" customHeight="1">
      <c r="A309" s="302"/>
      <c r="B309" s="363"/>
      <c r="C309" s="302"/>
      <c r="E309" s="365"/>
      <c r="F309" s="365"/>
      <c r="G309" s="365"/>
      <c r="H309" s="363"/>
      <c r="I309" s="365"/>
      <c r="K309" s="365"/>
      <c r="L309" s="365"/>
    </row>
    <row r="310" spans="1:12" s="364" customFormat="1" ht="13.5" customHeight="1">
      <c r="A310" s="302"/>
      <c r="B310" s="363"/>
      <c r="C310" s="302"/>
      <c r="E310" s="365"/>
      <c r="F310" s="365"/>
      <c r="G310" s="365"/>
      <c r="H310" s="363"/>
      <c r="I310" s="365"/>
      <c r="K310" s="365"/>
      <c r="L310" s="365"/>
    </row>
    <row r="311" spans="1:12" s="364" customFormat="1" ht="13.5" customHeight="1">
      <c r="A311" s="302"/>
      <c r="B311" s="363"/>
      <c r="C311" s="302"/>
      <c r="E311" s="365"/>
      <c r="F311" s="365"/>
      <c r="G311" s="365"/>
      <c r="H311" s="363"/>
      <c r="I311" s="365"/>
      <c r="K311" s="365"/>
      <c r="L311" s="365"/>
    </row>
    <row r="312" spans="1:12" s="364" customFormat="1" ht="13.5" customHeight="1">
      <c r="A312" s="302"/>
      <c r="B312" s="363"/>
      <c r="C312" s="302"/>
      <c r="E312" s="365"/>
      <c r="F312" s="365"/>
      <c r="G312" s="365"/>
      <c r="H312" s="363"/>
      <c r="I312" s="365"/>
      <c r="K312" s="365"/>
      <c r="L312" s="365"/>
    </row>
    <row r="313" spans="1:12" s="364" customFormat="1" ht="13.5" customHeight="1">
      <c r="A313" s="302"/>
      <c r="B313" s="363"/>
      <c r="C313" s="302"/>
      <c r="E313" s="365"/>
      <c r="F313" s="365"/>
      <c r="G313" s="365"/>
      <c r="H313" s="363"/>
      <c r="I313" s="365"/>
      <c r="K313" s="365"/>
      <c r="L313" s="365"/>
    </row>
    <row r="314" spans="1:12" s="364" customFormat="1" ht="13.5" customHeight="1">
      <c r="A314" s="302"/>
      <c r="B314" s="363"/>
      <c r="C314" s="302"/>
      <c r="E314" s="365"/>
      <c r="F314" s="365"/>
      <c r="G314" s="365"/>
      <c r="H314" s="363"/>
      <c r="I314" s="365"/>
      <c r="K314" s="365"/>
      <c r="L314" s="365"/>
    </row>
    <row r="315" spans="1:12" s="364" customFormat="1" ht="13.5" customHeight="1">
      <c r="A315" s="302"/>
      <c r="B315" s="363"/>
      <c r="C315" s="302"/>
      <c r="E315" s="365"/>
      <c r="F315" s="365"/>
      <c r="G315" s="365"/>
      <c r="H315" s="363"/>
      <c r="I315" s="365"/>
      <c r="K315" s="365"/>
      <c r="L315" s="365"/>
    </row>
    <row r="316" spans="1:12" s="364" customFormat="1" ht="13.5" customHeight="1">
      <c r="A316" s="302"/>
      <c r="B316" s="363"/>
      <c r="C316" s="302"/>
      <c r="E316" s="365"/>
      <c r="F316" s="365"/>
      <c r="G316" s="365"/>
      <c r="H316" s="363"/>
      <c r="I316" s="365"/>
      <c r="K316" s="365"/>
      <c r="L316" s="365"/>
    </row>
    <row r="317" spans="1:12" s="364" customFormat="1" ht="13.5" customHeight="1">
      <c r="A317" s="302"/>
      <c r="B317" s="363"/>
      <c r="C317" s="302"/>
      <c r="E317" s="365"/>
      <c r="F317" s="365"/>
      <c r="G317" s="365"/>
      <c r="H317" s="363"/>
      <c r="I317" s="365"/>
      <c r="K317" s="365"/>
      <c r="L317" s="365"/>
    </row>
    <row r="318" spans="1:12" s="364" customFormat="1" ht="13.5" customHeight="1">
      <c r="A318" s="302"/>
      <c r="B318" s="363"/>
      <c r="C318" s="302"/>
      <c r="E318" s="365"/>
      <c r="F318" s="365"/>
      <c r="G318" s="365"/>
      <c r="H318" s="363"/>
      <c r="I318" s="365"/>
      <c r="K318" s="365"/>
      <c r="L318" s="365"/>
    </row>
    <row r="319" spans="1:12" s="364" customFormat="1" ht="13.5" customHeight="1">
      <c r="A319" s="302"/>
      <c r="B319" s="363"/>
      <c r="C319" s="302"/>
      <c r="E319" s="365"/>
      <c r="F319" s="365"/>
      <c r="G319" s="365"/>
      <c r="H319" s="363"/>
      <c r="I319" s="365"/>
      <c r="K319" s="365"/>
      <c r="L319" s="365"/>
    </row>
    <row r="320" spans="1:12" s="364" customFormat="1" ht="13.5" customHeight="1">
      <c r="A320" s="302"/>
      <c r="B320" s="363"/>
      <c r="C320" s="302"/>
      <c r="E320" s="365"/>
      <c r="F320" s="365"/>
      <c r="G320" s="365"/>
      <c r="H320" s="363"/>
      <c r="I320" s="365"/>
      <c r="K320" s="365"/>
      <c r="L320" s="365"/>
    </row>
    <row r="321" spans="1:12" s="364" customFormat="1" ht="13.5" customHeight="1">
      <c r="A321" s="302"/>
      <c r="B321" s="363"/>
      <c r="C321" s="302"/>
      <c r="E321" s="365"/>
      <c r="F321" s="365"/>
      <c r="G321" s="365"/>
      <c r="H321" s="363"/>
      <c r="I321" s="365"/>
      <c r="K321" s="365"/>
      <c r="L321" s="365"/>
    </row>
    <row r="322" spans="1:12" s="364" customFormat="1" ht="13.5" customHeight="1">
      <c r="A322" s="302"/>
      <c r="B322" s="363"/>
      <c r="C322" s="302"/>
      <c r="E322" s="365"/>
      <c r="F322" s="365"/>
      <c r="G322" s="365"/>
      <c r="H322" s="363"/>
      <c r="I322" s="365"/>
      <c r="K322" s="365"/>
      <c r="L322" s="365"/>
    </row>
    <row r="323" spans="1:12" s="364" customFormat="1" ht="13.5" customHeight="1">
      <c r="A323" s="302"/>
      <c r="B323" s="363"/>
      <c r="C323" s="302"/>
      <c r="E323" s="365"/>
      <c r="F323" s="365"/>
      <c r="G323" s="365"/>
      <c r="H323" s="363"/>
      <c r="I323" s="365"/>
      <c r="K323" s="365"/>
      <c r="L323" s="365"/>
    </row>
    <row r="324" spans="1:12" s="364" customFormat="1" ht="13.5" customHeight="1">
      <c r="A324" s="302"/>
      <c r="B324" s="363"/>
      <c r="C324" s="302"/>
      <c r="E324" s="365"/>
      <c r="F324" s="365"/>
      <c r="G324" s="365"/>
      <c r="H324" s="363"/>
      <c r="I324" s="365"/>
      <c r="K324" s="365"/>
      <c r="L324" s="365"/>
    </row>
    <row r="325" spans="1:12" s="364" customFormat="1" ht="13.5" customHeight="1">
      <c r="A325" s="302"/>
      <c r="B325" s="363"/>
      <c r="C325" s="302"/>
      <c r="E325" s="365"/>
      <c r="F325" s="365"/>
      <c r="G325" s="365"/>
      <c r="H325" s="363"/>
      <c r="I325" s="365"/>
      <c r="K325" s="365"/>
      <c r="L325" s="365"/>
    </row>
    <row r="326" spans="1:12" s="364" customFormat="1" ht="13.5" customHeight="1">
      <c r="A326" s="302"/>
      <c r="B326" s="363"/>
      <c r="C326" s="302"/>
      <c r="E326" s="365"/>
      <c r="F326" s="365"/>
      <c r="G326" s="365"/>
      <c r="H326" s="363"/>
      <c r="I326" s="365"/>
      <c r="K326" s="365"/>
      <c r="L326" s="365"/>
    </row>
    <row r="327" spans="1:12" s="364" customFormat="1" ht="13.5" customHeight="1">
      <c r="A327" s="302"/>
      <c r="B327" s="363"/>
      <c r="C327" s="302"/>
      <c r="E327" s="365"/>
      <c r="F327" s="365"/>
      <c r="G327" s="365"/>
      <c r="H327" s="363"/>
      <c r="I327" s="365"/>
      <c r="K327" s="365"/>
      <c r="L327" s="365"/>
    </row>
    <row r="328" spans="1:12" s="364" customFormat="1" ht="13.5" customHeight="1">
      <c r="A328" s="302"/>
      <c r="B328" s="363"/>
      <c r="C328" s="302"/>
      <c r="E328" s="365"/>
      <c r="F328" s="365"/>
      <c r="G328" s="365"/>
      <c r="H328" s="363"/>
      <c r="I328" s="365"/>
      <c r="K328" s="365"/>
      <c r="L328" s="365"/>
    </row>
    <row r="329" spans="1:12" s="364" customFormat="1" ht="13.5" customHeight="1">
      <c r="A329" s="302"/>
      <c r="B329" s="363"/>
      <c r="C329" s="302"/>
      <c r="E329" s="365"/>
      <c r="F329" s="365"/>
      <c r="G329" s="365"/>
      <c r="H329" s="363"/>
      <c r="I329" s="365"/>
      <c r="K329" s="365"/>
      <c r="L329" s="365"/>
    </row>
    <row r="330" spans="1:12" s="364" customFormat="1" ht="13.5" customHeight="1">
      <c r="A330" s="302"/>
      <c r="B330" s="363"/>
      <c r="C330" s="302"/>
      <c r="E330" s="365"/>
      <c r="F330" s="365"/>
      <c r="G330" s="365"/>
      <c r="H330" s="363"/>
      <c r="I330" s="365"/>
      <c r="K330" s="365"/>
      <c r="L330" s="365"/>
    </row>
    <row r="331" spans="1:12" s="364" customFormat="1" ht="13.5" customHeight="1">
      <c r="A331" s="302"/>
      <c r="B331" s="363"/>
      <c r="C331" s="302"/>
      <c r="E331" s="365"/>
      <c r="F331" s="365"/>
      <c r="G331" s="365"/>
      <c r="H331" s="363"/>
      <c r="I331" s="365"/>
      <c r="K331" s="365"/>
      <c r="L331" s="365"/>
    </row>
    <row r="332" spans="1:12" s="364" customFormat="1" ht="13.5" customHeight="1">
      <c r="A332" s="302"/>
      <c r="B332" s="363"/>
      <c r="C332" s="302"/>
      <c r="E332" s="365"/>
      <c r="F332" s="365"/>
      <c r="G332" s="365"/>
      <c r="H332" s="363"/>
      <c r="I332" s="365"/>
      <c r="K332" s="365"/>
      <c r="L332" s="365"/>
    </row>
    <row r="333" spans="1:12" s="364" customFormat="1" ht="13.5" customHeight="1">
      <c r="A333" s="302"/>
      <c r="B333" s="363"/>
      <c r="C333" s="302"/>
      <c r="E333" s="365"/>
      <c r="F333" s="365"/>
      <c r="G333" s="365"/>
      <c r="H333" s="363"/>
      <c r="I333" s="365"/>
      <c r="K333" s="365"/>
      <c r="L333" s="365"/>
    </row>
    <row r="334" spans="1:12" s="364" customFormat="1" ht="13.5" customHeight="1">
      <c r="A334" s="302"/>
      <c r="B334" s="363"/>
      <c r="C334" s="302"/>
      <c r="E334" s="365"/>
      <c r="F334" s="365"/>
      <c r="G334" s="365"/>
      <c r="H334" s="363"/>
      <c r="I334" s="365"/>
      <c r="K334" s="365"/>
      <c r="L334" s="365"/>
    </row>
    <row r="335" spans="1:12" s="364" customFormat="1" ht="13.5" customHeight="1">
      <c r="A335" s="302"/>
      <c r="B335" s="363"/>
      <c r="C335" s="302"/>
      <c r="E335" s="365"/>
      <c r="F335" s="365"/>
      <c r="G335" s="365"/>
      <c r="H335" s="363"/>
      <c r="I335" s="365"/>
      <c r="K335" s="365"/>
      <c r="L335" s="365"/>
    </row>
    <row r="336" spans="1:12" s="364" customFormat="1" ht="13.5" customHeight="1">
      <c r="A336" s="302"/>
      <c r="B336" s="363"/>
      <c r="C336" s="302"/>
      <c r="E336" s="365"/>
      <c r="F336" s="365"/>
      <c r="G336" s="365"/>
      <c r="H336" s="363"/>
      <c r="I336" s="365"/>
      <c r="K336" s="365"/>
      <c r="L336" s="365"/>
    </row>
    <row r="337" spans="1:12" s="364" customFormat="1" ht="13.5" customHeight="1">
      <c r="A337" s="302"/>
      <c r="B337" s="363"/>
      <c r="C337" s="302"/>
      <c r="E337" s="365"/>
      <c r="F337" s="365"/>
      <c r="G337" s="365"/>
      <c r="H337" s="363"/>
      <c r="I337" s="365"/>
      <c r="K337" s="365"/>
      <c r="L337" s="365"/>
    </row>
    <row r="338" spans="1:12" s="364" customFormat="1" ht="13.5" customHeight="1">
      <c r="A338" s="302"/>
      <c r="B338" s="363"/>
      <c r="C338" s="302"/>
      <c r="E338" s="365"/>
      <c r="F338" s="365"/>
      <c r="G338" s="365"/>
      <c r="H338" s="363"/>
      <c r="I338" s="365"/>
      <c r="K338" s="365"/>
      <c r="L338" s="365"/>
    </row>
    <row r="339" spans="1:12" s="364" customFormat="1" ht="13.5" customHeight="1">
      <c r="A339" s="302"/>
      <c r="B339" s="363"/>
      <c r="C339" s="302"/>
      <c r="E339" s="365"/>
      <c r="F339" s="365"/>
      <c r="G339" s="365"/>
      <c r="H339" s="363"/>
      <c r="I339" s="365"/>
      <c r="K339" s="365"/>
      <c r="L339" s="365"/>
    </row>
    <row r="340" spans="1:12" s="364" customFormat="1" ht="13.5" customHeight="1">
      <c r="A340" s="302"/>
      <c r="B340" s="363"/>
      <c r="C340" s="302"/>
      <c r="E340" s="365"/>
      <c r="F340" s="365"/>
      <c r="G340" s="365"/>
      <c r="H340" s="363"/>
      <c r="I340" s="365"/>
      <c r="K340" s="365"/>
      <c r="L340" s="365"/>
    </row>
    <row r="341" spans="1:12" s="364" customFormat="1" ht="13.5" customHeight="1">
      <c r="A341" s="302"/>
      <c r="B341" s="363"/>
      <c r="C341" s="302"/>
      <c r="E341" s="365"/>
      <c r="F341" s="365"/>
      <c r="G341" s="365"/>
      <c r="H341" s="363"/>
      <c r="I341" s="365"/>
      <c r="K341" s="365"/>
      <c r="L341" s="365"/>
    </row>
    <row r="342" spans="1:12" s="364" customFormat="1" ht="13.5" customHeight="1">
      <c r="A342" s="302"/>
      <c r="B342" s="363"/>
      <c r="C342" s="302"/>
      <c r="E342" s="365"/>
      <c r="F342" s="365"/>
      <c r="G342" s="365"/>
      <c r="H342" s="363"/>
      <c r="I342" s="365"/>
      <c r="K342" s="365"/>
      <c r="L342" s="365"/>
    </row>
    <row r="343" spans="1:12" s="364" customFormat="1" ht="13.5" customHeight="1">
      <c r="A343" s="302"/>
      <c r="B343" s="363"/>
      <c r="C343" s="302"/>
      <c r="E343" s="365"/>
      <c r="F343" s="365"/>
      <c r="G343" s="365"/>
      <c r="H343" s="363"/>
      <c r="I343" s="365"/>
      <c r="K343" s="365"/>
      <c r="L343" s="365"/>
    </row>
    <row r="344" spans="1:12" s="364" customFormat="1" ht="13.5" customHeight="1">
      <c r="A344" s="302"/>
      <c r="B344" s="363"/>
      <c r="C344" s="302"/>
      <c r="E344" s="365"/>
      <c r="F344" s="365"/>
      <c r="G344" s="365"/>
      <c r="H344" s="363"/>
      <c r="I344" s="365"/>
      <c r="K344" s="365"/>
      <c r="L344" s="365"/>
    </row>
    <row r="345" spans="1:12" s="364" customFormat="1" ht="13.5" customHeight="1">
      <c r="A345" s="302"/>
      <c r="B345" s="363"/>
      <c r="C345" s="302"/>
      <c r="E345" s="365"/>
      <c r="F345" s="365"/>
      <c r="G345" s="365"/>
      <c r="H345" s="363"/>
      <c r="I345" s="365"/>
      <c r="K345" s="365"/>
      <c r="L345" s="365"/>
    </row>
    <row r="346" spans="1:12" s="364" customFormat="1" ht="13.5" customHeight="1">
      <c r="A346" s="302"/>
      <c r="B346" s="363"/>
      <c r="C346" s="302"/>
      <c r="E346" s="365"/>
      <c r="F346" s="365"/>
      <c r="G346" s="365"/>
      <c r="H346" s="363"/>
      <c r="I346" s="365"/>
      <c r="K346" s="365"/>
      <c r="L346" s="365"/>
    </row>
    <row r="347" spans="1:12" s="364" customFormat="1" ht="13.5" customHeight="1">
      <c r="A347" s="302"/>
      <c r="B347" s="363"/>
      <c r="C347" s="302"/>
      <c r="E347" s="365"/>
      <c r="F347" s="365"/>
      <c r="G347" s="365"/>
      <c r="H347" s="363"/>
      <c r="I347" s="365"/>
      <c r="K347" s="365"/>
      <c r="L347" s="365"/>
    </row>
    <row r="348" spans="1:12" s="364" customFormat="1" ht="13.5" customHeight="1">
      <c r="A348" s="302"/>
      <c r="B348" s="363"/>
      <c r="C348" s="302"/>
      <c r="E348" s="365"/>
      <c r="F348" s="365"/>
      <c r="G348" s="365"/>
      <c r="H348" s="363"/>
      <c r="I348" s="365"/>
      <c r="K348" s="365"/>
      <c r="L348" s="365"/>
    </row>
    <row r="349" spans="1:12" s="364" customFormat="1" ht="13.5" customHeight="1">
      <c r="A349" s="302"/>
      <c r="B349" s="363"/>
      <c r="C349" s="302"/>
      <c r="E349" s="365"/>
      <c r="F349" s="365"/>
      <c r="G349" s="365"/>
      <c r="H349" s="363"/>
      <c r="I349" s="365"/>
      <c r="K349" s="365"/>
      <c r="L349" s="365"/>
    </row>
    <row r="350" spans="1:12" s="364" customFormat="1" ht="13.5" customHeight="1">
      <c r="A350" s="302"/>
      <c r="B350" s="363"/>
      <c r="C350" s="302"/>
      <c r="E350" s="365"/>
      <c r="F350" s="365"/>
      <c r="G350" s="365"/>
      <c r="H350" s="363"/>
      <c r="I350" s="365"/>
      <c r="K350" s="365"/>
      <c r="L350" s="365"/>
    </row>
    <row r="351" spans="1:12" s="364" customFormat="1" ht="13.5" customHeight="1">
      <c r="A351" s="302"/>
      <c r="B351" s="363"/>
      <c r="C351" s="302"/>
      <c r="E351" s="365"/>
      <c r="F351" s="365"/>
      <c r="G351" s="365"/>
      <c r="H351" s="363"/>
      <c r="I351" s="365"/>
      <c r="K351" s="365"/>
      <c r="L351" s="365"/>
    </row>
    <row r="352" spans="1:12" s="364" customFormat="1" ht="13.5" customHeight="1">
      <c r="A352" s="302"/>
      <c r="B352" s="363"/>
      <c r="C352" s="302"/>
      <c r="E352" s="365"/>
      <c r="F352" s="365"/>
      <c r="G352" s="365"/>
      <c r="H352" s="363"/>
      <c r="I352" s="365"/>
      <c r="K352" s="365"/>
      <c r="L352" s="365"/>
    </row>
    <row r="353" spans="1:12" s="364" customFormat="1" ht="13.5" customHeight="1">
      <c r="A353" s="302"/>
      <c r="B353" s="363"/>
      <c r="C353" s="302"/>
      <c r="E353" s="365"/>
      <c r="F353" s="365"/>
      <c r="G353" s="365"/>
      <c r="H353" s="363"/>
      <c r="I353" s="365"/>
      <c r="K353" s="365"/>
      <c r="L353" s="365"/>
    </row>
    <row r="354" spans="1:12" s="364" customFormat="1" ht="13.5" customHeight="1">
      <c r="A354" s="302"/>
      <c r="B354" s="363"/>
      <c r="C354" s="302"/>
      <c r="E354" s="365"/>
      <c r="F354" s="365"/>
      <c r="G354" s="365"/>
      <c r="H354" s="363"/>
      <c r="I354" s="365"/>
      <c r="K354" s="365"/>
      <c r="L354" s="365"/>
    </row>
    <row r="355" spans="1:12" s="364" customFormat="1" ht="13.5" customHeight="1">
      <c r="A355" s="302"/>
      <c r="B355" s="363"/>
      <c r="C355" s="302"/>
      <c r="E355" s="365"/>
      <c r="F355" s="365"/>
      <c r="G355" s="365"/>
      <c r="H355" s="363"/>
      <c r="I355" s="365"/>
      <c r="K355" s="365"/>
      <c r="L355" s="365"/>
    </row>
    <row r="356" spans="1:12" s="364" customFormat="1" ht="13.5" customHeight="1">
      <c r="A356" s="302"/>
      <c r="B356" s="363"/>
      <c r="C356" s="302"/>
      <c r="E356" s="365"/>
      <c r="F356" s="365"/>
      <c r="G356" s="365"/>
      <c r="H356" s="363"/>
      <c r="I356" s="365"/>
      <c r="K356" s="365"/>
      <c r="L356" s="365"/>
    </row>
    <row r="357" spans="1:12" s="364" customFormat="1" ht="13.5" customHeight="1">
      <c r="A357" s="302"/>
      <c r="B357" s="363"/>
      <c r="C357" s="302"/>
      <c r="E357" s="365"/>
      <c r="F357" s="365"/>
      <c r="G357" s="365"/>
      <c r="H357" s="363"/>
      <c r="I357" s="365"/>
      <c r="K357" s="365"/>
      <c r="L357" s="365"/>
    </row>
    <row r="358" spans="1:12" s="364" customFormat="1" ht="13.5" customHeight="1">
      <c r="A358" s="302"/>
      <c r="B358" s="363"/>
      <c r="C358" s="302"/>
      <c r="E358" s="365"/>
      <c r="F358" s="365"/>
      <c r="G358" s="365"/>
      <c r="H358" s="363"/>
      <c r="I358" s="365"/>
      <c r="K358" s="365"/>
      <c r="L358" s="365"/>
    </row>
    <row r="359" spans="1:12" s="364" customFormat="1" ht="13.5" customHeight="1">
      <c r="A359" s="302"/>
      <c r="B359" s="363"/>
      <c r="C359" s="302"/>
      <c r="E359" s="365"/>
      <c r="F359" s="365"/>
      <c r="G359" s="365"/>
      <c r="H359" s="363"/>
      <c r="I359" s="365"/>
      <c r="K359" s="365"/>
      <c r="L359" s="365"/>
    </row>
    <row r="360" spans="1:12" s="364" customFormat="1" ht="13.5" customHeight="1">
      <c r="A360" s="302"/>
      <c r="B360" s="363"/>
      <c r="C360" s="302"/>
      <c r="E360" s="365"/>
      <c r="F360" s="365"/>
      <c r="G360" s="365"/>
      <c r="H360" s="363"/>
      <c r="I360" s="365"/>
      <c r="K360" s="365"/>
      <c r="L360" s="365"/>
    </row>
    <row r="361" spans="1:12" s="364" customFormat="1" ht="13.5" customHeight="1">
      <c r="A361" s="302"/>
      <c r="B361" s="363"/>
      <c r="C361" s="302"/>
      <c r="E361" s="365"/>
      <c r="F361" s="365"/>
      <c r="G361" s="365"/>
      <c r="H361" s="363"/>
      <c r="I361" s="365"/>
      <c r="K361" s="365"/>
      <c r="L361" s="365"/>
    </row>
    <row r="362" spans="1:12" s="364" customFormat="1" ht="13.5" customHeight="1">
      <c r="A362" s="302"/>
      <c r="B362" s="363"/>
      <c r="C362" s="302"/>
      <c r="E362" s="365"/>
      <c r="F362" s="365"/>
      <c r="G362" s="365"/>
      <c r="H362" s="363"/>
      <c r="I362" s="365"/>
      <c r="K362" s="365"/>
      <c r="L362" s="365"/>
    </row>
    <row r="363" spans="1:12" s="364" customFormat="1" ht="13.5" customHeight="1">
      <c r="A363" s="302"/>
      <c r="B363" s="363"/>
      <c r="C363" s="302"/>
      <c r="E363" s="365"/>
      <c r="F363" s="365"/>
      <c r="G363" s="365"/>
      <c r="H363" s="363"/>
      <c r="I363" s="365"/>
      <c r="K363" s="365"/>
      <c r="L363" s="365"/>
    </row>
    <row r="364" spans="1:12" s="364" customFormat="1" ht="13.5" customHeight="1">
      <c r="A364" s="302"/>
      <c r="B364" s="363"/>
      <c r="C364" s="302"/>
      <c r="E364" s="365"/>
      <c r="F364" s="365"/>
      <c r="G364" s="365"/>
      <c r="H364" s="363"/>
      <c r="I364" s="365"/>
      <c r="K364" s="365"/>
      <c r="L364" s="365"/>
    </row>
    <row r="365" spans="1:12" s="364" customFormat="1" ht="13.5" customHeight="1">
      <c r="A365" s="302"/>
      <c r="B365" s="363"/>
      <c r="C365" s="302"/>
      <c r="E365" s="365"/>
      <c r="F365" s="365"/>
      <c r="G365" s="365"/>
      <c r="H365" s="363"/>
      <c r="I365" s="365"/>
      <c r="K365" s="365"/>
      <c r="L365" s="365"/>
    </row>
    <row r="366" spans="1:12" s="364" customFormat="1" ht="13.5" customHeight="1">
      <c r="A366" s="302"/>
      <c r="B366" s="363"/>
      <c r="C366" s="302"/>
      <c r="E366" s="365"/>
      <c r="F366" s="365"/>
      <c r="G366" s="365"/>
      <c r="H366" s="363"/>
      <c r="I366" s="365"/>
      <c r="K366" s="365"/>
      <c r="L366" s="365"/>
    </row>
    <row r="367" spans="1:12" s="364" customFormat="1" ht="13.5" customHeight="1">
      <c r="A367" s="302"/>
      <c r="B367" s="363"/>
      <c r="C367" s="302"/>
      <c r="E367" s="365"/>
      <c r="F367" s="365"/>
      <c r="G367" s="365"/>
      <c r="H367" s="363"/>
      <c r="I367" s="365"/>
      <c r="K367" s="365"/>
      <c r="L367" s="365"/>
    </row>
    <row r="368" spans="1:12" s="364" customFormat="1" ht="13.5" customHeight="1">
      <c r="A368" s="302"/>
      <c r="B368" s="363"/>
      <c r="C368" s="302"/>
      <c r="E368" s="365"/>
      <c r="F368" s="365"/>
      <c r="G368" s="365"/>
      <c r="H368" s="363"/>
      <c r="I368" s="365"/>
      <c r="K368" s="365"/>
      <c r="L368" s="365"/>
    </row>
    <row r="369" spans="1:12" s="364" customFormat="1" ht="13.5" customHeight="1">
      <c r="A369" s="302"/>
      <c r="B369" s="363"/>
      <c r="C369" s="302"/>
      <c r="E369" s="365"/>
      <c r="F369" s="365"/>
      <c r="G369" s="365"/>
      <c r="H369" s="363"/>
      <c r="I369" s="365"/>
      <c r="K369" s="365"/>
      <c r="L369" s="365"/>
    </row>
    <row r="370" spans="1:12" s="364" customFormat="1" ht="13.5" customHeight="1">
      <c r="A370" s="302"/>
      <c r="B370" s="363"/>
      <c r="C370" s="302"/>
      <c r="E370" s="365"/>
      <c r="F370" s="365"/>
      <c r="G370" s="365"/>
      <c r="H370" s="363"/>
      <c r="I370" s="365"/>
      <c r="K370" s="365"/>
      <c r="L370" s="365"/>
    </row>
    <row r="371" spans="1:12" s="364" customFormat="1" ht="13.5" customHeight="1">
      <c r="A371" s="302"/>
      <c r="B371" s="363"/>
      <c r="C371" s="302"/>
      <c r="E371" s="365"/>
      <c r="F371" s="365"/>
      <c r="G371" s="365"/>
      <c r="H371" s="363"/>
      <c r="I371" s="365"/>
      <c r="K371" s="365"/>
      <c r="L371" s="365"/>
    </row>
    <row r="372" spans="1:12" s="364" customFormat="1" ht="13.5" customHeight="1">
      <c r="A372" s="302"/>
      <c r="B372" s="363"/>
      <c r="C372" s="302"/>
      <c r="E372" s="365"/>
      <c r="F372" s="365"/>
      <c r="G372" s="365"/>
      <c r="H372" s="363"/>
      <c r="I372" s="365"/>
      <c r="K372" s="365"/>
      <c r="L372" s="365"/>
    </row>
    <row r="373" spans="1:12" s="364" customFormat="1" ht="13.5" customHeight="1">
      <c r="A373" s="302"/>
      <c r="B373" s="363"/>
      <c r="C373" s="302"/>
      <c r="E373" s="365"/>
      <c r="F373" s="365"/>
      <c r="G373" s="365"/>
      <c r="H373" s="363"/>
      <c r="I373" s="365"/>
      <c r="K373" s="365"/>
      <c r="L373" s="365"/>
    </row>
    <row r="374" spans="1:12" s="364" customFormat="1" ht="13.5" customHeight="1">
      <c r="A374" s="302"/>
      <c r="B374" s="363"/>
      <c r="C374" s="302"/>
      <c r="E374" s="365"/>
      <c r="F374" s="365"/>
      <c r="G374" s="365"/>
      <c r="H374" s="363"/>
      <c r="I374" s="365"/>
      <c r="K374" s="365"/>
      <c r="L374" s="365"/>
    </row>
    <row r="375" spans="1:12" s="364" customFormat="1" ht="13.5" customHeight="1">
      <c r="A375" s="302"/>
      <c r="B375" s="363"/>
      <c r="C375" s="302"/>
      <c r="E375" s="365"/>
      <c r="F375" s="365"/>
      <c r="G375" s="365"/>
      <c r="H375" s="363"/>
      <c r="I375" s="365"/>
      <c r="K375" s="365"/>
      <c r="L375" s="365"/>
    </row>
    <row r="376" spans="1:12" s="364" customFormat="1" ht="13.5" customHeight="1">
      <c r="A376" s="302"/>
      <c r="B376" s="363"/>
      <c r="C376" s="302"/>
      <c r="E376" s="365"/>
      <c r="F376" s="365"/>
      <c r="G376" s="365"/>
      <c r="H376" s="363"/>
      <c r="I376" s="365"/>
      <c r="K376" s="365"/>
      <c r="L376" s="365"/>
    </row>
    <row r="377" spans="1:12" s="364" customFormat="1" ht="13.5" customHeight="1">
      <c r="A377" s="302"/>
      <c r="B377" s="363"/>
      <c r="C377" s="302"/>
      <c r="E377" s="365"/>
      <c r="F377" s="365"/>
      <c r="G377" s="365"/>
      <c r="H377" s="363"/>
      <c r="I377" s="365"/>
      <c r="K377" s="365"/>
      <c r="L377" s="365"/>
    </row>
    <row r="378" spans="1:12" s="364" customFormat="1" ht="13.5" customHeight="1">
      <c r="A378" s="302"/>
      <c r="B378" s="363"/>
      <c r="C378" s="302"/>
      <c r="E378" s="365"/>
      <c r="F378" s="365"/>
      <c r="G378" s="365"/>
      <c r="H378" s="363"/>
      <c r="I378" s="365"/>
      <c r="K378" s="365"/>
      <c r="L378" s="365"/>
    </row>
    <row r="379" spans="1:12" s="364" customFormat="1" ht="13.5" customHeight="1">
      <c r="A379" s="302"/>
      <c r="B379" s="363"/>
      <c r="C379" s="302"/>
      <c r="E379" s="365"/>
      <c r="F379" s="365"/>
      <c r="G379" s="365"/>
      <c r="H379" s="363"/>
      <c r="I379" s="365"/>
      <c r="K379" s="365"/>
      <c r="L379" s="365"/>
    </row>
    <row r="380" spans="1:12" s="364" customFormat="1" ht="13.5" customHeight="1">
      <c r="A380" s="302"/>
      <c r="B380" s="363"/>
      <c r="C380" s="302"/>
      <c r="E380" s="365"/>
      <c r="F380" s="365"/>
      <c r="G380" s="365"/>
      <c r="H380" s="363"/>
      <c r="I380" s="365"/>
      <c r="K380" s="365"/>
      <c r="L380" s="365"/>
    </row>
    <row r="381" spans="1:12" s="364" customFormat="1" ht="13.5" customHeight="1">
      <c r="A381" s="302"/>
      <c r="B381" s="363"/>
      <c r="C381" s="302"/>
      <c r="E381" s="365"/>
      <c r="F381" s="365"/>
      <c r="G381" s="365"/>
      <c r="H381" s="363"/>
      <c r="I381" s="365"/>
      <c r="K381" s="365"/>
      <c r="L381" s="365"/>
    </row>
    <row r="382" spans="1:12" s="364" customFormat="1" ht="13.5" customHeight="1">
      <c r="A382" s="302"/>
      <c r="B382" s="363"/>
      <c r="C382" s="302"/>
      <c r="E382" s="365"/>
      <c r="F382" s="365"/>
      <c r="G382" s="365"/>
      <c r="H382" s="363"/>
      <c r="I382" s="365"/>
      <c r="K382" s="365"/>
      <c r="L382" s="365"/>
    </row>
    <row r="383" spans="1:12" s="364" customFormat="1" ht="13.5" customHeight="1">
      <c r="A383" s="302"/>
      <c r="B383" s="363"/>
      <c r="C383" s="302"/>
      <c r="E383" s="365"/>
      <c r="F383" s="365"/>
      <c r="G383" s="365"/>
      <c r="H383" s="363"/>
      <c r="I383" s="365"/>
      <c r="K383" s="365"/>
      <c r="L383" s="365"/>
    </row>
    <row r="384" spans="1:12" s="364" customFormat="1" ht="13.5" customHeight="1">
      <c r="A384" s="302"/>
      <c r="B384" s="363"/>
      <c r="C384" s="302"/>
      <c r="E384" s="365"/>
      <c r="F384" s="365"/>
      <c r="G384" s="365"/>
      <c r="H384" s="363"/>
      <c r="I384" s="365"/>
      <c r="K384" s="365"/>
      <c r="L384" s="365"/>
    </row>
    <row r="385" spans="1:12" s="364" customFormat="1" ht="13.5" customHeight="1">
      <c r="A385" s="302"/>
      <c r="B385" s="363"/>
      <c r="C385" s="302"/>
      <c r="E385" s="365"/>
      <c r="F385" s="365"/>
      <c r="G385" s="365"/>
      <c r="H385" s="363"/>
      <c r="I385" s="365"/>
      <c r="K385" s="365"/>
      <c r="L385" s="365"/>
    </row>
    <row r="386" spans="1:12" s="364" customFormat="1" ht="13.5" customHeight="1">
      <c r="A386" s="302"/>
      <c r="B386" s="363"/>
      <c r="C386" s="302"/>
      <c r="E386" s="365"/>
      <c r="F386" s="365"/>
      <c r="G386" s="365"/>
      <c r="H386" s="363"/>
      <c r="I386" s="365"/>
      <c r="K386" s="365"/>
      <c r="L386" s="365"/>
    </row>
    <row r="387" spans="1:12" s="364" customFormat="1" ht="13.5" customHeight="1">
      <c r="A387" s="302"/>
      <c r="B387" s="363"/>
      <c r="C387" s="302"/>
      <c r="E387" s="365"/>
      <c r="F387" s="365"/>
      <c r="G387" s="365"/>
      <c r="H387" s="363"/>
      <c r="I387" s="365"/>
      <c r="K387" s="365"/>
      <c r="L387" s="365"/>
    </row>
    <row r="388" spans="1:12" s="364" customFormat="1" ht="13.5" customHeight="1">
      <c r="A388" s="302"/>
      <c r="B388" s="363"/>
      <c r="C388" s="302"/>
      <c r="E388" s="365"/>
      <c r="F388" s="365"/>
      <c r="G388" s="365"/>
      <c r="H388" s="363"/>
      <c r="I388" s="365"/>
      <c r="K388" s="365"/>
      <c r="L388" s="365"/>
    </row>
    <row r="389" spans="1:12" s="364" customFormat="1" ht="13.5" customHeight="1">
      <c r="A389" s="302"/>
      <c r="B389" s="363"/>
      <c r="C389" s="302"/>
      <c r="E389" s="365"/>
      <c r="F389" s="365"/>
      <c r="G389" s="365"/>
      <c r="H389" s="363"/>
      <c r="I389" s="365"/>
      <c r="K389" s="365"/>
      <c r="L389" s="365"/>
    </row>
    <row r="390" spans="1:12" s="364" customFormat="1" ht="13.5" customHeight="1">
      <c r="A390" s="302"/>
      <c r="B390" s="363"/>
      <c r="C390" s="302"/>
      <c r="E390" s="365"/>
      <c r="F390" s="365"/>
      <c r="G390" s="365"/>
      <c r="H390" s="363"/>
      <c r="I390" s="365"/>
      <c r="K390" s="365"/>
      <c r="L390" s="365"/>
    </row>
    <row r="391" spans="1:12" s="364" customFormat="1" ht="13.5" customHeight="1">
      <c r="A391" s="302"/>
      <c r="B391" s="363"/>
      <c r="C391" s="302"/>
      <c r="E391" s="365"/>
      <c r="F391" s="365"/>
      <c r="G391" s="365"/>
      <c r="H391" s="363"/>
      <c r="I391" s="365"/>
      <c r="K391" s="365"/>
      <c r="L391" s="365"/>
    </row>
    <row r="392" spans="1:12" s="364" customFormat="1" ht="13.5" customHeight="1">
      <c r="A392" s="302"/>
      <c r="B392" s="363"/>
      <c r="C392" s="302"/>
      <c r="E392" s="365"/>
      <c r="F392" s="365"/>
      <c r="G392" s="365"/>
      <c r="H392" s="363"/>
      <c r="I392" s="365"/>
      <c r="K392" s="365"/>
      <c r="L392" s="365"/>
    </row>
    <row r="393" spans="1:12" s="364" customFormat="1" ht="13.5" customHeight="1">
      <c r="A393" s="302"/>
      <c r="B393" s="363"/>
      <c r="C393" s="302"/>
      <c r="E393" s="365"/>
      <c r="F393" s="365"/>
      <c r="G393" s="365"/>
      <c r="H393" s="363"/>
      <c r="I393" s="365"/>
      <c r="K393" s="365"/>
      <c r="L393" s="365"/>
    </row>
    <row r="394" spans="1:12" s="364" customFormat="1" ht="13.5" customHeight="1">
      <c r="A394" s="302"/>
      <c r="B394" s="363"/>
      <c r="C394" s="302"/>
      <c r="E394" s="365"/>
      <c r="F394" s="365"/>
      <c r="G394" s="365"/>
      <c r="H394" s="363"/>
      <c r="I394" s="365"/>
      <c r="K394" s="365"/>
      <c r="L394" s="365"/>
    </row>
    <row r="395" spans="1:12" s="364" customFormat="1" ht="13.5" customHeight="1">
      <c r="A395" s="302"/>
      <c r="B395" s="363"/>
      <c r="C395" s="302"/>
      <c r="E395" s="365"/>
      <c r="F395" s="365"/>
      <c r="G395" s="365"/>
      <c r="H395" s="363"/>
      <c r="I395" s="365"/>
      <c r="K395" s="365"/>
      <c r="L395" s="365"/>
    </row>
    <row r="396" spans="1:12" s="364" customFormat="1" ht="13.5" customHeight="1">
      <c r="A396" s="302"/>
      <c r="B396" s="363"/>
      <c r="C396" s="302"/>
      <c r="E396" s="365"/>
      <c r="F396" s="365"/>
      <c r="G396" s="365"/>
      <c r="H396" s="363"/>
      <c r="I396" s="365"/>
      <c r="K396" s="365"/>
      <c r="L396" s="365"/>
    </row>
    <row r="397" spans="1:12" s="364" customFormat="1" ht="13.5" customHeight="1">
      <c r="A397" s="302"/>
      <c r="B397" s="363"/>
      <c r="C397" s="302"/>
      <c r="E397" s="365"/>
      <c r="F397" s="365"/>
      <c r="G397" s="365"/>
      <c r="H397" s="363"/>
      <c r="I397" s="365"/>
      <c r="K397" s="365"/>
      <c r="L397" s="365"/>
    </row>
    <row r="398" spans="1:12" s="364" customFormat="1" ht="13.5" customHeight="1">
      <c r="A398" s="302"/>
      <c r="B398" s="363"/>
      <c r="C398" s="302"/>
      <c r="E398" s="365"/>
      <c r="F398" s="365"/>
      <c r="G398" s="365"/>
      <c r="H398" s="363"/>
      <c r="I398" s="365"/>
      <c r="K398" s="365"/>
      <c r="L398" s="365"/>
    </row>
    <row r="399" spans="1:12" s="364" customFormat="1" ht="13.5" customHeight="1">
      <c r="A399" s="302"/>
      <c r="B399" s="363"/>
      <c r="C399" s="302"/>
      <c r="E399" s="365"/>
      <c r="F399" s="365"/>
      <c r="G399" s="365"/>
      <c r="H399" s="363"/>
      <c r="I399" s="365"/>
      <c r="K399" s="365"/>
      <c r="L399" s="365"/>
    </row>
    <row r="400" spans="1:12" s="364" customFormat="1" ht="13.5" customHeight="1">
      <c r="A400" s="302"/>
      <c r="B400" s="363"/>
      <c r="C400" s="302"/>
      <c r="E400" s="365"/>
      <c r="F400" s="365"/>
      <c r="G400" s="365"/>
      <c r="H400" s="363"/>
      <c r="I400" s="365"/>
      <c r="K400" s="365"/>
      <c r="L400" s="365"/>
    </row>
    <row r="401" spans="1:12" s="364" customFormat="1" ht="13.5" customHeight="1">
      <c r="A401" s="302"/>
      <c r="B401" s="363"/>
      <c r="C401" s="302"/>
      <c r="E401" s="365"/>
      <c r="F401" s="365"/>
      <c r="G401" s="365"/>
      <c r="H401" s="363"/>
      <c r="I401" s="365"/>
      <c r="K401" s="365"/>
      <c r="L401" s="365"/>
    </row>
    <row r="402" spans="1:12" s="364" customFormat="1" ht="13.5" customHeight="1">
      <c r="A402" s="302"/>
      <c r="B402" s="363"/>
      <c r="C402" s="302"/>
      <c r="E402" s="365"/>
      <c r="F402" s="365"/>
      <c r="G402" s="365"/>
      <c r="H402" s="363"/>
      <c r="I402" s="365"/>
      <c r="K402" s="365"/>
      <c r="L402" s="365"/>
    </row>
    <row r="403" spans="1:12" s="364" customFormat="1" ht="13.5" customHeight="1">
      <c r="A403" s="302"/>
      <c r="B403" s="363"/>
      <c r="C403" s="302"/>
      <c r="E403" s="365"/>
      <c r="F403" s="365"/>
      <c r="G403" s="365"/>
      <c r="H403" s="363"/>
      <c r="I403" s="365"/>
      <c r="K403" s="365"/>
      <c r="L403" s="365"/>
    </row>
    <row r="404" spans="1:12" s="364" customFormat="1" ht="13.5" customHeight="1">
      <c r="A404" s="302"/>
      <c r="B404" s="363"/>
      <c r="C404" s="302"/>
      <c r="E404" s="365"/>
      <c r="F404" s="365"/>
      <c r="G404" s="365"/>
      <c r="H404" s="363"/>
      <c r="I404" s="365"/>
      <c r="K404" s="365"/>
      <c r="L404" s="365"/>
    </row>
    <row r="405" spans="1:12" s="364" customFormat="1" ht="13.5" customHeight="1">
      <c r="A405" s="302"/>
      <c r="B405" s="363"/>
      <c r="C405" s="302"/>
      <c r="E405" s="365"/>
      <c r="F405" s="365"/>
      <c r="G405" s="365"/>
      <c r="H405" s="363"/>
      <c r="I405" s="365"/>
      <c r="K405" s="365"/>
      <c r="L405" s="365"/>
    </row>
    <row r="406" spans="1:12" s="364" customFormat="1" ht="13.5" customHeight="1">
      <c r="A406" s="302"/>
      <c r="B406" s="363"/>
      <c r="C406" s="302"/>
      <c r="E406" s="365"/>
      <c r="F406" s="365"/>
      <c r="G406" s="365"/>
      <c r="H406" s="363"/>
      <c r="I406" s="365"/>
      <c r="K406" s="365"/>
      <c r="L406" s="365"/>
    </row>
  </sheetData>
  <mergeCells count="16">
    <mergeCell ref="J3:J5"/>
    <mergeCell ref="K3:K5"/>
    <mergeCell ref="L3:L5"/>
    <mergeCell ref="I6:I7"/>
    <mergeCell ref="I23:I24"/>
    <mergeCell ref="C40:C41"/>
    <mergeCell ref="H1:I1"/>
    <mergeCell ref="A3:A5"/>
    <mergeCell ref="B3:B5"/>
    <mergeCell ref="C3:C5"/>
    <mergeCell ref="D3:D5"/>
    <mergeCell ref="E3:E5"/>
    <mergeCell ref="F3:F5"/>
    <mergeCell ref="G3:G5"/>
    <mergeCell ref="H3:H5"/>
    <mergeCell ref="I3:I5"/>
  </mergeCells>
  <phoneticPr fontId="3"/>
  <printOptions horizontalCentered="1" gridLinesSet="0"/>
  <pageMargins left="0.39370078740157483" right="0.39370078740157483" top="0.59055118110236227" bottom="0.51181102362204722" header="0.39370078740157483" footer="0.31496062992125984"/>
  <pageSetup paperSize="9" scale="93" fitToHeight="0" orientation="landscape" horizontalDpi="4294967292" verticalDpi="400" r:id="rId1"/>
  <headerFooter scaleWithDoc="0">
    <oddFooter>&amp;C&amp;"ＭＳ Ｐゴシック,標準"&amp;9( &amp;P / &amp;N )</oddFooter>
  </headerFooter>
  <rowBreaks count="4" manualBreakCount="4">
    <brk id="39" max="16383" man="1"/>
    <brk id="73" max="16383" man="1"/>
    <brk id="107" max="16383" man="1"/>
    <brk id="141"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282</v>
      </c>
    </row>
    <row r="6" spans="1:5" ht="30" customHeight="1">
      <c r="A6" s="6"/>
    </row>
    <row r="7" spans="1:5" ht="30" customHeight="1">
      <c r="A7" s="6" t="s">
        <v>283</v>
      </c>
    </row>
    <row r="8" spans="1:5" ht="30" customHeight="1">
      <c r="A8" s="6"/>
    </row>
    <row r="9" spans="1:5" ht="30" customHeight="1">
      <c r="A9" s="6"/>
    </row>
    <row r="10" spans="1:5" ht="30" customHeight="1">
      <c r="A10" s="6"/>
    </row>
    <row r="11" spans="1:5" ht="30" customHeight="1">
      <c r="A11" s="6"/>
    </row>
    <row r="12" spans="1:5" ht="30" customHeight="1">
      <c r="A12" s="6"/>
    </row>
    <row r="13" spans="1:5" ht="30" customHeight="1">
      <c r="A13" s="6"/>
    </row>
  </sheetData>
  <sheetProtection insertRows="0" deleteRows="0" sort="0" autoFilter="0"/>
  <phoneticPr fontId="3"/>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oddFooter>&amp;C&amp;"ＭＳ Ｐゴシック,標準"&amp;9( &amp;P / &amp;N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O89"/>
  <sheetViews>
    <sheetView showGridLines="0" zoomScale="80" zoomScaleNormal="80" workbookViewId="0">
      <pane ySplit="8" topLeftCell="A42" activePane="bottomLeft" state="frozenSplit"/>
      <selection pane="bottomLeft"/>
    </sheetView>
  </sheetViews>
  <sheetFormatPr defaultColWidth="7.42578125" defaultRowHeight="20.100000000000001" customHeight="1"/>
  <cols>
    <col min="1" max="1" width="5" style="393" customWidth="1"/>
    <col min="2" max="6" width="9.5703125" style="393" customWidth="1"/>
    <col min="7" max="7" width="4.7109375" style="393" customWidth="1"/>
    <col min="8" max="8" width="7.7109375" style="393" customWidth="1"/>
    <col min="9" max="9" width="4.7109375" style="393" customWidth="1"/>
    <col min="10" max="10" width="7.7109375" style="393" customWidth="1"/>
    <col min="11" max="11" width="4.7109375" style="393" customWidth="1"/>
    <col min="12" max="12" width="7.7109375" style="393" customWidth="1"/>
    <col min="13" max="13" width="4.7109375" style="393" customWidth="1"/>
    <col min="14" max="14" width="7.7109375" style="393" customWidth="1"/>
    <col min="15" max="15" width="4.7109375" style="393" customWidth="1"/>
    <col min="16" max="16" width="7.7109375" style="393" customWidth="1"/>
    <col min="17" max="17" width="4.7109375" style="393" customWidth="1"/>
    <col min="18" max="18" width="7.7109375" style="393" customWidth="1"/>
    <col min="19" max="19" width="4.7109375" style="393" customWidth="1"/>
    <col min="20" max="20" width="7.7109375" style="393" customWidth="1"/>
    <col min="21" max="21" width="4.7109375" style="393" customWidth="1"/>
    <col min="22" max="22" width="7.7109375" style="393" customWidth="1"/>
    <col min="23" max="23" width="4.7109375" style="393" customWidth="1"/>
    <col min="24" max="24" width="7.7109375" style="393" customWidth="1"/>
    <col min="25" max="25" width="4.7109375" style="393" customWidth="1"/>
    <col min="26" max="26" width="7.7109375" style="393" customWidth="1"/>
    <col min="27" max="27" width="4.7109375" style="393" customWidth="1"/>
    <col min="28" max="28" width="7.7109375" style="393" customWidth="1"/>
    <col min="29" max="29" width="4.7109375" style="393" customWidth="1"/>
    <col min="30" max="30" width="7.7109375" style="393" customWidth="1"/>
    <col min="31" max="31" width="4.7109375" style="393" customWidth="1"/>
    <col min="32" max="32" width="7.7109375" style="393" customWidth="1"/>
    <col min="33" max="33" width="4.7109375" style="393" customWidth="1"/>
    <col min="34" max="34" width="7.7109375" style="393" customWidth="1"/>
    <col min="35" max="35" width="4.7109375" style="393" customWidth="1"/>
    <col min="36" max="36" width="7.7109375" style="393" customWidth="1"/>
    <col min="37" max="37" width="4.7109375" style="393" customWidth="1"/>
    <col min="38" max="38" width="7.7109375" style="393" customWidth="1"/>
    <col min="39" max="39" width="4.7109375" style="393" customWidth="1"/>
    <col min="40" max="40" width="7.7109375" style="393" customWidth="1"/>
    <col min="41" max="41" width="4.7109375" style="393" customWidth="1"/>
    <col min="42" max="42" width="7.7109375" style="393" customWidth="1"/>
    <col min="43" max="43" width="4.7109375" style="393" customWidth="1"/>
    <col min="44" max="44" width="7.7109375" style="393" customWidth="1"/>
    <col min="45" max="45" width="4.7109375" style="393" customWidth="1"/>
    <col min="46" max="46" width="7.7109375" style="393" customWidth="1"/>
    <col min="47" max="47" width="4.7109375" style="393" customWidth="1"/>
    <col min="48" max="48" width="7.7109375" style="393" customWidth="1"/>
    <col min="49" max="49" width="4.7109375" style="393" customWidth="1"/>
    <col min="50" max="50" width="7.7109375" style="393" customWidth="1"/>
    <col min="51" max="51" width="4.7109375" style="393" customWidth="1"/>
    <col min="52" max="52" width="7.7109375" style="393" customWidth="1"/>
    <col min="53" max="53" width="4.7109375" style="393" customWidth="1"/>
    <col min="54" max="54" width="7.7109375" style="393" customWidth="1"/>
    <col min="55" max="55" width="4.28515625" style="1203" customWidth="1"/>
    <col min="56" max="56" width="5" style="393" customWidth="1"/>
    <col min="57" max="61" width="9.5703125" style="393" customWidth="1"/>
    <col min="62" max="62" width="4.7109375" style="393" customWidth="1"/>
    <col min="63" max="63" width="7.7109375" style="393" customWidth="1"/>
    <col min="64" max="64" width="4.7109375" style="393" customWidth="1"/>
    <col min="65" max="65" width="7.7109375" style="393" customWidth="1"/>
    <col min="66" max="66" width="4.7109375" style="393" customWidth="1"/>
    <col min="67" max="67" width="7.7109375" style="393" customWidth="1"/>
    <col min="68" max="68" width="4.7109375" style="393" customWidth="1"/>
    <col min="69" max="69" width="7.7109375" style="393" customWidth="1"/>
    <col min="70" max="70" width="4.7109375" style="393" customWidth="1"/>
    <col min="71" max="71" width="7.7109375" style="393" customWidth="1"/>
    <col min="72" max="72" width="4.7109375" style="393" customWidth="1"/>
    <col min="73" max="73" width="7.7109375" style="393" customWidth="1"/>
    <col min="74" max="74" width="4.7109375" style="393" customWidth="1"/>
    <col min="75" max="75" width="7.7109375" style="393" customWidth="1"/>
    <col min="76" max="76" width="4.7109375" style="393" customWidth="1"/>
    <col min="77" max="77" width="7.7109375" style="393" customWidth="1"/>
    <col min="78" max="78" width="4.7109375" style="393" customWidth="1"/>
    <col min="79" max="79" width="7.7109375" style="393" customWidth="1"/>
    <col min="80" max="80" width="4.7109375" style="393" customWidth="1"/>
    <col min="81" max="81" width="7.7109375" style="393" customWidth="1"/>
    <col min="82" max="82" width="4.7109375" style="393" customWidth="1"/>
    <col min="83" max="83" width="7.7109375" style="393" customWidth="1"/>
    <col min="84" max="84" width="4.7109375" style="393" customWidth="1"/>
    <col min="85" max="85" width="7.7109375" style="393" customWidth="1"/>
    <col min="86" max="86" width="4.7109375" style="393" customWidth="1"/>
    <col min="87" max="87" width="7.7109375" style="393" customWidth="1"/>
    <col min="88" max="88" width="4.7109375" style="393" customWidth="1"/>
    <col min="89" max="89" width="7.7109375" style="393" customWidth="1"/>
    <col min="90" max="90" width="4.7109375" style="393" customWidth="1"/>
    <col min="91" max="91" width="7.7109375" style="393" customWidth="1"/>
    <col min="92" max="92" width="4.7109375" style="393" customWidth="1"/>
    <col min="93" max="93" width="7.7109375" style="393" customWidth="1"/>
    <col min="94" max="94" width="4.7109375" style="393" customWidth="1"/>
    <col min="95" max="95" width="7.7109375" style="393" customWidth="1"/>
    <col min="96" max="96" width="4.7109375" style="393" customWidth="1"/>
    <col min="97" max="97" width="7.7109375" style="393" customWidth="1"/>
    <col min="98" max="98" width="4.7109375" style="393" customWidth="1"/>
    <col min="99" max="99" width="7.7109375" style="393" customWidth="1"/>
    <col min="100" max="100" width="4.7109375" style="393" customWidth="1"/>
    <col min="101" max="101" width="7.7109375" style="393" customWidth="1"/>
    <col min="102" max="102" width="4.7109375" style="393" customWidth="1"/>
    <col min="103" max="103" width="7.7109375" style="393" customWidth="1"/>
    <col min="104" max="104" width="4.7109375" style="393" customWidth="1"/>
    <col min="105" max="105" width="7.7109375" style="393" customWidth="1"/>
    <col min="106" max="106" width="4.7109375" style="393" customWidth="1"/>
    <col min="107" max="107" width="7.7109375" style="393" customWidth="1"/>
    <col min="108" max="108" width="4.7109375" style="393" customWidth="1"/>
    <col min="109" max="109" width="7.7109375" style="393" customWidth="1"/>
    <col min="110" max="110" width="4.7109375" style="1203" customWidth="1"/>
    <col min="111" max="111" width="5" style="393" customWidth="1"/>
    <col min="112" max="116" width="9.5703125" style="393" customWidth="1"/>
    <col min="117" max="117" width="4.7109375" style="393" customWidth="1"/>
    <col min="118" max="118" width="7.7109375" style="393" customWidth="1"/>
    <col min="119" max="119" width="4.7109375" style="393" customWidth="1"/>
    <col min="120" max="120" width="7.7109375" style="393" customWidth="1"/>
    <col min="121" max="121" width="4.7109375" style="393" customWidth="1"/>
    <col min="122" max="122" width="7.7109375" style="393" customWidth="1"/>
    <col min="123" max="123" width="4.7109375" style="393" customWidth="1"/>
    <col min="124" max="124" width="7.7109375" style="393" customWidth="1"/>
    <col min="125" max="125" width="4.7109375" style="393" customWidth="1"/>
    <col min="126" max="126" width="7.7109375" style="393" customWidth="1"/>
    <col min="127" max="127" width="4.7109375" style="393" customWidth="1"/>
    <col min="128" max="128" width="7.7109375" style="393" customWidth="1"/>
    <col min="129" max="129" width="4.7109375" style="393" customWidth="1"/>
    <col min="130" max="130" width="7.7109375" style="393" customWidth="1"/>
    <col min="131" max="131" width="4.7109375" style="393" customWidth="1"/>
    <col min="132" max="132" width="7.7109375" style="393" customWidth="1"/>
    <col min="133" max="133" width="4.7109375" style="393" customWidth="1"/>
    <col min="134" max="134" width="7.7109375" style="393" customWidth="1"/>
    <col min="135" max="135" width="4.7109375" style="393" customWidth="1"/>
    <col min="136" max="136" width="7.7109375" style="393" customWidth="1"/>
    <col min="137" max="137" width="4.7109375" style="393" customWidth="1"/>
    <col min="138" max="138" width="7.7109375" style="393" customWidth="1"/>
    <col min="139" max="139" width="4.7109375" style="393" customWidth="1"/>
    <col min="140" max="140" width="7.7109375" style="393" customWidth="1"/>
    <col min="141" max="141" width="4.7109375" style="393" customWidth="1"/>
    <col min="142" max="142" width="7.7109375" style="393" customWidth="1"/>
    <col min="143" max="143" width="4.7109375" style="393" customWidth="1"/>
    <col min="144" max="144" width="7.7109375" style="393" customWidth="1"/>
    <col min="145" max="145" width="4.7109375" style="393" customWidth="1"/>
    <col min="146" max="146" width="7.7109375" style="393" customWidth="1"/>
    <col min="147" max="147" width="4.7109375" style="393" customWidth="1"/>
    <col min="148" max="148" width="7.7109375" style="393" customWidth="1"/>
    <col min="149" max="149" width="4.7109375" style="393" customWidth="1"/>
    <col min="150" max="150" width="7.7109375" style="393" customWidth="1"/>
    <col min="151" max="151" width="4.7109375" style="393" customWidth="1"/>
    <col min="152" max="152" width="7.7109375" style="393" customWidth="1"/>
    <col min="153" max="153" width="4.7109375" style="393" customWidth="1"/>
    <col min="154" max="154" width="7.7109375" style="393" customWidth="1"/>
    <col min="155" max="155" width="4.7109375" style="393" customWidth="1"/>
    <col min="156" max="156" width="7.7109375" style="393" customWidth="1"/>
    <col min="157" max="157" width="4.7109375" style="393" customWidth="1"/>
    <col min="158" max="158" width="7.7109375" style="393" customWidth="1"/>
    <col min="159" max="159" width="4.7109375" style="393" customWidth="1"/>
    <col min="160" max="160" width="7.7109375" style="393" customWidth="1"/>
    <col min="161" max="161" width="4.7109375" style="393" customWidth="1"/>
    <col min="162" max="162" width="7.7109375" style="393" customWidth="1"/>
    <col min="163" max="163" width="4.7109375" style="393" customWidth="1"/>
    <col min="164" max="164" width="7.7109375" style="393" customWidth="1"/>
    <col min="165" max="165" width="4.7109375" style="1203" customWidth="1"/>
    <col min="166" max="166" width="5" style="393" customWidth="1"/>
    <col min="167" max="171" width="9.5703125" style="393" customWidth="1"/>
    <col min="172" max="173" width="4.7109375" style="393" customWidth="1"/>
    <col min="174" max="174" width="7.7109375" style="393" customWidth="1"/>
    <col min="175" max="176" width="4.7109375" style="393" customWidth="1"/>
    <col min="177" max="177" width="7.7109375" style="393" customWidth="1"/>
    <col min="178" max="178" width="4.7109375" style="393" customWidth="1"/>
    <col min="179" max="179" width="7.7109375" style="393" customWidth="1"/>
    <col min="180" max="180" width="4.7109375" style="393" customWidth="1"/>
    <col min="181" max="181" width="7.7109375" style="393" customWidth="1"/>
    <col min="182" max="182" width="4.7109375" style="393" customWidth="1"/>
    <col min="183" max="183" width="7.7109375" style="393" customWidth="1"/>
    <col min="184" max="184" width="4.7109375" style="393" customWidth="1"/>
    <col min="185" max="185" width="7.7109375" style="393" customWidth="1"/>
    <col min="186" max="186" width="4.7109375" style="393" customWidth="1"/>
    <col min="187" max="187" width="7.7109375" style="393" customWidth="1"/>
    <col min="188" max="188" width="4.7109375" style="393" customWidth="1"/>
    <col min="189" max="191" width="7.7109375" style="1239" customWidth="1"/>
    <col min="192" max="192" width="4.7109375" style="1239" customWidth="1"/>
    <col min="193" max="193" width="6.7109375" style="1239" customWidth="1"/>
    <col min="194" max="199" width="8.7109375" style="1239" customWidth="1"/>
    <col min="200" max="200" width="12.5703125" style="1239" customWidth="1"/>
    <col min="201" max="201" width="7.140625" style="1239" customWidth="1"/>
    <col min="202" max="202" width="4.7109375" style="1239" customWidth="1"/>
    <col min="203" max="203" width="6.7109375" style="1239" customWidth="1"/>
    <col min="204" max="210" width="8.7109375" style="1239" customWidth="1"/>
    <col min="211" max="211" width="4.28515625" style="1203" customWidth="1"/>
    <col min="212" max="212" width="7.42578125" style="393" customWidth="1"/>
    <col min="213" max="213" width="24.5703125" style="393" customWidth="1"/>
    <col min="214" max="214" width="8.85546875" style="393" customWidth="1"/>
    <col min="215" max="16384" width="7.42578125" style="393"/>
  </cols>
  <sheetData>
    <row r="1" spans="1:353" s="386" customFormat="1" ht="42" customHeight="1">
      <c r="A1" s="375" t="s">
        <v>282</v>
      </c>
      <c r="B1" s="376"/>
      <c r="C1" s="376"/>
      <c r="D1" s="376"/>
      <c r="E1" s="376"/>
      <c r="F1" s="376"/>
      <c r="G1" s="376"/>
      <c r="H1" s="377"/>
      <c r="I1" s="377"/>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8" t="s">
        <v>284</v>
      </c>
      <c r="AY1" s="376" t="s">
        <v>357</v>
      </c>
      <c r="AZ1" s="376"/>
      <c r="BA1" s="376"/>
      <c r="BB1" s="379"/>
      <c r="BC1" s="380"/>
      <c r="BD1" s="375" t="s">
        <v>282</v>
      </c>
      <c r="BE1" s="376"/>
      <c r="BF1" s="376"/>
      <c r="BG1" s="376"/>
      <c r="BH1" s="376"/>
      <c r="BI1" s="376"/>
      <c r="BJ1" s="376"/>
      <c r="BK1" s="377"/>
      <c r="BL1" s="377"/>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8" t="s">
        <v>284</v>
      </c>
      <c r="DB1" s="376" t="str">
        <f>$AY1</f>
        <v>9時-18時</v>
      </c>
      <c r="DC1" s="378"/>
      <c r="DD1" s="376"/>
      <c r="DE1" s="379"/>
      <c r="DF1" s="380"/>
      <c r="DG1" s="375" t="s">
        <v>282</v>
      </c>
      <c r="DH1" s="376"/>
      <c r="DI1" s="376"/>
      <c r="DJ1" s="376"/>
      <c r="DK1" s="376"/>
      <c r="DL1" s="376"/>
      <c r="DM1" s="376"/>
      <c r="DN1" s="377"/>
      <c r="DO1" s="377"/>
      <c r="DP1" s="376"/>
      <c r="DQ1" s="376"/>
      <c r="DR1" s="376"/>
      <c r="DS1" s="376"/>
      <c r="DT1" s="376"/>
      <c r="DU1" s="376"/>
      <c r="DV1" s="376"/>
      <c r="DW1" s="376"/>
      <c r="DX1" s="376"/>
      <c r="DY1" s="376"/>
      <c r="DZ1" s="376"/>
      <c r="EA1" s="376"/>
      <c r="EB1" s="376"/>
      <c r="EC1" s="376"/>
      <c r="ED1" s="376"/>
      <c r="EE1" s="376"/>
      <c r="EF1" s="376"/>
      <c r="EG1" s="376"/>
      <c r="EH1" s="376"/>
      <c r="EI1" s="376"/>
      <c r="EJ1" s="376"/>
      <c r="EK1" s="376"/>
      <c r="EL1" s="376"/>
      <c r="EM1" s="376"/>
      <c r="EN1" s="376"/>
      <c r="EO1" s="376"/>
      <c r="EP1" s="376"/>
      <c r="EQ1" s="376"/>
      <c r="ER1" s="376"/>
      <c r="ES1" s="376"/>
      <c r="ET1" s="376"/>
      <c r="EU1" s="376"/>
      <c r="EV1" s="376"/>
      <c r="EW1" s="376"/>
      <c r="EX1" s="376"/>
      <c r="EY1" s="376"/>
      <c r="EZ1" s="376"/>
      <c r="FA1" s="376"/>
      <c r="FB1" s="376"/>
      <c r="FC1" s="376"/>
      <c r="FD1" s="378" t="s">
        <v>284</v>
      </c>
      <c r="FE1" s="376" t="str">
        <f>$AY1</f>
        <v>9時-18時</v>
      </c>
      <c r="FF1" s="378"/>
      <c r="FG1" s="376"/>
      <c r="FH1" s="379"/>
      <c r="FI1" s="381"/>
      <c r="FJ1" s="375" t="s">
        <v>282</v>
      </c>
      <c r="FK1" s="376"/>
      <c r="FL1" s="376"/>
      <c r="FM1" s="376"/>
      <c r="FN1" s="376"/>
      <c r="FO1" s="376"/>
      <c r="FP1" s="376"/>
      <c r="FQ1" s="377"/>
      <c r="FR1" s="377"/>
      <c r="FS1" s="376"/>
      <c r="FT1" s="376"/>
      <c r="FU1" s="376"/>
      <c r="FV1" s="376"/>
      <c r="FW1" s="376"/>
      <c r="FX1" s="376"/>
      <c r="FY1" s="376"/>
      <c r="FZ1" s="376"/>
      <c r="GA1" s="376"/>
      <c r="GB1" s="376"/>
      <c r="GC1" s="376"/>
      <c r="GD1" s="376"/>
      <c r="GE1" s="376"/>
      <c r="GF1" s="376"/>
      <c r="GG1" s="376"/>
      <c r="GH1" s="376"/>
      <c r="GI1" s="376"/>
      <c r="GJ1" s="376"/>
      <c r="GK1" s="376"/>
      <c r="GL1" s="376"/>
      <c r="GM1" s="376"/>
      <c r="GN1" s="376"/>
      <c r="GO1" s="376"/>
      <c r="GP1" s="376"/>
      <c r="GQ1" s="376"/>
      <c r="GR1" s="376"/>
      <c r="GS1" s="376"/>
      <c r="GT1" s="376"/>
      <c r="GU1" s="378"/>
      <c r="GV1" s="376"/>
      <c r="GW1" s="376"/>
      <c r="GX1" s="376"/>
      <c r="GY1" s="378" t="s">
        <v>440</v>
      </c>
      <c r="GZ1" s="376" t="s">
        <v>356</v>
      </c>
      <c r="HA1" s="376"/>
      <c r="HB1" s="379"/>
      <c r="HC1" s="1444" t="s">
        <v>441</v>
      </c>
      <c r="HD1" s="382"/>
      <c r="HE1" s="383"/>
      <c r="HF1" s="382"/>
      <c r="HG1" s="1442"/>
      <c r="HH1" s="384" t="s">
        <v>285</v>
      </c>
      <c r="HI1" s="385"/>
    </row>
    <row r="2" spans="1:353" ht="20.100000000000001" customHeight="1" thickBot="1">
      <c r="A2" s="387"/>
      <c r="B2" s="387"/>
      <c r="C2" s="387"/>
      <c r="D2" s="387"/>
      <c r="E2" s="387"/>
      <c r="F2" s="387"/>
      <c r="G2" s="387"/>
      <c r="H2" s="387"/>
      <c r="I2" s="387"/>
      <c r="J2" s="387"/>
      <c r="K2" s="387"/>
      <c r="L2" s="387"/>
      <c r="M2" s="387"/>
      <c r="N2" s="387"/>
      <c r="O2" s="387"/>
      <c r="P2" s="387"/>
      <c r="Q2" s="387"/>
      <c r="R2" s="387"/>
      <c r="S2" s="387"/>
      <c r="T2" s="387"/>
      <c r="U2" s="387"/>
      <c r="V2" s="387"/>
      <c r="W2" s="387"/>
      <c r="X2" s="388"/>
      <c r="Y2" s="387"/>
      <c r="Z2" s="387"/>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9"/>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8"/>
      <c r="CB2" s="387"/>
      <c r="CC2" s="387"/>
      <c r="CD2" s="388"/>
      <c r="CE2" s="388"/>
      <c r="CF2" s="388"/>
      <c r="CG2" s="388"/>
      <c r="CH2" s="388"/>
      <c r="CI2" s="388"/>
      <c r="CJ2" s="388"/>
      <c r="CK2" s="388"/>
      <c r="CL2" s="388"/>
      <c r="CM2" s="388"/>
      <c r="CN2" s="388"/>
      <c r="CO2" s="388"/>
      <c r="CP2" s="388"/>
      <c r="CQ2" s="388"/>
      <c r="CR2" s="388"/>
      <c r="CS2" s="388"/>
      <c r="CT2" s="388"/>
      <c r="CU2" s="388"/>
      <c r="CV2" s="388"/>
      <c r="CW2" s="388"/>
      <c r="CX2" s="388"/>
      <c r="CY2" s="388"/>
      <c r="CZ2" s="388"/>
      <c r="DA2" s="388"/>
      <c r="DB2" s="388"/>
      <c r="DC2" s="388"/>
      <c r="DD2" s="388"/>
      <c r="DE2" s="388"/>
      <c r="DF2" s="390"/>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8"/>
      <c r="EE2" s="387"/>
      <c r="EF2" s="387"/>
      <c r="EG2" s="388"/>
      <c r="EH2" s="388"/>
      <c r="EI2" s="388"/>
      <c r="EJ2" s="388"/>
      <c r="EK2" s="388"/>
      <c r="EL2" s="388"/>
      <c r="EM2" s="388"/>
      <c r="EN2" s="388"/>
      <c r="EO2" s="388"/>
      <c r="EP2" s="388"/>
      <c r="EQ2" s="388"/>
      <c r="ER2" s="388"/>
      <c r="ES2" s="388"/>
      <c r="ET2" s="388"/>
      <c r="EU2" s="388"/>
      <c r="EV2" s="388"/>
      <c r="EW2" s="388"/>
      <c r="EX2" s="388"/>
      <c r="EY2" s="388"/>
      <c r="EZ2" s="388"/>
      <c r="FA2" s="388"/>
      <c r="FB2" s="388"/>
      <c r="FC2" s="388"/>
      <c r="FD2" s="388"/>
      <c r="FE2" s="388"/>
      <c r="FF2" s="388"/>
      <c r="FG2" s="388"/>
      <c r="FH2" s="388"/>
      <c r="FI2" s="390"/>
      <c r="FJ2" s="387"/>
      <c r="FK2" s="387"/>
      <c r="FL2" s="387"/>
      <c r="FM2" s="387"/>
      <c r="FN2" s="387"/>
      <c r="FO2" s="387"/>
      <c r="FP2" s="387"/>
      <c r="FQ2" s="387"/>
      <c r="FR2" s="387"/>
      <c r="FS2" s="387"/>
      <c r="FT2" s="387"/>
      <c r="FU2" s="387"/>
      <c r="FV2" s="387"/>
      <c r="FW2" s="387"/>
      <c r="FX2" s="387"/>
      <c r="FY2" s="387"/>
      <c r="FZ2" s="387"/>
      <c r="GA2" s="387"/>
      <c r="GB2" s="387"/>
      <c r="GC2" s="387"/>
      <c r="GD2" s="387"/>
      <c r="GE2" s="387"/>
      <c r="GF2" s="387"/>
      <c r="GG2" s="391"/>
      <c r="GH2" s="391"/>
      <c r="GI2" s="391"/>
      <c r="GJ2" s="391"/>
      <c r="GK2" s="391"/>
      <c r="GL2" s="391"/>
      <c r="GM2" s="391"/>
      <c r="GN2" s="391"/>
      <c r="GO2" s="391"/>
      <c r="GP2" s="391"/>
      <c r="GQ2" s="391"/>
      <c r="GR2" s="391"/>
      <c r="GS2" s="391"/>
      <c r="GT2" s="392"/>
      <c r="GU2" s="392"/>
      <c r="GV2" s="391"/>
      <c r="GW2" s="391"/>
      <c r="GX2" s="391"/>
      <c r="GY2" s="391"/>
      <c r="GZ2" s="391"/>
      <c r="HA2" s="391"/>
      <c r="HB2" s="391"/>
      <c r="HC2" s="389"/>
      <c r="HD2" s="387"/>
      <c r="HE2" s="387"/>
      <c r="HF2" s="387"/>
      <c r="HG2" s="387"/>
    </row>
    <row r="3" spans="1:353" ht="20.100000000000001" customHeight="1">
      <c r="A3" s="394" t="s">
        <v>363</v>
      </c>
      <c r="B3" s="395">
        <v>201</v>
      </c>
      <c r="C3" s="396" t="s">
        <v>365</v>
      </c>
      <c r="D3" s="397" t="s">
        <v>366</v>
      </c>
      <c r="E3" s="397"/>
      <c r="F3" s="397"/>
      <c r="G3" s="397"/>
      <c r="H3" s="397"/>
      <c r="I3" s="397"/>
      <c r="J3" s="398"/>
      <c r="K3" s="399" t="s">
        <v>367</v>
      </c>
      <c r="L3" s="400"/>
      <c r="M3" s="399" t="s">
        <v>368</v>
      </c>
      <c r="N3" s="400"/>
      <c r="O3" s="401" t="s">
        <v>645</v>
      </c>
      <c r="P3" s="402"/>
      <c r="Q3" s="402"/>
      <c r="R3" s="402"/>
      <c r="S3" s="402"/>
      <c r="T3" s="402"/>
      <c r="U3" s="402"/>
      <c r="V3" s="403"/>
      <c r="W3" s="404" t="s">
        <v>369</v>
      </c>
      <c r="X3" s="405"/>
      <c r="Y3" s="406"/>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394" t="s">
        <v>370</v>
      </c>
      <c r="BE3" s="395">
        <v>201</v>
      </c>
      <c r="BF3" s="396" t="s">
        <v>364</v>
      </c>
      <c r="BG3" s="408" t="s">
        <v>351</v>
      </c>
      <c r="BH3" s="408"/>
      <c r="BI3" s="408"/>
      <c r="BJ3" s="408"/>
      <c r="BK3" s="408"/>
      <c r="BL3" s="408"/>
      <c r="BM3" s="409"/>
      <c r="BN3" s="399" t="s">
        <v>367</v>
      </c>
      <c r="BO3" s="400"/>
      <c r="BP3" s="399" t="s">
        <v>368</v>
      </c>
      <c r="BQ3" s="400"/>
      <c r="BR3" s="401" t="s">
        <v>650</v>
      </c>
      <c r="BS3" s="402"/>
      <c r="BT3" s="402"/>
      <c r="BU3" s="402"/>
      <c r="BV3" s="402"/>
      <c r="BW3" s="402"/>
      <c r="BX3" s="402"/>
      <c r="BY3" s="403"/>
      <c r="BZ3" s="404" t="s">
        <v>369</v>
      </c>
      <c r="CA3" s="405"/>
      <c r="CB3" s="406"/>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394" t="s">
        <v>370</v>
      </c>
      <c r="DH3" s="395">
        <v>201</v>
      </c>
      <c r="DI3" s="396" t="s">
        <v>364</v>
      </c>
      <c r="DJ3" s="408" t="s">
        <v>351</v>
      </c>
      <c r="DK3" s="408"/>
      <c r="DL3" s="408"/>
      <c r="DM3" s="408"/>
      <c r="DN3" s="408"/>
      <c r="DO3" s="408"/>
      <c r="DP3" s="409"/>
      <c r="DQ3" s="399" t="s">
        <v>367</v>
      </c>
      <c r="DR3" s="400"/>
      <c r="DS3" s="399" t="s">
        <v>368</v>
      </c>
      <c r="DT3" s="400"/>
      <c r="DU3" s="401" t="s">
        <v>650</v>
      </c>
      <c r="DV3" s="402"/>
      <c r="DW3" s="402"/>
      <c r="DX3" s="402"/>
      <c r="DY3" s="402"/>
      <c r="DZ3" s="402"/>
      <c r="EA3" s="402"/>
      <c r="EB3" s="403"/>
      <c r="EC3" s="404" t="s">
        <v>369</v>
      </c>
      <c r="ED3" s="405"/>
      <c r="EE3" s="406"/>
      <c r="EF3" s="407"/>
      <c r="EG3" s="407"/>
      <c r="EH3" s="407"/>
      <c r="EI3" s="407"/>
      <c r="EJ3" s="407"/>
      <c r="EK3" s="407"/>
      <c r="EL3" s="407"/>
      <c r="EM3" s="407"/>
      <c r="EN3" s="407"/>
      <c r="EO3" s="407"/>
      <c r="EP3" s="407"/>
      <c r="EQ3" s="407"/>
      <c r="ER3" s="407"/>
      <c r="ES3" s="407"/>
      <c r="ET3" s="407"/>
      <c r="EU3" s="407"/>
      <c r="EV3" s="407"/>
      <c r="EW3" s="407"/>
      <c r="EX3" s="407"/>
      <c r="EY3" s="407"/>
      <c r="EZ3" s="407"/>
      <c r="FA3" s="407"/>
      <c r="FB3" s="407"/>
      <c r="FC3" s="407"/>
      <c r="FD3" s="407"/>
      <c r="FE3" s="407"/>
      <c r="FF3" s="407"/>
      <c r="FG3" s="407"/>
      <c r="FH3" s="407"/>
      <c r="FI3" s="407"/>
      <c r="FJ3" s="394" t="s">
        <v>370</v>
      </c>
      <c r="FK3" s="395">
        <v>201</v>
      </c>
      <c r="FL3" s="396" t="s">
        <v>364</v>
      </c>
      <c r="FM3" s="408" t="s">
        <v>351</v>
      </c>
      <c r="FN3" s="408"/>
      <c r="FO3" s="408"/>
      <c r="FP3" s="408"/>
      <c r="FQ3" s="408"/>
      <c r="FR3" s="408"/>
      <c r="FS3" s="409"/>
      <c r="FT3" s="399" t="s">
        <v>367</v>
      </c>
      <c r="FU3" s="400"/>
      <c r="FV3" s="399" t="s">
        <v>368</v>
      </c>
      <c r="FW3" s="400"/>
      <c r="FX3" s="401" t="s">
        <v>658</v>
      </c>
      <c r="FY3" s="402"/>
      <c r="FZ3" s="402"/>
      <c r="GA3" s="402"/>
      <c r="GB3" s="402"/>
      <c r="GC3" s="402"/>
      <c r="GD3" s="402"/>
      <c r="GE3" s="403"/>
      <c r="GF3" s="404" t="s">
        <v>369</v>
      </c>
      <c r="GG3" s="405"/>
      <c r="GH3" s="406"/>
      <c r="GI3" s="410"/>
      <c r="GJ3" s="411" t="s">
        <v>442</v>
      </c>
      <c r="GK3" s="412"/>
      <c r="GL3" s="412"/>
      <c r="GM3" s="412"/>
      <c r="GN3" s="412"/>
      <c r="GO3" s="412"/>
      <c r="GP3" s="412"/>
      <c r="GQ3" s="412"/>
      <c r="GR3" s="413"/>
      <c r="GS3" s="414"/>
      <c r="GT3" s="411" t="s">
        <v>443</v>
      </c>
      <c r="GU3" s="412"/>
      <c r="GV3" s="412"/>
      <c r="GW3" s="412"/>
      <c r="GX3" s="412"/>
      <c r="GY3" s="412"/>
      <c r="GZ3" s="412"/>
      <c r="HA3" s="412"/>
      <c r="HB3" s="413"/>
      <c r="HC3" s="415"/>
      <c r="HD3" s="438"/>
      <c r="HE3" s="417"/>
      <c r="HF3" s="417"/>
      <c r="HG3" s="387"/>
    </row>
    <row r="4" spans="1:353" ht="20.100000000000001" customHeight="1">
      <c r="A4" s="418"/>
      <c r="B4" s="419"/>
      <c r="C4" s="420"/>
      <c r="D4" s="421"/>
      <c r="E4" s="421"/>
      <c r="F4" s="421"/>
      <c r="G4" s="421"/>
      <c r="H4" s="421"/>
      <c r="I4" s="421"/>
      <c r="J4" s="422"/>
      <c r="K4" s="423"/>
      <c r="L4" s="424"/>
      <c r="M4" s="423"/>
      <c r="N4" s="424"/>
      <c r="O4" s="425" t="s">
        <v>371</v>
      </c>
      <c r="P4" s="426"/>
      <c r="Q4" s="427" t="s">
        <v>372</v>
      </c>
      <c r="R4" s="426"/>
      <c r="S4" s="428" t="s">
        <v>373</v>
      </c>
      <c r="T4" s="429"/>
      <c r="U4" s="430" t="s">
        <v>374</v>
      </c>
      <c r="V4" s="431"/>
      <c r="W4" s="432" t="s">
        <v>375</v>
      </c>
      <c r="X4" s="433"/>
      <c r="Y4" s="434"/>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18"/>
      <c r="BE4" s="419"/>
      <c r="BF4" s="420"/>
      <c r="BG4" s="435"/>
      <c r="BH4" s="435"/>
      <c r="BI4" s="435"/>
      <c r="BJ4" s="435"/>
      <c r="BK4" s="435"/>
      <c r="BL4" s="435"/>
      <c r="BM4" s="436"/>
      <c r="BN4" s="423"/>
      <c r="BO4" s="424"/>
      <c r="BP4" s="423"/>
      <c r="BQ4" s="424"/>
      <c r="BR4" s="425" t="s">
        <v>371</v>
      </c>
      <c r="BS4" s="426"/>
      <c r="BT4" s="427" t="s">
        <v>372</v>
      </c>
      <c r="BU4" s="426"/>
      <c r="BV4" s="428" t="s">
        <v>373</v>
      </c>
      <c r="BW4" s="429"/>
      <c r="BX4" s="430" t="s">
        <v>374</v>
      </c>
      <c r="BY4" s="431"/>
      <c r="BZ4" s="432" t="s">
        <v>375</v>
      </c>
      <c r="CA4" s="433"/>
      <c r="CB4" s="434"/>
      <c r="CC4" s="407"/>
      <c r="CD4" s="407"/>
      <c r="CE4" s="407"/>
      <c r="CF4" s="407"/>
      <c r="CG4" s="407"/>
      <c r="CH4" s="407"/>
      <c r="CI4" s="407"/>
      <c r="CJ4" s="407"/>
      <c r="CK4" s="407"/>
      <c r="CL4" s="407"/>
      <c r="CM4" s="407"/>
      <c r="CN4" s="407"/>
      <c r="CO4" s="407"/>
      <c r="CP4" s="407"/>
      <c r="CQ4" s="407"/>
      <c r="CR4" s="407"/>
      <c r="CS4" s="407"/>
      <c r="CT4" s="407"/>
      <c r="CU4" s="407"/>
      <c r="CV4" s="407"/>
      <c r="CW4" s="407"/>
      <c r="CX4" s="407"/>
      <c r="CY4" s="407"/>
      <c r="CZ4" s="407"/>
      <c r="DA4" s="407"/>
      <c r="DB4" s="407"/>
      <c r="DC4" s="407"/>
      <c r="DD4" s="407"/>
      <c r="DE4" s="407"/>
      <c r="DF4" s="407"/>
      <c r="DG4" s="418"/>
      <c r="DH4" s="419"/>
      <c r="DI4" s="420"/>
      <c r="DJ4" s="435"/>
      <c r="DK4" s="435"/>
      <c r="DL4" s="435"/>
      <c r="DM4" s="435"/>
      <c r="DN4" s="435"/>
      <c r="DO4" s="435"/>
      <c r="DP4" s="436"/>
      <c r="DQ4" s="423"/>
      <c r="DR4" s="424"/>
      <c r="DS4" s="423"/>
      <c r="DT4" s="424"/>
      <c r="DU4" s="425" t="s">
        <v>376</v>
      </c>
      <c r="DV4" s="426"/>
      <c r="DW4" s="427" t="s">
        <v>286</v>
      </c>
      <c r="DX4" s="426"/>
      <c r="DY4" s="428" t="s">
        <v>373</v>
      </c>
      <c r="DZ4" s="429"/>
      <c r="EA4" s="430" t="s">
        <v>374</v>
      </c>
      <c r="EB4" s="431"/>
      <c r="EC4" s="432" t="s">
        <v>375</v>
      </c>
      <c r="ED4" s="433"/>
      <c r="EE4" s="434"/>
      <c r="EF4" s="407"/>
      <c r="EG4" s="407"/>
      <c r="EH4" s="407"/>
      <c r="EI4" s="407"/>
      <c r="EJ4" s="407"/>
      <c r="EK4" s="407"/>
      <c r="EL4" s="407"/>
      <c r="EM4" s="407"/>
      <c r="EN4" s="407"/>
      <c r="EO4" s="407"/>
      <c r="EP4" s="407"/>
      <c r="EQ4" s="407"/>
      <c r="ER4" s="407"/>
      <c r="ES4" s="407"/>
      <c r="ET4" s="407"/>
      <c r="EU4" s="407"/>
      <c r="EV4" s="407"/>
      <c r="EW4" s="407"/>
      <c r="EX4" s="407"/>
      <c r="EY4" s="407"/>
      <c r="EZ4" s="407"/>
      <c r="FA4" s="407"/>
      <c r="FB4" s="407"/>
      <c r="FC4" s="407"/>
      <c r="FD4" s="407"/>
      <c r="FE4" s="407"/>
      <c r="FF4" s="407"/>
      <c r="FG4" s="407"/>
      <c r="FH4" s="407"/>
      <c r="FI4" s="407"/>
      <c r="FJ4" s="418"/>
      <c r="FK4" s="419"/>
      <c r="FL4" s="420"/>
      <c r="FM4" s="435"/>
      <c r="FN4" s="435"/>
      <c r="FO4" s="435"/>
      <c r="FP4" s="435"/>
      <c r="FQ4" s="435"/>
      <c r="FR4" s="435"/>
      <c r="FS4" s="436"/>
      <c r="FT4" s="423"/>
      <c r="FU4" s="424"/>
      <c r="FV4" s="423"/>
      <c r="FW4" s="424"/>
      <c r="FX4" s="425" t="s">
        <v>371</v>
      </c>
      <c r="FY4" s="426"/>
      <c r="FZ4" s="427" t="s">
        <v>372</v>
      </c>
      <c r="GA4" s="426"/>
      <c r="GB4" s="428" t="s">
        <v>373</v>
      </c>
      <c r="GC4" s="429"/>
      <c r="GD4" s="430" t="s">
        <v>374</v>
      </c>
      <c r="GE4" s="431"/>
      <c r="GF4" s="432" t="s">
        <v>352</v>
      </c>
      <c r="GG4" s="433"/>
      <c r="GH4" s="434"/>
      <c r="GI4" s="410"/>
      <c r="GJ4" s="437"/>
      <c r="GK4" s="437"/>
      <c r="GL4" s="437"/>
      <c r="GM4" s="437"/>
      <c r="GN4" s="437"/>
      <c r="GO4" s="437"/>
      <c r="GP4" s="437"/>
      <c r="GQ4" s="437"/>
      <c r="GR4" s="437"/>
      <c r="GS4" s="414"/>
      <c r="GT4" s="437"/>
      <c r="GU4" s="437"/>
      <c r="GV4" s="437"/>
      <c r="GW4" s="437"/>
      <c r="GX4" s="437"/>
      <c r="GY4" s="437"/>
      <c r="GZ4" s="437"/>
      <c r="HA4" s="437"/>
      <c r="HB4" s="437"/>
      <c r="HC4" s="1445"/>
      <c r="HD4" s="438"/>
      <c r="HE4" s="438"/>
      <c r="HF4" s="501"/>
      <c r="HG4" s="387"/>
      <c r="MO4" s="393" t="s">
        <v>352</v>
      </c>
    </row>
    <row r="5" spans="1:353" ht="24.95" customHeight="1" thickBot="1">
      <c r="A5" s="439" t="s">
        <v>378</v>
      </c>
      <c r="B5" s="440">
        <v>2</v>
      </c>
      <c r="C5" s="441" t="s">
        <v>379</v>
      </c>
      <c r="D5" s="442">
        <v>54.8</v>
      </c>
      <c r="E5" s="443" t="s">
        <v>380</v>
      </c>
      <c r="F5" s="444">
        <v>2.8</v>
      </c>
      <c r="G5" s="445" t="s">
        <v>381</v>
      </c>
      <c r="H5" s="446"/>
      <c r="I5" s="447">
        <v>153.5</v>
      </c>
      <c r="J5" s="448"/>
      <c r="K5" s="449">
        <v>180</v>
      </c>
      <c r="L5" s="450"/>
      <c r="M5" s="449">
        <v>50</v>
      </c>
      <c r="N5" s="450"/>
      <c r="O5" s="1438" t="s">
        <v>641</v>
      </c>
      <c r="P5" s="451"/>
      <c r="Q5" s="1439" t="s">
        <v>642</v>
      </c>
      <c r="R5" s="452"/>
      <c r="S5" s="1440" t="s">
        <v>643</v>
      </c>
      <c r="T5" s="453"/>
      <c r="U5" s="1441" t="s">
        <v>644</v>
      </c>
      <c r="V5" s="454"/>
      <c r="W5" s="455"/>
      <c r="X5" s="456"/>
      <c r="Y5" s="457"/>
      <c r="Z5" s="415"/>
      <c r="AA5" s="458"/>
      <c r="AB5" s="415"/>
      <c r="AC5" s="458"/>
      <c r="AD5" s="415"/>
      <c r="AE5" s="458"/>
      <c r="AF5" s="415"/>
      <c r="AG5" s="458"/>
      <c r="AH5" s="415"/>
      <c r="AI5" s="458"/>
      <c r="AJ5" s="415"/>
      <c r="AK5" s="458"/>
      <c r="AL5" s="415"/>
      <c r="AM5" s="458"/>
      <c r="AN5" s="415"/>
      <c r="AO5" s="458"/>
      <c r="AP5" s="415"/>
      <c r="AQ5" s="458"/>
      <c r="AR5" s="415"/>
      <c r="AS5" s="458"/>
      <c r="AT5" s="415"/>
      <c r="AU5" s="458"/>
      <c r="AV5" s="415"/>
      <c r="AW5" s="458"/>
      <c r="AX5" s="415"/>
      <c r="AY5" s="458"/>
      <c r="AZ5" s="415"/>
      <c r="BA5" s="458"/>
      <c r="BB5" s="415"/>
      <c r="BC5" s="415"/>
      <c r="BD5" s="439" t="s">
        <v>378</v>
      </c>
      <c r="BE5" s="440">
        <v>2</v>
      </c>
      <c r="BF5" s="441" t="s">
        <v>287</v>
      </c>
      <c r="BG5" s="442">
        <v>54.8</v>
      </c>
      <c r="BH5" s="443" t="s">
        <v>380</v>
      </c>
      <c r="BI5" s="444">
        <v>2.8</v>
      </c>
      <c r="BJ5" s="445" t="s">
        <v>381</v>
      </c>
      <c r="BK5" s="446"/>
      <c r="BL5" s="447">
        <v>153.5</v>
      </c>
      <c r="BM5" s="448"/>
      <c r="BN5" s="449">
        <v>180</v>
      </c>
      <c r="BO5" s="450"/>
      <c r="BP5" s="449">
        <v>50</v>
      </c>
      <c r="BQ5" s="450"/>
      <c r="BR5" s="1438" t="s">
        <v>646</v>
      </c>
      <c r="BS5" s="451"/>
      <c r="BT5" s="1439" t="s">
        <v>647</v>
      </c>
      <c r="BU5" s="452"/>
      <c r="BV5" s="1440" t="s">
        <v>648</v>
      </c>
      <c r="BW5" s="453"/>
      <c r="BX5" s="1441" t="s">
        <v>649</v>
      </c>
      <c r="BY5" s="454"/>
      <c r="BZ5" s="455"/>
      <c r="CA5" s="456"/>
      <c r="CB5" s="457"/>
      <c r="CC5" s="415"/>
      <c r="CD5" s="458"/>
      <c r="CE5" s="415"/>
      <c r="CF5" s="458"/>
      <c r="CG5" s="415"/>
      <c r="CH5" s="458"/>
      <c r="CI5" s="415"/>
      <c r="CJ5" s="458"/>
      <c r="CK5" s="415"/>
      <c r="CL5" s="458"/>
      <c r="CM5" s="415"/>
      <c r="CN5" s="458"/>
      <c r="CO5" s="415"/>
      <c r="CP5" s="458"/>
      <c r="CQ5" s="415"/>
      <c r="CR5" s="458"/>
      <c r="CS5" s="415"/>
      <c r="CT5" s="458"/>
      <c r="CU5" s="415"/>
      <c r="CV5" s="458"/>
      <c r="CW5" s="415"/>
      <c r="CX5" s="458"/>
      <c r="CY5" s="415"/>
      <c r="CZ5" s="458"/>
      <c r="DA5" s="415"/>
      <c r="DB5" s="458"/>
      <c r="DC5" s="415"/>
      <c r="DD5" s="458"/>
      <c r="DE5" s="415"/>
      <c r="DF5" s="415"/>
      <c r="DG5" s="439" t="s">
        <v>378</v>
      </c>
      <c r="DH5" s="440">
        <v>2</v>
      </c>
      <c r="DI5" s="441" t="s">
        <v>287</v>
      </c>
      <c r="DJ5" s="442">
        <v>54.8</v>
      </c>
      <c r="DK5" s="443" t="s">
        <v>380</v>
      </c>
      <c r="DL5" s="444">
        <v>2.8</v>
      </c>
      <c r="DM5" s="445" t="s">
        <v>381</v>
      </c>
      <c r="DN5" s="446"/>
      <c r="DO5" s="447">
        <v>153.5</v>
      </c>
      <c r="DP5" s="448"/>
      <c r="DQ5" s="449">
        <v>180</v>
      </c>
      <c r="DR5" s="450"/>
      <c r="DS5" s="449">
        <v>50</v>
      </c>
      <c r="DT5" s="450"/>
      <c r="DU5" s="1438" t="s">
        <v>646</v>
      </c>
      <c r="DV5" s="451"/>
      <c r="DW5" s="1439" t="s">
        <v>651</v>
      </c>
      <c r="DX5" s="452"/>
      <c r="DY5" s="1440" t="s">
        <v>652</v>
      </c>
      <c r="DZ5" s="453"/>
      <c r="EA5" s="1441" t="s">
        <v>653</v>
      </c>
      <c r="EB5" s="454"/>
      <c r="EC5" s="455"/>
      <c r="ED5" s="456"/>
      <c r="EE5" s="457"/>
      <c r="EF5" s="415"/>
      <c r="EG5" s="458"/>
      <c r="EH5" s="415"/>
      <c r="EI5" s="458"/>
      <c r="EJ5" s="415"/>
      <c r="EK5" s="458"/>
      <c r="EL5" s="415"/>
      <c r="EM5" s="458"/>
      <c r="EN5" s="415"/>
      <c r="EO5" s="458"/>
      <c r="EP5" s="415"/>
      <c r="EQ5" s="458"/>
      <c r="ER5" s="415"/>
      <c r="ES5" s="458"/>
      <c r="ET5" s="415"/>
      <c r="EU5" s="458"/>
      <c r="EV5" s="415"/>
      <c r="EW5" s="458"/>
      <c r="EX5" s="415"/>
      <c r="EY5" s="458"/>
      <c r="EZ5" s="415"/>
      <c r="FA5" s="458"/>
      <c r="FB5" s="415"/>
      <c r="FC5" s="458"/>
      <c r="FD5" s="415"/>
      <c r="FE5" s="458"/>
      <c r="FF5" s="415"/>
      <c r="FG5" s="458"/>
      <c r="FH5" s="415"/>
      <c r="FI5" s="415"/>
      <c r="FJ5" s="439" t="s">
        <v>378</v>
      </c>
      <c r="FK5" s="440">
        <v>2</v>
      </c>
      <c r="FL5" s="441" t="s">
        <v>287</v>
      </c>
      <c r="FM5" s="442">
        <v>54.8</v>
      </c>
      <c r="FN5" s="443" t="s">
        <v>380</v>
      </c>
      <c r="FO5" s="444">
        <v>2.8</v>
      </c>
      <c r="FP5" s="445" t="s">
        <v>381</v>
      </c>
      <c r="FQ5" s="446"/>
      <c r="FR5" s="447">
        <v>153.5</v>
      </c>
      <c r="FS5" s="448"/>
      <c r="FT5" s="449">
        <v>180</v>
      </c>
      <c r="FU5" s="450"/>
      <c r="FV5" s="449">
        <v>50</v>
      </c>
      <c r="FW5" s="450"/>
      <c r="FX5" s="1438" t="s">
        <v>654</v>
      </c>
      <c r="FY5" s="451"/>
      <c r="FZ5" s="1439" t="s">
        <v>655</v>
      </c>
      <c r="GA5" s="452"/>
      <c r="GB5" s="1440" t="s">
        <v>656</v>
      </c>
      <c r="GC5" s="453"/>
      <c r="GD5" s="1441" t="s">
        <v>657</v>
      </c>
      <c r="GE5" s="454"/>
      <c r="GF5" s="455"/>
      <c r="GG5" s="456"/>
      <c r="GH5" s="457"/>
      <c r="GI5" s="459"/>
      <c r="GJ5" s="410"/>
      <c r="GK5" s="460" t="s">
        <v>444</v>
      </c>
      <c r="GL5" s="460"/>
      <c r="GM5" s="460"/>
      <c r="GN5" s="410" t="s">
        <v>445</v>
      </c>
      <c r="GO5" s="461"/>
      <c r="GP5" s="461"/>
      <c r="GQ5" s="461"/>
      <c r="GR5" s="410"/>
      <c r="GS5" s="410"/>
      <c r="GT5" s="414"/>
      <c r="GU5" s="460" t="s">
        <v>446</v>
      </c>
      <c r="GV5" s="460"/>
      <c r="GW5" s="460"/>
      <c r="GX5" s="410" t="s">
        <v>445</v>
      </c>
      <c r="GY5" s="461"/>
      <c r="GZ5" s="461"/>
      <c r="HA5" s="461"/>
      <c r="HB5" s="410"/>
      <c r="HC5" s="462"/>
      <c r="HD5" s="438"/>
      <c r="HE5" s="438"/>
      <c r="HF5" s="501"/>
      <c r="HG5" s="387"/>
    </row>
    <row r="6" spans="1:353" ht="20.100000000000001" customHeight="1" thickBot="1">
      <c r="A6" s="463" t="s">
        <v>382</v>
      </c>
      <c r="B6" s="464"/>
      <c r="C6" s="465" t="s">
        <v>383</v>
      </c>
      <c r="D6" s="465"/>
      <c r="E6" s="465"/>
      <c r="F6" s="466">
        <v>0</v>
      </c>
      <c r="G6" s="466"/>
      <c r="H6" s="465" t="s">
        <v>384</v>
      </c>
      <c r="I6" s="465"/>
      <c r="J6" s="465"/>
      <c r="K6" s="465"/>
      <c r="L6" s="465"/>
      <c r="M6" s="467">
        <v>0</v>
      </c>
      <c r="N6" s="467"/>
      <c r="O6" s="468"/>
      <c r="P6" s="469"/>
      <c r="Q6" s="469" t="s">
        <v>385</v>
      </c>
      <c r="R6" s="470">
        <v>0</v>
      </c>
      <c r="S6" s="470"/>
      <c r="T6" s="471"/>
      <c r="U6" s="472" t="s">
        <v>386</v>
      </c>
      <c r="V6" s="473">
        <v>0</v>
      </c>
      <c r="W6" s="473"/>
      <c r="X6" s="474"/>
      <c r="Y6" s="469"/>
      <c r="Z6" s="469"/>
      <c r="AA6" s="469"/>
      <c r="AB6" s="467"/>
      <c r="AC6" s="467"/>
      <c r="AD6" s="469"/>
      <c r="AE6" s="468"/>
      <c r="AF6" s="464"/>
      <c r="AG6" s="469"/>
      <c r="AH6" s="469"/>
      <c r="AI6" s="474"/>
      <c r="AJ6" s="469"/>
      <c r="AK6" s="474"/>
      <c r="AL6" s="469"/>
      <c r="AM6" s="474"/>
      <c r="AN6" s="469"/>
      <c r="AO6" s="474"/>
      <c r="AP6" s="469"/>
      <c r="AQ6" s="474"/>
      <c r="AR6" s="469"/>
      <c r="AS6" s="474"/>
      <c r="AT6" s="469"/>
      <c r="AU6" s="474"/>
      <c r="AV6" s="469"/>
      <c r="AW6" s="474"/>
      <c r="AX6" s="475"/>
      <c r="AY6" s="474"/>
      <c r="AZ6" s="469"/>
      <c r="BA6" s="474"/>
      <c r="BB6" s="37" t="s">
        <v>388</v>
      </c>
      <c r="BC6" s="476"/>
      <c r="BD6" s="463" t="s">
        <v>382</v>
      </c>
      <c r="BE6" s="464"/>
      <c r="BF6" s="465" t="s">
        <v>383</v>
      </c>
      <c r="BG6" s="465"/>
      <c r="BH6" s="465"/>
      <c r="BI6" s="466">
        <v>0</v>
      </c>
      <c r="BJ6" s="466"/>
      <c r="BK6" s="465" t="s">
        <v>384</v>
      </c>
      <c r="BL6" s="465"/>
      <c r="BM6" s="465"/>
      <c r="BN6" s="465"/>
      <c r="BO6" s="465"/>
      <c r="BP6" s="467">
        <v>0</v>
      </c>
      <c r="BQ6" s="467"/>
      <c r="BR6" s="468"/>
      <c r="BS6" s="469"/>
      <c r="BT6" s="469" t="s">
        <v>288</v>
      </c>
      <c r="BU6" s="470">
        <v>0</v>
      </c>
      <c r="BV6" s="470"/>
      <c r="BW6" s="471"/>
      <c r="BX6" s="472" t="s">
        <v>289</v>
      </c>
      <c r="BY6" s="473">
        <v>0</v>
      </c>
      <c r="BZ6" s="473"/>
      <c r="CA6" s="474"/>
      <c r="CB6" s="469"/>
      <c r="CC6" s="469"/>
      <c r="CD6" s="474"/>
      <c r="CE6" s="467"/>
      <c r="CF6" s="467"/>
      <c r="CG6" s="469"/>
      <c r="CH6" s="468"/>
      <c r="CI6" s="464"/>
      <c r="CJ6" s="469"/>
      <c r="CK6" s="469"/>
      <c r="CL6" s="474"/>
      <c r="CM6" s="469"/>
      <c r="CN6" s="474"/>
      <c r="CO6" s="469"/>
      <c r="CP6" s="474"/>
      <c r="CQ6" s="469"/>
      <c r="CR6" s="474"/>
      <c r="CS6" s="469"/>
      <c r="CT6" s="474"/>
      <c r="CU6" s="469"/>
      <c r="CV6" s="474"/>
      <c r="CW6" s="469"/>
      <c r="CX6" s="474"/>
      <c r="CY6" s="469"/>
      <c r="CZ6" s="474"/>
      <c r="DA6" s="469"/>
      <c r="DB6" s="474"/>
      <c r="DC6" s="469"/>
      <c r="DD6" s="474"/>
      <c r="DE6" s="477" t="s">
        <v>390</v>
      </c>
      <c r="DF6" s="478"/>
      <c r="DG6" s="463" t="s">
        <v>382</v>
      </c>
      <c r="DH6" s="464"/>
      <c r="DI6" s="465" t="s">
        <v>383</v>
      </c>
      <c r="DJ6" s="465"/>
      <c r="DK6" s="465"/>
      <c r="DL6" s="466">
        <v>0</v>
      </c>
      <c r="DM6" s="466"/>
      <c r="DN6" s="465" t="s">
        <v>384</v>
      </c>
      <c r="DO6" s="465"/>
      <c r="DP6" s="465"/>
      <c r="DQ6" s="465"/>
      <c r="DR6" s="465"/>
      <c r="DS6" s="467">
        <v>0</v>
      </c>
      <c r="DT6" s="467"/>
      <c r="DU6" s="468"/>
      <c r="DV6" s="469"/>
      <c r="DW6" s="469" t="s">
        <v>288</v>
      </c>
      <c r="DX6" s="470">
        <v>0</v>
      </c>
      <c r="DY6" s="470"/>
      <c r="DZ6" s="471"/>
      <c r="EA6" s="472" t="s">
        <v>289</v>
      </c>
      <c r="EB6" s="473">
        <v>0</v>
      </c>
      <c r="EC6" s="473"/>
      <c r="ED6" s="474"/>
      <c r="EE6" s="469"/>
      <c r="EF6" s="474"/>
      <c r="EG6" s="469"/>
      <c r="EH6" s="464"/>
      <c r="EI6" s="474"/>
      <c r="EJ6" s="469"/>
      <c r="EK6" s="468"/>
      <c r="EL6" s="464"/>
      <c r="EM6" s="469"/>
      <c r="EN6" s="469"/>
      <c r="EO6" s="474"/>
      <c r="EP6" s="469"/>
      <c r="EQ6" s="474"/>
      <c r="ER6" s="469"/>
      <c r="ES6" s="474"/>
      <c r="ET6" s="469"/>
      <c r="EU6" s="474"/>
      <c r="EV6" s="469"/>
      <c r="EW6" s="474"/>
      <c r="EX6" s="469"/>
      <c r="EY6" s="474"/>
      <c r="EZ6" s="469"/>
      <c r="FA6" s="474"/>
      <c r="FB6" s="469"/>
      <c r="FC6" s="474"/>
      <c r="FD6" s="469"/>
      <c r="FE6" s="474"/>
      <c r="FF6" s="469"/>
      <c r="FG6" s="474"/>
      <c r="FH6" s="479" t="s">
        <v>392</v>
      </c>
      <c r="FI6" s="478"/>
      <c r="FJ6" s="463" t="s">
        <v>393</v>
      </c>
      <c r="FK6" s="464"/>
      <c r="FL6" s="465" t="s">
        <v>383</v>
      </c>
      <c r="FM6" s="465"/>
      <c r="FN6" s="465"/>
      <c r="FO6" s="466">
        <v>0</v>
      </c>
      <c r="FP6" s="466"/>
      <c r="FQ6" s="465" t="s">
        <v>384</v>
      </c>
      <c r="FR6" s="465"/>
      <c r="FS6" s="465"/>
      <c r="FT6" s="465"/>
      <c r="FU6" s="465"/>
      <c r="FV6" s="467">
        <v>0</v>
      </c>
      <c r="FW6" s="467"/>
      <c r="FX6" s="468"/>
      <c r="FY6" s="469"/>
      <c r="FZ6" s="469" t="s">
        <v>394</v>
      </c>
      <c r="GA6" s="470">
        <v>0</v>
      </c>
      <c r="GB6" s="470"/>
      <c r="GC6" s="471"/>
      <c r="GD6" s="472" t="s">
        <v>395</v>
      </c>
      <c r="GE6" s="473">
        <v>0</v>
      </c>
      <c r="GF6" s="473"/>
      <c r="GG6" s="474"/>
      <c r="GH6" s="469"/>
      <c r="GI6" s="469"/>
      <c r="GJ6" s="480"/>
      <c r="GK6" s="481" t="s">
        <v>447</v>
      </c>
      <c r="GL6" s="481"/>
      <c r="GM6" s="481"/>
      <c r="GN6" s="482">
        <v>2</v>
      </c>
      <c r="GO6" s="483"/>
      <c r="GP6" s="483"/>
      <c r="GQ6" s="483"/>
      <c r="GR6" s="480"/>
      <c r="GS6" s="480"/>
      <c r="GT6" s="414"/>
      <c r="GU6" s="481" t="s">
        <v>448</v>
      </c>
      <c r="GV6" s="481"/>
      <c r="GW6" s="481"/>
      <c r="GX6" s="482">
        <v>2</v>
      </c>
      <c r="GY6" s="414"/>
      <c r="GZ6" s="414"/>
      <c r="HA6" s="483"/>
      <c r="HB6" s="483"/>
      <c r="HC6" s="484"/>
      <c r="HD6" s="438"/>
      <c r="HE6" s="438"/>
      <c r="HF6" s="501"/>
      <c r="HG6" s="387"/>
    </row>
    <row r="7" spans="1:353" ht="20.100000000000001" customHeight="1">
      <c r="A7" s="485" t="s">
        <v>290</v>
      </c>
      <c r="B7" s="486"/>
      <c r="C7" s="486"/>
      <c r="D7" s="486"/>
      <c r="E7" s="486"/>
      <c r="F7" s="487"/>
      <c r="G7" s="488" t="s">
        <v>291</v>
      </c>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90"/>
      <c r="BC7" s="462"/>
      <c r="BD7" s="485" t="s">
        <v>290</v>
      </c>
      <c r="BE7" s="486"/>
      <c r="BF7" s="486"/>
      <c r="BG7" s="486"/>
      <c r="BH7" s="486"/>
      <c r="BI7" s="487"/>
      <c r="BJ7" s="488" t="s">
        <v>292</v>
      </c>
      <c r="BK7" s="489"/>
      <c r="BL7" s="489"/>
      <c r="BM7" s="489"/>
      <c r="BN7" s="489"/>
      <c r="BO7" s="489"/>
      <c r="BP7" s="489"/>
      <c r="BQ7" s="489"/>
      <c r="BR7" s="489"/>
      <c r="BS7" s="489"/>
      <c r="BT7" s="489"/>
      <c r="BU7" s="489"/>
      <c r="BV7" s="489"/>
      <c r="BW7" s="489"/>
      <c r="BX7" s="489"/>
      <c r="BY7" s="489"/>
      <c r="BZ7" s="489"/>
      <c r="CA7" s="489"/>
      <c r="CB7" s="489"/>
      <c r="CC7" s="489"/>
      <c r="CD7" s="489"/>
      <c r="CE7" s="489"/>
      <c r="CF7" s="489"/>
      <c r="CG7" s="489"/>
      <c r="CH7" s="489"/>
      <c r="CI7" s="489"/>
      <c r="CJ7" s="489"/>
      <c r="CK7" s="489"/>
      <c r="CL7" s="489"/>
      <c r="CM7" s="489"/>
      <c r="CN7" s="489"/>
      <c r="CO7" s="489"/>
      <c r="CP7" s="489"/>
      <c r="CQ7" s="489"/>
      <c r="CR7" s="489"/>
      <c r="CS7" s="489"/>
      <c r="CT7" s="489"/>
      <c r="CU7" s="489"/>
      <c r="CV7" s="489"/>
      <c r="CW7" s="489"/>
      <c r="CX7" s="489"/>
      <c r="CY7" s="489"/>
      <c r="CZ7" s="489"/>
      <c r="DA7" s="489"/>
      <c r="DB7" s="489"/>
      <c r="DC7" s="489"/>
      <c r="DD7" s="489"/>
      <c r="DE7" s="490"/>
      <c r="DF7" s="462"/>
      <c r="DG7" s="485" t="s">
        <v>290</v>
      </c>
      <c r="DH7" s="486"/>
      <c r="DI7" s="486"/>
      <c r="DJ7" s="486"/>
      <c r="DK7" s="486"/>
      <c r="DL7" s="487"/>
      <c r="DM7" s="488" t="s">
        <v>293</v>
      </c>
      <c r="DN7" s="489"/>
      <c r="DO7" s="489"/>
      <c r="DP7" s="489"/>
      <c r="DQ7" s="489"/>
      <c r="DR7" s="489"/>
      <c r="DS7" s="489"/>
      <c r="DT7" s="489"/>
      <c r="DU7" s="489"/>
      <c r="DV7" s="489"/>
      <c r="DW7" s="489"/>
      <c r="DX7" s="489"/>
      <c r="DY7" s="489"/>
      <c r="DZ7" s="489"/>
      <c r="EA7" s="489"/>
      <c r="EB7" s="489"/>
      <c r="EC7" s="489"/>
      <c r="ED7" s="489"/>
      <c r="EE7" s="489"/>
      <c r="EF7" s="489"/>
      <c r="EG7" s="489"/>
      <c r="EH7" s="489"/>
      <c r="EI7" s="489"/>
      <c r="EJ7" s="489"/>
      <c r="EK7" s="489"/>
      <c r="EL7" s="489"/>
      <c r="EM7" s="489"/>
      <c r="EN7" s="489"/>
      <c r="EO7" s="489"/>
      <c r="EP7" s="489"/>
      <c r="EQ7" s="489"/>
      <c r="ER7" s="489"/>
      <c r="ES7" s="489"/>
      <c r="ET7" s="489"/>
      <c r="EU7" s="489"/>
      <c r="EV7" s="489"/>
      <c r="EW7" s="489"/>
      <c r="EX7" s="489"/>
      <c r="EY7" s="489"/>
      <c r="EZ7" s="489"/>
      <c r="FA7" s="489"/>
      <c r="FB7" s="489"/>
      <c r="FC7" s="489"/>
      <c r="FD7" s="489"/>
      <c r="FE7" s="489"/>
      <c r="FF7" s="489"/>
      <c r="FG7" s="489"/>
      <c r="FH7" s="490"/>
      <c r="FI7" s="462"/>
      <c r="FJ7" s="485" t="s">
        <v>290</v>
      </c>
      <c r="FK7" s="486"/>
      <c r="FL7" s="486"/>
      <c r="FM7" s="486"/>
      <c r="FN7" s="486"/>
      <c r="FO7" s="487"/>
      <c r="FP7" s="491" t="s">
        <v>294</v>
      </c>
      <c r="FQ7" s="492"/>
      <c r="FR7" s="492"/>
      <c r="FS7" s="492"/>
      <c r="FT7" s="492"/>
      <c r="FU7" s="492"/>
      <c r="FV7" s="493" t="s">
        <v>295</v>
      </c>
      <c r="FW7" s="494"/>
      <c r="FX7" s="494"/>
      <c r="FY7" s="494"/>
      <c r="FZ7" s="494"/>
      <c r="GA7" s="494"/>
      <c r="GB7" s="494"/>
      <c r="GC7" s="494"/>
      <c r="GD7" s="494"/>
      <c r="GE7" s="495"/>
      <c r="GF7" s="496"/>
      <c r="GG7" s="461"/>
      <c r="GH7" s="461"/>
      <c r="GI7" s="461"/>
      <c r="GJ7" s="497"/>
      <c r="GK7" s="498"/>
      <c r="GL7" s="498"/>
      <c r="GM7" s="498"/>
      <c r="GN7" s="499"/>
      <c r="GO7" s="499"/>
      <c r="GP7" s="498"/>
      <c r="GQ7" s="498"/>
      <c r="GR7" s="498"/>
      <c r="GS7" s="498"/>
      <c r="GT7" s="498"/>
      <c r="GU7" s="498"/>
      <c r="GV7" s="498"/>
      <c r="GW7" s="498"/>
      <c r="GX7" s="498"/>
      <c r="GY7" s="498"/>
      <c r="GZ7" s="498"/>
      <c r="HA7" s="498"/>
      <c r="HB7" s="498"/>
      <c r="HC7" s="538"/>
      <c r="HD7" s="438"/>
      <c r="HE7" s="438"/>
      <c r="HF7" s="501"/>
      <c r="HG7" s="387"/>
    </row>
    <row r="8" spans="1:353" s="528" customFormat="1" ht="20.100000000000001" customHeight="1">
      <c r="A8" s="502"/>
      <c r="B8" s="503"/>
      <c r="C8" s="503"/>
      <c r="D8" s="503"/>
      <c r="E8" s="503"/>
      <c r="F8" s="504"/>
      <c r="G8" s="505">
        <v>1</v>
      </c>
      <c r="H8" s="506"/>
      <c r="I8" s="507">
        <v>2</v>
      </c>
      <c r="J8" s="506"/>
      <c r="K8" s="507">
        <v>3</v>
      </c>
      <c r="L8" s="506"/>
      <c r="M8" s="507">
        <v>4</v>
      </c>
      <c r="N8" s="506"/>
      <c r="O8" s="507">
        <v>5</v>
      </c>
      <c r="P8" s="506"/>
      <c r="Q8" s="507">
        <v>6</v>
      </c>
      <c r="R8" s="506"/>
      <c r="S8" s="507">
        <v>7</v>
      </c>
      <c r="T8" s="506"/>
      <c r="U8" s="507">
        <v>8</v>
      </c>
      <c r="V8" s="506"/>
      <c r="W8" s="507">
        <v>9</v>
      </c>
      <c r="X8" s="506"/>
      <c r="Y8" s="507">
        <v>10</v>
      </c>
      <c r="Z8" s="506"/>
      <c r="AA8" s="507">
        <v>11</v>
      </c>
      <c r="AB8" s="506"/>
      <c r="AC8" s="507">
        <v>12</v>
      </c>
      <c r="AD8" s="506"/>
      <c r="AE8" s="507">
        <v>13</v>
      </c>
      <c r="AF8" s="506"/>
      <c r="AG8" s="507">
        <v>14</v>
      </c>
      <c r="AH8" s="506"/>
      <c r="AI8" s="507">
        <v>15</v>
      </c>
      <c r="AJ8" s="506"/>
      <c r="AK8" s="507">
        <v>16</v>
      </c>
      <c r="AL8" s="506"/>
      <c r="AM8" s="507">
        <v>17</v>
      </c>
      <c r="AN8" s="506"/>
      <c r="AO8" s="507">
        <v>18</v>
      </c>
      <c r="AP8" s="506"/>
      <c r="AQ8" s="507">
        <v>19</v>
      </c>
      <c r="AR8" s="506"/>
      <c r="AS8" s="507">
        <v>20</v>
      </c>
      <c r="AT8" s="506"/>
      <c r="AU8" s="507">
        <v>21</v>
      </c>
      <c r="AV8" s="506"/>
      <c r="AW8" s="507">
        <v>22</v>
      </c>
      <c r="AX8" s="506"/>
      <c r="AY8" s="507">
        <v>23</v>
      </c>
      <c r="AZ8" s="506"/>
      <c r="BA8" s="507">
        <v>24</v>
      </c>
      <c r="BB8" s="508"/>
      <c r="BC8" s="484"/>
      <c r="BD8" s="502"/>
      <c r="BE8" s="503"/>
      <c r="BF8" s="503"/>
      <c r="BG8" s="503"/>
      <c r="BH8" s="503"/>
      <c r="BI8" s="504"/>
      <c r="BJ8" s="509">
        <v>1</v>
      </c>
      <c r="BK8" s="510"/>
      <c r="BL8" s="511">
        <v>2</v>
      </c>
      <c r="BM8" s="510"/>
      <c r="BN8" s="511">
        <v>3</v>
      </c>
      <c r="BO8" s="510"/>
      <c r="BP8" s="511">
        <v>4</v>
      </c>
      <c r="BQ8" s="510"/>
      <c r="BR8" s="511">
        <v>5</v>
      </c>
      <c r="BS8" s="510"/>
      <c r="BT8" s="511">
        <v>6</v>
      </c>
      <c r="BU8" s="510"/>
      <c r="BV8" s="511">
        <v>7</v>
      </c>
      <c r="BW8" s="510"/>
      <c r="BX8" s="511">
        <v>8</v>
      </c>
      <c r="BY8" s="510"/>
      <c r="BZ8" s="511">
        <v>9</v>
      </c>
      <c r="CA8" s="510"/>
      <c r="CB8" s="511">
        <v>10</v>
      </c>
      <c r="CC8" s="510"/>
      <c r="CD8" s="511">
        <v>11</v>
      </c>
      <c r="CE8" s="510"/>
      <c r="CF8" s="511">
        <v>12</v>
      </c>
      <c r="CG8" s="510"/>
      <c r="CH8" s="511">
        <v>13</v>
      </c>
      <c r="CI8" s="510"/>
      <c r="CJ8" s="511">
        <v>14</v>
      </c>
      <c r="CK8" s="510"/>
      <c r="CL8" s="511">
        <v>15</v>
      </c>
      <c r="CM8" s="510"/>
      <c r="CN8" s="511">
        <v>16</v>
      </c>
      <c r="CO8" s="510"/>
      <c r="CP8" s="511">
        <v>17</v>
      </c>
      <c r="CQ8" s="510"/>
      <c r="CR8" s="511">
        <v>18</v>
      </c>
      <c r="CS8" s="510"/>
      <c r="CT8" s="511">
        <v>19</v>
      </c>
      <c r="CU8" s="510"/>
      <c r="CV8" s="511">
        <v>20</v>
      </c>
      <c r="CW8" s="510"/>
      <c r="CX8" s="511">
        <v>21</v>
      </c>
      <c r="CY8" s="510"/>
      <c r="CZ8" s="511">
        <v>22</v>
      </c>
      <c r="DA8" s="510"/>
      <c r="DB8" s="511">
        <v>23</v>
      </c>
      <c r="DC8" s="510"/>
      <c r="DD8" s="511">
        <v>24</v>
      </c>
      <c r="DE8" s="512"/>
      <c r="DF8" s="484"/>
      <c r="DG8" s="502"/>
      <c r="DH8" s="503"/>
      <c r="DI8" s="503"/>
      <c r="DJ8" s="503"/>
      <c r="DK8" s="503"/>
      <c r="DL8" s="504"/>
      <c r="DM8" s="513">
        <v>1</v>
      </c>
      <c r="DN8" s="514"/>
      <c r="DO8" s="515">
        <v>2</v>
      </c>
      <c r="DP8" s="514"/>
      <c r="DQ8" s="515">
        <v>3</v>
      </c>
      <c r="DR8" s="514"/>
      <c r="DS8" s="515">
        <v>4</v>
      </c>
      <c r="DT8" s="514"/>
      <c r="DU8" s="515">
        <v>5</v>
      </c>
      <c r="DV8" s="514"/>
      <c r="DW8" s="515">
        <v>6</v>
      </c>
      <c r="DX8" s="514"/>
      <c r="DY8" s="515">
        <v>7</v>
      </c>
      <c r="DZ8" s="514"/>
      <c r="EA8" s="515">
        <v>8</v>
      </c>
      <c r="EB8" s="514"/>
      <c r="EC8" s="515">
        <v>9</v>
      </c>
      <c r="ED8" s="514"/>
      <c r="EE8" s="515">
        <v>10</v>
      </c>
      <c r="EF8" s="514"/>
      <c r="EG8" s="515">
        <v>11</v>
      </c>
      <c r="EH8" s="514"/>
      <c r="EI8" s="515">
        <v>12</v>
      </c>
      <c r="EJ8" s="514"/>
      <c r="EK8" s="515">
        <v>13</v>
      </c>
      <c r="EL8" s="514"/>
      <c r="EM8" s="515">
        <v>14</v>
      </c>
      <c r="EN8" s="514"/>
      <c r="EO8" s="515">
        <v>15</v>
      </c>
      <c r="EP8" s="514"/>
      <c r="EQ8" s="515">
        <v>16</v>
      </c>
      <c r="ER8" s="514"/>
      <c r="ES8" s="515">
        <v>17</v>
      </c>
      <c r="ET8" s="514"/>
      <c r="EU8" s="515">
        <v>18</v>
      </c>
      <c r="EV8" s="514"/>
      <c r="EW8" s="515">
        <v>19</v>
      </c>
      <c r="EX8" s="514"/>
      <c r="EY8" s="515">
        <v>20</v>
      </c>
      <c r="EZ8" s="514"/>
      <c r="FA8" s="515">
        <v>21</v>
      </c>
      <c r="FB8" s="514"/>
      <c r="FC8" s="515">
        <v>22</v>
      </c>
      <c r="FD8" s="514"/>
      <c r="FE8" s="515">
        <v>23</v>
      </c>
      <c r="FF8" s="514"/>
      <c r="FG8" s="515">
        <v>24</v>
      </c>
      <c r="FH8" s="516"/>
      <c r="FI8" s="484"/>
      <c r="FJ8" s="502"/>
      <c r="FK8" s="503"/>
      <c r="FL8" s="503"/>
      <c r="FM8" s="503"/>
      <c r="FN8" s="503"/>
      <c r="FO8" s="504"/>
      <c r="FP8" s="517" t="s">
        <v>296</v>
      </c>
      <c r="FQ8" s="518"/>
      <c r="FR8" s="519"/>
      <c r="FS8" s="520" t="s">
        <v>297</v>
      </c>
      <c r="FT8" s="520"/>
      <c r="FU8" s="521"/>
      <c r="FV8" s="522"/>
      <c r="FW8" s="523"/>
      <c r="FX8" s="523"/>
      <c r="FY8" s="523"/>
      <c r="FZ8" s="523"/>
      <c r="GA8" s="523"/>
      <c r="GB8" s="523"/>
      <c r="GC8" s="523"/>
      <c r="GD8" s="523"/>
      <c r="GE8" s="524"/>
      <c r="GF8" s="496"/>
      <c r="GG8" s="480"/>
      <c r="GH8" s="480"/>
      <c r="GI8" s="480"/>
      <c r="GJ8" s="525" t="s">
        <v>424</v>
      </c>
      <c r="GK8" s="525"/>
      <c r="GL8" s="526"/>
      <c r="GM8" s="527"/>
      <c r="GN8" s="526"/>
      <c r="GO8" s="527"/>
      <c r="GP8" s="526"/>
      <c r="GQ8" s="526"/>
      <c r="GR8" s="526"/>
      <c r="GS8" s="526"/>
      <c r="GT8" s="525" t="s">
        <v>424</v>
      </c>
      <c r="GU8" s="525"/>
      <c r="GV8" s="414"/>
      <c r="GW8" s="480"/>
      <c r="GX8" s="483"/>
      <c r="GY8" s="480"/>
      <c r="GZ8" s="483"/>
      <c r="HA8" s="527"/>
      <c r="HB8" s="527"/>
      <c r="HC8" s="527"/>
      <c r="HD8" s="438"/>
      <c r="HE8" s="438"/>
      <c r="HF8" s="1443"/>
      <c r="HG8" s="1443"/>
    </row>
    <row r="9" spans="1:353" ht="22.5" customHeight="1">
      <c r="A9" s="529" t="s">
        <v>298</v>
      </c>
      <c r="B9" s="530" t="s">
        <v>299</v>
      </c>
      <c r="C9" s="531" t="s">
        <v>300</v>
      </c>
      <c r="D9" s="531" t="s">
        <v>301</v>
      </c>
      <c r="E9" s="532" t="s">
        <v>302</v>
      </c>
      <c r="F9" s="533" t="s">
        <v>303</v>
      </c>
      <c r="G9" s="534" t="s">
        <v>304</v>
      </c>
      <c r="H9" s="535" t="s">
        <v>305</v>
      </c>
      <c r="I9" s="536" t="s">
        <v>306</v>
      </c>
      <c r="J9" s="535" t="s">
        <v>305</v>
      </c>
      <c r="K9" s="536" t="s">
        <v>306</v>
      </c>
      <c r="L9" s="535" t="s">
        <v>305</v>
      </c>
      <c r="M9" s="536" t="s">
        <v>306</v>
      </c>
      <c r="N9" s="535" t="s">
        <v>305</v>
      </c>
      <c r="O9" s="536" t="s">
        <v>306</v>
      </c>
      <c r="P9" s="535" t="s">
        <v>305</v>
      </c>
      <c r="Q9" s="536" t="s">
        <v>306</v>
      </c>
      <c r="R9" s="535" t="s">
        <v>305</v>
      </c>
      <c r="S9" s="536" t="s">
        <v>306</v>
      </c>
      <c r="T9" s="535" t="s">
        <v>305</v>
      </c>
      <c r="U9" s="536" t="s">
        <v>306</v>
      </c>
      <c r="V9" s="535" t="s">
        <v>305</v>
      </c>
      <c r="W9" s="536" t="s">
        <v>306</v>
      </c>
      <c r="X9" s="535" t="s">
        <v>305</v>
      </c>
      <c r="Y9" s="536" t="s">
        <v>306</v>
      </c>
      <c r="Z9" s="535" t="s">
        <v>305</v>
      </c>
      <c r="AA9" s="536" t="s">
        <v>306</v>
      </c>
      <c r="AB9" s="535" t="s">
        <v>305</v>
      </c>
      <c r="AC9" s="536" t="s">
        <v>306</v>
      </c>
      <c r="AD9" s="535" t="s">
        <v>305</v>
      </c>
      <c r="AE9" s="536" t="s">
        <v>306</v>
      </c>
      <c r="AF9" s="535" t="s">
        <v>305</v>
      </c>
      <c r="AG9" s="536" t="s">
        <v>306</v>
      </c>
      <c r="AH9" s="535" t="s">
        <v>305</v>
      </c>
      <c r="AI9" s="536" t="s">
        <v>306</v>
      </c>
      <c r="AJ9" s="535" t="s">
        <v>305</v>
      </c>
      <c r="AK9" s="536" t="s">
        <v>306</v>
      </c>
      <c r="AL9" s="535" t="s">
        <v>305</v>
      </c>
      <c r="AM9" s="536" t="s">
        <v>306</v>
      </c>
      <c r="AN9" s="535" t="s">
        <v>305</v>
      </c>
      <c r="AO9" s="536" t="s">
        <v>306</v>
      </c>
      <c r="AP9" s="535" t="s">
        <v>305</v>
      </c>
      <c r="AQ9" s="536" t="s">
        <v>306</v>
      </c>
      <c r="AR9" s="535" t="s">
        <v>305</v>
      </c>
      <c r="AS9" s="536" t="s">
        <v>306</v>
      </c>
      <c r="AT9" s="535" t="s">
        <v>305</v>
      </c>
      <c r="AU9" s="536" t="s">
        <v>306</v>
      </c>
      <c r="AV9" s="535" t="s">
        <v>305</v>
      </c>
      <c r="AW9" s="536" t="s">
        <v>306</v>
      </c>
      <c r="AX9" s="535" t="s">
        <v>305</v>
      </c>
      <c r="AY9" s="536" t="s">
        <v>306</v>
      </c>
      <c r="AZ9" s="535" t="s">
        <v>305</v>
      </c>
      <c r="BA9" s="536" t="s">
        <v>306</v>
      </c>
      <c r="BB9" s="537" t="s">
        <v>307</v>
      </c>
      <c r="BC9" s="500"/>
      <c r="BD9" s="529" t="s">
        <v>298</v>
      </c>
      <c r="BE9" s="530" t="s">
        <v>299</v>
      </c>
      <c r="BF9" s="531" t="s">
        <v>300</v>
      </c>
      <c r="BG9" s="531" t="s">
        <v>301</v>
      </c>
      <c r="BH9" s="532" t="s">
        <v>302</v>
      </c>
      <c r="BI9" s="533" t="s">
        <v>303</v>
      </c>
      <c r="BJ9" s="534" t="s">
        <v>304</v>
      </c>
      <c r="BK9" s="535" t="s">
        <v>305</v>
      </c>
      <c r="BL9" s="536" t="s">
        <v>306</v>
      </c>
      <c r="BM9" s="535" t="s">
        <v>305</v>
      </c>
      <c r="BN9" s="536" t="s">
        <v>306</v>
      </c>
      <c r="BO9" s="535" t="s">
        <v>305</v>
      </c>
      <c r="BP9" s="536" t="s">
        <v>306</v>
      </c>
      <c r="BQ9" s="535" t="s">
        <v>305</v>
      </c>
      <c r="BR9" s="536" t="s">
        <v>306</v>
      </c>
      <c r="BS9" s="535" t="s">
        <v>305</v>
      </c>
      <c r="BT9" s="536" t="s">
        <v>306</v>
      </c>
      <c r="BU9" s="535" t="s">
        <v>305</v>
      </c>
      <c r="BV9" s="536" t="s">
        <v>306</v>
      </c>
      <c r="BW9" s="535" t="s">
        <v>305</v>
      </c>
      <c r="BX9" s="536" t="s">
        <v>306</v>
      </c>
      <c r="BY9" s="535" t="s">
        <v>305</v>
      </c>
      <c r="BZ9" s="536" t="s">
        <v>306</v>
      </c>
      <c r="CA9" s="535" t="s">
        <v>305</v>
      </c>
      <c r="CB9" s="536" t="s">
        <v>306</v>
      </c>
      <c r="CC9" s="535" t="s">
        <v>305</v>
      </c>
      <c r="CD9" s="536" t="s">
        <v>306</v>
      </c>
      <c r="CE9" s="535" t="s">
        <v>305</v>
      </c>
      <c r="CF9" s="536" t="s">
        <v>306</v>
      </c>
      <c r="CG9" s="535" t="s">
        <v>305</v>
      </c>
      <c r="CH9" s="536" t="s">
        <v>306</v>
      </c>
      <c r="CI9" s="535" t="s">
        <v>305</v>
      </c>
      <c r="CJ9" s="536" t="s">
        <v>306</v>
      </c>
      <c r="CK9" s="535" t="s">
        <v>305</v>
      </c>
      <c r="CL9" s="536" t="s">
        <v>306</v>
      </c>
      <c r="CM9" s="535" t="s">
        <v>305</v>
      </c>
      <c r="CN9" s="536" t="s">
        <v>306</v>
      </c>
      <c r="CO9" s="535" t="s">
        <v>305</v>
      </c>
      <c r="CP9" s="536" t="s">
        <v>306</v>
      </c>
      <c r="CQ9" s="535" t="s">
        <v>305</v>
      </c>
      <c r="CR9" s="536" t="s">
        <v>306</v>
      </c>
      <c r="CS9" s="535" t="s">
        <v>305</v>
      </c>
      <c r="CT9" s="536" t="s">
        <v>306</v>
      </c>
      <c r="CU9" s="535" t="s">
        <v>305</v>
      </c>
      <c r="CV9" s="536" t="s">
        <v>306</v>
      </c>
      <c r="CW9" s="535" t="s">
        <v>305</v>
      </c>
      <c r="CX9" s="536" t="s">
        <v>306</v>
      </c>
      <c r="CY9" s="535" t="s">
        <v>305</v>
      </c>
      <c r="CZ9" s="536" t="s">
        <v>306</v>
      </c>
      <c r="DA9" s="535" t="s">
        <v>305</v>
      </c>
      <c r="DB9" s="536" t="s">
        <v>306</v>
      </c>
      <c r="DC9" s="535" t="s">
        <v>305</v>
      </c>
      <c r="DD9" s="536" t="s">
        <v>306</v>
      </c>
      <c r="DE9" s="537" t="s">
        <v>307</v>
      </c>
      <c r="DF9" s="500"/>
      <c r="DG9" s="529" t="s">
        <v>298</v>
      </c>
      <c r="DH9" s="530" t="s">
        <v>299</v>
      </c>
      <c r="DI9" s="531" t="s">
        <v>300</v>
      </c>
      <c r="DJ9" s="531" t="s">
        <v>301</v>
      </c>
      <c r="DK9" s="532" t="s">
        <v>302</v>
      </c>
      <c r="DL9" s="533" t="s">
        <v>303</v>
      </c>
      <c r="DM9" s="534" t="s">
        <v>304</v>
      </c>
      <c r="DN9" s="535" t="s">
        <v>305</v>
      </c>
      <c r="DO9" s="536" t="s">
        <v>306</v>
      </c>
      <c r="DP9" s="535" t="s">
        <v>305</v>
      </c>
      <c r="DQ9" s="536" t="s">
        <v>306</v>
      </c>
      <c r="DR9" s="535" t="s">
        <v>305</v>
      </c>
      <c r="DS9" s="536" t="s">
        <v>306</v>
      </c>
      <c r="DT9" s="535" t="s">
        <v>305</v>
      </c>
      <c r="DU9" s="536" t="s">
        <v>306</v>
      </c>
      <c r="DV9" s="535" t="s">
        <v>305</v>
      </c>
      <c r="DW9" s="536" t="s">
        <v>306</v>
      </c>
      <c r="DX9" s="535" t="s">
        <v>305</v>
      </c>
      <c r="DY9" s="536" t="s">
        <v>306</v>
      </c>
      <c r="DZ9" s="535" t="s">
        <v>305</v>
      </c>
      <c r="EA9" s="536" t="s">
        <v>306</v>
      </c>
      <c r="EB9" s="535" t="s">
        <v>305</v>
      </c>
      <c r="EC9" s="536" t="s">
        <v>306</v>
      </c>
      <c r="ED9" s="535" t="s">
        <v>305</v>
      </c>
      <c r="EE9" s="536" t="s">
        <v>306</v>
      </c>
      <c r="EF9" s="535" t="s">
        <v>305</v>
      </c>
      <c r="EG9" s="536" t="s">
        <v>306</v>
      </c>
      <c r="EH9" s="535" t="s">
        <v>305</v>
      </c>
      <c r="EI9" s="536" t="s">
        <v>306</v>
      </c>
      <c r="EJ9" s="535" t="s">
        <v>305</v>
      </c>
      <c r="EK9" s="536" t="s">
        <v>306</v>
      </c>
      <c r="EL9" s="535" t="s">
        <v>305</v>
      </c>
      <c r="EM9" s="536" t="s">
        <v>306</v>
      </c>
      <c r="EN9" s="535" t="s">
        <v>305</v>
      </c>
      <c r="EO9" s="536" t="s">
        <v>306</v>
      </c>
      <c r="EP9" s="535" t="s">
        <v>305</v>
      </c>
      <c r="EQ9" s="536" t="s">
        <v>306</v>
      </c>
      <c r="ER9" s="535" t="s">
        <v>305</v>
      </c>
      <c r="ES9" s="536" t="s">
        <v>306</v>
      </c>
      <c r="ET9" s="535" t="s">
        <v>305</v>
      </c>
      <c r="EU9" s="536" t="s">
        <v>306</v>
      </c>
      <c r="EV9" s="535" t="s">
        <v>305</v>
      </c>
      <c r="EW9" s="536" t="s">
        <v>306</v>
      </c>
      <c r="EX9" s="535" t="s">
        <v>305</v>
      </c>
      <c r="EY9" s="536" t="s">
        <v>306</v>
      </c>
      <c r="EZ9" s="535" t="s">
        <v>305</v>
      </c>
      <c r="FA9" s="536" t="s">
        <v>306</v>
      </c>
      <c r="FB9" s="535" t="s">
        <v>305</v>
      </c>
      <c r="FC9" s="536" t="s">
        <v>306</v>
      </c>
      <c r="FD9" s="535" t="s">
        <v>305</v>
      </c>
      <c r="FE9" s="536" t="s">
        <v>306</v>
      </c>
      <c r="FF9" s="535" t="s">
        <v>305</v>
      </c>
      <c r="FG9" s="536" t="s">
        <v>306</v>
      </c>
      <c r="FH9" s="537" t="s">
        <v>307</v>
      </c>
      <c r="FI9" s="538"/>
      <c r="FJ9" s="539" t="s">
        <v>298</v>
      </c>
      <c r="FK9" s="530" t="s">
        <v>299</v>
      </c>
      <c r="FL9" s="531" t="s">
        <v>300</v>
      </c>
      <c r="FM9" s="531" t="s">
        <v>301</v>
      </c>
      <c r="FN9" s="532" t="s">
        <v>302</v>
      </c>
      <c r="FO9" s="533" t="s">
        <v>303</v>
      </c>
      <c r="FP9" s="540" t="s">
        <v>45</v>
      </c>
      <c r="FQ9" s="541" t="s">
        <v>306</v>
      </c>
      <c r="FR9" s="535" t="s">
        <v>307</v>
      </c>
      <c r="FS9" s="542" t="s">
        <v>45</v>
      </c>
      <c r="FT9" s="541" t="s">
        <v>306</v>
      </c>
      <c r="FU9" s="535" t="s">
        <v>307</v>
      </c>
      <c r="FV9" s="522"/>
      <c r="FW9" s="523"/>
      <c r="FX9" s="523"/>
      <c r="FY9" s="523"/>
      <c r="FZ9" s="523"/>
      <c r="GA9" s="523"/>
      <c r="GB9" s="523"/>
      <c r="GC9" s="523"/>
      <c r="GD9" s="543"/>
      <c r="GE9" s="544"/>
      <c r="GF9" s="496"/>
      <c r="GG9" s="545"/>
      <c r="GH9" s="545"/>
      <c r="GI9" s="545"/>
      <c r="GJ9" s="526"/>
      <c r="GK9" s="527" t="s">
        <v>449</v>
      </c>
      <c r="GL9" s="526"/>
      <c r="GM9" s="527"/>
      <c r="GN9" s="526"/>
      <c r="GO9" s="546">
        <v>0.92</v>
      </c>
      <c r="GP9" s="526"/>
      <c r="GQ9" s="526"/>
      <c r="GR9" s="526"/>
      <c r="GS9" s="526"/>
      <c r="GT9" s="547"/>
      <c r="GU9" s="480" t="s">
        <v>450</v>
      </c>
      <c r="GV9" s="414"/>
      <c r="GW9" s="480"/>
      <c r="GX9" s="548">
        <v>1</v>
      </c>
      <c r="GY9" s="480"/>
      <c r="GZ9" s="483"/>
      <c r="HA9" s="527"/>
      <c r="HB9" s="527"/>
      <c r="HC9" s="527"/>
      <c r="HD9" s="438"/>
      <c r="HE9" s="438"/>
      <c r="HF9" s="1447"/>
      <c r="HG9" s="1447"/>
    </row>
    <row r="10" spans="1:353" ht="20.100000000000001" customHeight="1">
      <c r="A10" s="549"/>
      <c r="B10" s="550" t="s">
        <v>237</v>
      </c>
      <c r="C10" s="551" t="s">
        <v>73</v>
      </c>
      <c r="D10" s="552">
        <f>ROUND(10.8*0.85,2)</f>
        <v>9.18</v>
      </c>
      <c r="E10" s="550" t="s">
        <v>354</v>
      </c>
      <c r="F10" s="551"/>
      <c r="G10" s="553">
        <v>0</v>
      </c>
      <c r="H10" s="554">
        <f>ROUND(ROUND(10.8*0.85,2)*0.49*0,0)</f>
        <v>0</v>
      </c>
      <c r="I10" s="555">
        <v>0</v>
      </c>
      <c r="J10" s="556">
        <f>ROUND(ROUND(10.8*0.85,2)*0.49*0,0)</f>
        <v>0</v>
      </c>
      <c r="K10" s="557">
        <v>0</v>
      </c>
      <c r="L10" s="556">
        <f>ROUND(ROUND(10.8*0.85,2)*0.49*0,0)</f>
        <v>0</v>
      </c>
      <c r="M10" s="557">
        <v>0</v>
      </c>
      <c r="N10" s="556">
        <f>ROUND(ROUND(10.8*0.85,2)*0.49*0,0)</f>
        <v>0</v>
      </c>
      <c r="O10" s="557">
        <v>0</v>
      </c>
      <c r="P10" s="556">
        <f>ROUND(ROUND(10.8*0.85,2)*0.49*0,0)</f>
        <v>0</v>
      </c>
      <c r="Q10" s="557">
        <v>0</v>
      </c>
      <c r="R10" s="556">
        <f>ROUND(ROUND(10.8*0.85,2)*0.49*0,0)</f>
        <v>0</v>
      </c>
      <c r="S10" s="557">
        <v>0</v>
      </c>
      <c r="T10" s="556">
        <f>ROUND(ROUND(10.8*0.85,2)*0.49*0,0)</f>
        <v>0</v>
      </c>
      <c r="U10" s="557">
        <v>0</v>
      </c>
      <c r="V10" s="556">
        <f>ROUND(ROUND(10.8*0.85,2)*0.49*0,0)</f>
        <v>0</v>
      </c>
      <c r="W10" s="557">
        <v>116</v>
      </c>
      <c r="X10" s="556">
        <f>ROUND(ROUND(10.8*0.85,2)*0.49*116,0)</f>
        <v>522</v>
      </c>
      <c r="Y10" s="557">
        <v>130</v>
      </c>
      <c r="Z10" s="556">
        <f>ROUND(ROUND(10.8*0.85,2)*0.49*130,0)</f>
        <v>585</v>
      </c>
      <c r="AA10" s="557">
        <v>163</v>
      </c>
      <c r="AB10" s="556">
        <f>ROUND(ROUND(10.8*0.85,2)*0.49*163,0)</f>
        <v>733</v>
      </c>
      <c r="AC10" s="557">
        <v>229</v>
      </c>
      <c r="AD10" s="556">
        <f>ROUND(ROUND(10.8*0.85,2)*0.49*229,0)</f>
        <v>1030</v>
      </c>
      <c r="AE10" s="557">
        <v>269</v>
      </c>
      <c r="AF10" s="556">
        <f>ROUND(ROUND(10.8*0.85,2)*0.49*269,0)</f>
        <v>1210</v>
      </c>
      <c r="AG10" s="557">
        <v>267</v>
      </c>
      <c r="AH10" s="556">
        <f>ROUND(ROUND(10.8*0.85,2)*0.49*267,0)</f>
        <v>1201</v>
      </c>
      <c r="AI10" s="557">
        <v>224</v>
      </c>
      <c r="AJ10" s="556">
        <f>ROUND(ROUND(10.8*0.85,2)*0.49*224,0)</f>
        <v>1008</v>
      </c>
      <c r="AK10" s="557">
        <v>156</v>
      </c>
      <c r="AL10" s="556">
        <f>ROUND(ROUND(10.8*0.85,2)*0.49*156,0)</f>
        <v>702</v>
      </c>
      <c r="AM10" s="557">
        <v>84</v>
      </c>
      <c r="AN10" s="556">
        <f>ROUND(ROUND(10.8*0.85,2)*0.49*84,0)</f>
        <v>378</v>
      </c>
      <c r="AO10" s="557">
        <v>16</v>
      </c>
      <c r="AP10" s="556">
        <f>ROUND(ROUND(10.8*0.85,2)*0.49*16,0)</f>
        <v>72</v>
      </c>
      <c r="AQ10" s="557">
        <v>0</v>
      </c>
      <c r="AR10" s="556">
        <f>ROUND(ROUND(10.8*0.85,2)*0.49*0,0)</f>
        <v>0</v>
      </c>
      <c r="AS10" s="557">
        <v>0</v>
      </c>
      <c r="AT10" s="556">
        <f>ROUND(ROUND(10.8*0.85,2)*0.49*0,0)</f>
        <v>0</v>
      </c>
      <c r="AU10" s="557">
        <v>0</v>
      </c>
      <c r="AV10" s="556">
        <f>ROUND(ROUND(10.8*0.85,2)*0.49*0,0)</f>
        <v>0</v>
      </c>
      <c r="AW10" s="557">
        <v>0</v>
      </c>
      <c r="AX10" s="556">
        <f>ROUND(ROUND(10.8*0.85,2)*0.49*0,0)</f>
        <v>0</v>
      </c>
      <c r="AY10" s="557">
        <v>0</v>
      </c>
      <c r="AZ10" s="556">
        <f>ROUND(ROUND(10.8*0.85,2)*0.49*0,0)</f>
        <v>0</v>
      </c>
      <c r="BA10" s="557">
        <v>0</v>
      </c>
      <c r="BB10" s="558">
        <f>ROUND(ROUND(10.8*0.85,2)*0.49*0,0)</f>
        <v>0</v>
      </c>
      <c r="BC10" s="559"/>
      <c r="BD10" s="549"/>
      <c r="BE10" s="550"/>
      <c r="BF10" s="551"/>
      <c r="BG10" s="552"/>
      <c r="BH10" s="550"/>
      <c r="BI10" s="551"/>
      <c r="BJ10" s="553">
        <v>0</v>
      </c>
      <c r="BK10" s="554">
        <f>ROUND(ROUND(10.8*0.85,2)*0.49*0,0)</f>
        <v>0</v>
      </c>
      <c r="BL10" s="555">
        <v>0</v>
      </c>
      <c r="BM10" s="556">
        <f>ROUND(ROUND(10.8*0.85,2)*0.49*0,0)</f>
        <v>0</v>
      </c>
      <c r="BN10" s="557">
        <v>0</v>
      </c>
      <c r="BO10" s="556">
        <f>ROUND(ROUND(10.8*0.85,2)*0.49*0,0)</f>
        <v>0</v>
      </c>
      <c r="BP10" s="557">
        <v>0</v>
      </c>
      <c r="BQ10" s="556">
        <f>ROUND(ROUND(10.8*0.85,2)*0.49*0,0)</f>
        <v>0</v>
      </c>
      <c r="BR10" s="557">
        <v>0</v>
      </c>
      <c r="BS10" s="556">
        <f>ROUND(ROUND(10.8*0.85,2)*0.49*0,0)</f>
        <v>0</v>
      </c>
      <c r="BT10" s="557">
        <v>0</v>
      </c>
      <c r="BU10" s="556">
        <f>ROUND(ROUND(10.8*0.85,2)*0.49*0,0)</f>
        <v>0</v>
      </c>
      <c r="BV10" s="557">
        <v>0</v>
      </c>
      <c r="BW10" s="556">
        <f>ROUND(ROUND(10.8*0.85,2)*0.49*0,0)</f>
        <v>0</v>
      </c>
      <c r="BX10" s="557">
        <v>0</v>
      </c>
      <c r="BY10" s="556">
        <f>ROUND(ROUND(10.8*0.85,2)*0.49*0,0)</f>
        <v>0</v>
      </c>
      <c r="BZ10" s="557">
        <v>103</v>
      </c>
      <c r="CA10" s="556">
        <f>ROUND(ROUND(10.8*0.85,2)*0.49*103,0)</f>
        <v>463</v>
      </c>
      <c r="CB10" s="557">
        <v>110</v>
      </c>
      <c r="CC10" s="556">
        <f>ROUND(ROUND(10.8*0.85,2)*0.49*110,0)</f>
        <v>495</v>
      </c>
      <c r="CD10" s="557">
        <v>155</v>
      </c>
      <c r="CE10" s="556">
        <f>ROUND(ROUND(10.8*0.85,2)*0.49*155,0)</f>
        <v>697</v>
      </c>
      <c r="CF10" s="557">
        <v>254</v>
      </c>
      <c r="CG10" s="556">
        <f>ROUND(ROUND(10.8*0.85,2)*0.49*254,0)</f>
        <v>1143</v>
      </c>
      <c r="CH10" s="557">
        <v>320</v>
      </c>
      <c r="CI10" s="556">
        <f>ROUND(ROUND(10.8*0.85,2)*0.49*320,0)</f>
        <v>1439</v>
      </c>
      <c r="CJ10" s="557">
        <v>334</v>
      </c>
      <c r="CK10" s="556">
        <f>ROUND(ROUND(10.8*0.85,2)*0.49*334,0)</f>
        <v>1502</v>
      </c>
      <c r="CL10" s="557">
        <v>301</v>
      </c>
      <c r="CM10" s="556">
        <f>ROUND(ROUND(10.8*0.85,2)*0.49*301,0)</f>
        <v>1354</v>
      </c>
      <c r="CN10" s="557">
        <v>222</v>
      </c>
      <c r="CO10" s="556">
        <f>ROUND(ROUND(10.8*0.85,2)*0.49*222,0)</f>
        <v>999</v>
      </c>
      <c r="CP10" s="557">
        <v>130</v>
      </c>
      <c r="CQ10" s="556">
        <f>ROUND(ROUND(10.8*0.85,2)*0.49*130,0)</f>
        <v>585</v>
      </c>
      <c r="CR10" s="557">
        <v>32</v>
      </c>
      <c r="CS10" s="556">
        <f>ROUND(ROUND(10.8*0.85,2)*0.49*32,0)</f>
        <v>144</v>
      </c>
      <c r="CT10" s="557">
        <v>0</v>
      </c>
      <c r="CU10" s="556">
        <f>ROUND(ROUND(10.8*0.85,2)*0.49*0,0)</f>
        <v>0</v>
      </c>
      <c r="CV10" s="557">
        <v>0</v>
      </c>
      <c r="CW10" s="556">
        <f>ROUND(ROUND(10.8*0.85,2)*0.49*0,0)</f>
        <v>0</v>
      </c>
      <c r="CX10" s="557">
        <v>0</v>
      </c>
      <c r="CY10" s="556">
        <f>ROUND(ROUND(10.8*0.85,2)*0.49*0,0)</f>
        <v>0</v>
      </c>
      <c r="CZ10" s="557">
        <v>0</v>
      </c>
      <c r="DA10" s="556">
        <f>ROUND(ROUND(10.8*0.85,2)*0.49*0,0)</f>
        <v>0</v>
      </c>
      <c r="DB10" s="557">
        <v>0</v>
      </c>
      <c r="DC10" s="556">
        <f>ROUND(ROUND(10.8*0.85,2)*0.49*0,0)</f>
        <v>0</v>
      </c>
      <c r="DD10" s="557">
        <v>0</v>
      </c>
      <c r="DE10" s="558">
        <f>ROUND(ROUND(10.8*0.85,2)*0.49*0,0)</f>
        <v>0</v>
      </c>
      <c r="DF10" s="559"/>
      <c r="DG10" s="549"/>
      <c r="DH10" s="550"/>
      <c r="DI10" s="551"/>
      <c r="DJ10" s="552"/>
      <c r="DK10" s="550"/>
      <c r="DL10" s="551"/>
      <c r="DM10" s="553">
        <v>0</v>
      </c>
      <c r="DN10" s="554">
        <f>ROUND(ROUND(10.8*0.85,2)*0.49*0,0)</f>
        <v>0</v>
      </c>
      <c r="DO10" s="555">
        <v>0</v>
      </c>
      <c r="DP10" s="556">
        <f>ROUND(ROUND(10.8*0.85,2)*0.49*0,0)</f>
        <v>0</v>
      </c>
      <c r="DQ10" s="557">
        <v>0</v>
      </c>
      <c r="DR10" s="556">
        <f>ROUND(ROUND(10.8*0.85,2)*0.49*0,0)</f>
        <v>0</v>
      </c>
      <c r="DS10" s="557">
        <v>0</v>
      </c>
      <c r="DT10" s="556">
        <f>ROUND(ROUND(10.8*0.85,2)*0.49*0,0)</f>
        <v>0</v>
      </c>
      <c r="DU10" s="557">
        <v>0</v>
      </c>
      <c r="DV10" s="556">
        <f>ROUND(ROUND(10.8*0.85,2)*0.49*0,0)</f>
        <v>0</v>
      </c>
      <c r="DW10" s="557">
        <v>0</v>
      </c>
      <c r="DX10" s="556">
        <f>ROUND(ROUND(10.8*0.85,2)*0.49*0,0)</f>
        <v>0</v>
      </c>
      <c r="DY10" s="557">
        <v>0</v>
      </c>
      <c r="DZ10" s="556">
        <f>ROUND(ROUND(10.8*0.85,2)*0.49*0,0)</f>
        <v>0</v>
      </c>
      <c r="EA10" s="557">
        <v>0</v>
      </c>
      <c r="EB10" s="556">
        <f>ROUND(ROUND(10.8*0.85,2)*0.49*0,0)</f>
        <v>0</v>
      </c>
      <c r="EC10" s="557">
        <v>88</v>
      </c>
      <c r="ED10" s="556">
        <f>ROUND(ROUND(10.8*0.85,2)*0.49*88,0)</f>
        <v>396</v>
      </c>
      <c r="EE10" s="557">
        <v>170</v>
      </c>
      <c r="EF10" s="556">
        <f>ROUND(ROUND(10.8*0.85,2)*0.49*170,0)</f>
        <v>765</v>
      </c>
      <c r="EG10" s="557">
        <v>327</v>
      </c>
      <c r="EH10" s="556">
        <f>ROUND(ROUND(10.8*0.85,2)*0.49*327,0)</f>
        <v>1471</v>
      </c>
      <c r="EI10" s="557">
        <v>436</v>
      </c>
      <c r="EJ10" s="556">
        <f>ROUND(ROUND(10.8*0.85,2)*0.49*436,0)</f>
        <v>1961</v>
      </c>
      <c r="EK10" s="557">
        <v>480</v>
      </c>
      <c r="EL10" s="556">
        <f>ROUND(ROUND(10.8*0.85,2)*0.49*480,0)</f>
        <v>2159</v>
      </c>
      <c r="EM10" s="557">
        <v>473</v>
      </c>
      <c r="EN10" s="556">
        <f>ROUND(ROUND(10.8*0.85,2)*0.49*473,0)</f>
        <v>2128</v>
      </c>
      <c r="EO10" s="557">
        <v>403</v>
      </c>
      <c r="EP10" s="556">
        <f>ROUND(ROUND(10.8*0.85,2)*0.49*403,0)</f>
        <v>1813</v>
      </c>
      <c r="EQ10" s="557">
        <v>276</v>
      </c>
      <c r="ER10" s="556">
        <f>ROUND(ROUND(10.8*0.85,2)*0.49*276,0)</f>
        <v>1242</v>
      </c>
      <c r="ES10" s="557">
        <v>131</v>
      </c>
      <c r="ET10" s="556">
        <f>ROUND(ROUND(10.8*0.85,2)*0.49*131,0)</f>
        <v>589</v>
      </c>
      <c r="EU10" s="557">
        <v>0</v>
      </c>
      <c r="EV10" s="556">
        <f>ROUND(ROUND(10.8*0.85,2)*0.49*0,0)</f>
        <v>0</v>
      </c>
      <c r="EW10" s="557">
        <v>0</v>
      </c>
      <c r="EX10" s="556">
        <f>ROUND(ROUND(10.8*0.85,2)*0.49*0,0)</f>
        <v>0</v>
      </c>
      <c r="EY10" s="557">
        <v>0</v>
      </c>
      <c r="EZ10" s="556">
        <f>ROUND(ROUND(10.8*0.85,2)*0.49*0,0)</f>
        <v>0</v>
      </c>
      <c r="FA10" s="557">
        <v>0</v>
      </c>
      <c r="FB10" s="556">
        <f>ROUND(ROUND(10.8*0.85,2)*0.49*0,0)</f>
        <v>0</v>
      </c>
      <c r="FC10" s="557">
        <v>0</v>
      </c>
      <c r="FD10" s="556">
        <f>ROUND(ROUND(10.8*0.85,2)*0.49*0,0)</f>
        <v>0</v>
      </c>
      <c r="FE10" s="557">
        <v>0</v>
      </c>
      <c r="FF10" s="556">
        <f>ROUND(ROUND(10.8*0.85,2)*0.49*0,0)</f>
        <v>0</v>
      </c>
      <c r="FG10" s="557">
        <v>0</v>
      </c>
      <c r="FH10" s="558">
        <f>ROUND(ROUND(10.8*0.85,2)*0.49*0,0)</f>
        <v>0</v>
      </c>
      <c r="FI10" s="560"/>
      <c r="FJ10" s="561"/>
      <c r="FK10" s="550"/>
      <c r="FL10" s="551"/>
      <c r="FM10" s="552"/>
      <c r="FN10" s="550"/>
      <c r="FO10" s="551"/>
      <c r="FP10" s="562"/>
      <c r="FQ10" s="555"/>
      <c r="FR10" s="554" t="s">
        <v>308</v>
      </c>
      <c r="FS10" s="563"/>
      <c r="FT10" s="555"/>
      <c r="FU10" s="564" t="s">
        <v>308</v>
      </c>
      <c r="FV10" s="565" t="s">
        <v>309</v>
      </c>
      <c r="FW10" s="566"/>
      <c r="FX10" s="567" t="s">
        <v>310</v>
      </c>
      <c r="FY10" s="568"/>
      <c r="FZ10" s="569" t="s">
        <v>311</v>
      </c>
      <c r="GA10" s="570"/>
      <c r="GB10" s="571" t="s">
        <v>359</v>
      </c>
      <c r="GC10" s="572"/>
      <c r="GD10" s="573" t="s">
        <v>361</v>
      </c>
      <c r="GE10" s="574"/>
      <c r="GF10" s="496"/>
      <c r="GG10" s="545"/>
      <c r="GH10" s="545"/>
      <c r="GI10" s="545"/>
      <c r="GJ10" s="575"/>
      <c r="GK10" s="497"/>
      <c r="GL10" s="497"/>
      <c r="GM10" s="576"/>
      <c r="GN10" s="576"/>
      <c r="GO10" s="575"/>
      <c r="GP10" s="497"/>
      <c r="GQ10" s="497"/>
      <c r="GR10" s="497"/>
      <c r="GS10" s="497"/>
      <c r="GT10" s="497"/>
      <c r="GU10" s="497"/>
      <c r="GV10" s="497"/>
      <c r="GW10" s="576"/>
      <c r="GX10" s="576"/>
      <c r="GY10" s="576"/>
      <c r="GZ10" s="575"/>
      <c r="HA10" s="497"/>
      <c r="HB10" s="497"/>
      <c r="HC10" s="577"/>
      <c r="HD10" s="792"/>
      <c r="HE10" s="438"/>
      <c r="HF10" s="1447"/>
      <c r="HG10" s="1447"/>
    </row>
    <row r="11" spans="1:353" ht="20.100000000000001" customHeight="1">
      <c r="A11" s="549"/>
      <c r="B11" s="578"/>
      <c r="C11" s="579"/>
      <c r="D11" s="580"/>
      <c r="E11" s="578"/>
      <c r="F11" s="579"/>
      <c r="G11" s="581"/>
      <c r="H11" s="582"/>
      <c r="I11" s="583"/>
      <c r="J11" s="584"/>
      <c r="K11" s="585"/>
      <c r="L11" s="584"/>
      <c r="M11" s="585"/>
      <c r="N11" s="584"/>
      <c r="O11" s="585"/>
      <c r="P11" s="584"/>
      <c r="Q11" s="585"/>
      <c r="R11" s="584"/>
      <c r="S11" s="585"/>
      <c r="T11" s="584"/>
      <c r="U11" s="585"/>
      <c r="V11" s="584"/>
      <c r="W11" s="585"/>
      <c r="X11" s="584"/>
      <c r="Y11" s="585"/>
      <c r="Z11" s="584"/>
      <c r="AA11" s="585"/>
      <c r="AB11" s="584"/>
      <c r="AC11" s="585"/>
      <c r="AD11" s="584"/>
      <c r="AE11" s="585"/>
      <c r="AF11" s="584"/>
      <c r="AG11" s="585"/>
      <c r="AH11" s="584"/>
      <c r="AI11" s="585"/>
      <c r="AJ11" s="584"/>
      <c r="AK11" s="585"/>
      <c r="AL11" s="584"/>
      <c r="AM11" s="585"/>
      <c r="AN11" s="584"/>
      <c r="AO11" s="585"/>
      <c r="AP11" s="584"/>
      <c r="AQ11" s="585"/>
      <c r="AR11" s="584"/>
      <c r="AS11" s="585"/>
      <c r="AT11" s="584"/>
      <c r="AU11" s="585"/>
      <c r="AV11" s="584"/>
      <c r="AW11" s="585"/>
      <c r="AX11" s="584"/>
      <c r="AY11" s="585"/>
      <c r="AZ11" s="584"/>
      <c r="BA11" s="585"/>
      <c r="BB11" s="586"/>
      <c r="BC11" s="559"/>
      <c r="BD11" s="549"/>
      <c r="BE11" s="578"/>
      <c r="BF11" s="579"/>
      <c r="BG11" s="580"/>
      <c r="BH11" s="578"/>
      <c r="BI11" s="579"/>
      <c r="BJ11" s="581"/>
      <c r="BK11" s="582"/>
      <c r="BL11" s="583"/>
      <c r="BM11" s="584"/>
      <c r="BN11" s="585"/>
      <c r="BO11" s="584"/>
      <c r="BP11" s="585"/>
      <c r="BQ11" s="584"/>
      <c r="BR11" s="585"/>
      <c r="BS11" s="584"/>
      <c r="BT11" s="585"/>
      <c r="BU11" s="584"/>
      <c r="BV11" s="585"/>
      <c r="BW11" s="584"/>
      <c r="BX11" s="585"/>
      <c r="BY11" s="584"/>
      <c r="BZ11" s="585"/>
      <c r="CA11" s="584"/>
      <c r="CB11" s="585"/>
      <c r="CC11" s="584"/>
      <c r="CD11" s="585"/>
      <c r="CE11" s="584"/>
      <c r="CF11" s="585"/>
      <c r="CG11" s="584"/>
      <c r="CH11" s="585"/>
      <c r="CI11" s="584"/>
      <c r="CJ11" s="585"/>
      <c r="CK11" s="584"/>
      <c r="CL11" s="585"/>
      <c r="CM11" s="584"/>
      <c r="CN11" s="585"/>
      <c r="CO11" s="584"/>
      <c r="CP11" s="585"/>
      <c r="CQ11" s="584"/>
      <c r="CR11" s="585"/>
      <c r="CS11" s="584"/>
      <c r="CT11" s="585"/>
      <c r="CU11" s="584"/>
      <c r="CV11" s="585"/>
      <c r="CW11" s="584"/>
      <c r="CX11" s="585"/>
      <c r="CY11" s="584"/>
      <c r="CZ11" s="585"/>
      <c r="DA11" s="584"/>
      <c r="DB11" s="585"/>
      <c r="DC11" s="584"/>
      <c r="DD11" s="585"/>
      <c r="DE11" s="586"/>
      <c r="DF11" s="559"/>
      <c r="DG11" s="549"/>
      <c r="DH11" s="578"/>
      <c r="DI11" s="579"/>
      <c r="DJ11" s="580"/>
      <c r="DK11" s="578"/>
      <c r="DL11" s="579"/>
      <c r="DM11" s="581"/>
      <c r="DN11" s="582"/>
      <c r="DO11" s="583"/>
      <c r="DP11" s="584"/>
      <c r="DQ11" s="585"/>
      <c r="DR11" s="584"/>
      <c r="DS11" s="585"/>
      <c r="DT11" s="584"/>
      <c r="DU11" s="585"/>
      <c r="DV11" s="584"/>
      <c r="DW11" s="585"/>
      <c r="DX11" s="584"/>
      <c r="DY11" s="585"/>
      <c r="DZ11" s="584"/>
      <c r="EA11" s="585"/>
      <c r="EB11" s="584"/>
      <c r="EC11" s="585"/>
      <c r="ED11" s="584"/>
      <c r="EE11" s="585"/>
      <c r="EF11" s="584"/>
      <c r="EG11" s="585"/>
      <c r="EH11" s="584"/>
      <c r="EI11" s="585"/>
      <c r="EJ11" s="584"/>
      <c r="EK11" s="585"/>
      <c r="EL11" s="584"/>
      <c r="EM11" s="585"/>
      <c r="EN11" s="584"/>
      <c r="EO11" s="585"/>
      <c r="EP11" s="584"/>
      <c r="EQ11" s="585"/>
      <c r="ER11" s="584"/>
      <c r="ES11" s="585"/>
      <c r="ET11" s="584"/>
      <c r="EU11" s="585"/>
      <c r="EV11" s="584"/>
      <c r="EW11" s="585"/>
      <c r="EX11" s="584"/>
      <c r="EY11" s="585"/>
      <c r="EZ11" s="584"/>
      <c r="FA11" s="585"/>
      <c r="FB11" s="584"/>
      <c r="FC11" s="585"/>
      <c r="FD11" s="584"/>
      <c r="FE11" s="585"/>
      <c r="FF11" s="584"/>
      <c r="FG11" s="585"/>
      <c r="FH11" s="586"/>
      <c r="FI11" s="560"/>
      <c r="FJ11" s="561"/>
      <c r="FK11" s="578"/>
      <c r="FL11" s="579"/>
      <c r="FM11" s="580"/>
      <c r="FN11" s="578"/>
      <c r="FO11" s="579"/>
      <c r="FP11" s="587"/>
      <c r="FQ11" s="583"/>
      <c r="FR11" s="582" t="s">
        <v>308</v>
      </c>
      <c r="FS11" s="588"/>
      <c r="FT11" s="583"/>
      <c r="FU11" s="589" t="s">
        <v>308</v>
      </c>
      <c r="FV11" s="590"/>
      <c r="FW11" s="591"/>
      <c r="FX11" s="592"/>
      <c r="FY11" s="593"/>
      <c r="FZ11" s="594"/>
      <c r="GA11" s="595"/>
      <c r="GB11" s="596"/>
      <c r="GC11" s="597"/>
      <c r="GD11" s="596"/>
      <c r="GE11" s="598"/>
      <c r="GF11" s="496"/>
      <c r="GG11" s="599"/>
      <c r="GH11" s="599"/>
      <c r="GI11" s="599"/>
      <c r="GJ11" s="526"/>
      <c r="GK11" s="577" t="s">
        <v>451</v>
      </c>
      <c r="GL11" s="414"/>
      <c r="GM11" s="480"/>
      <c r="GN11" s="483"/>
      <c r="GO11" s="480"/>
      <c r="GP11" s="414"/>
      <c r="GQ11" s="526"/>
      <c r="GR11" s="526"/>
      <c r="GS11" s="526"/>
      <c r="GT11" s="545"/>
      <c r="GU11" s="577" t="s">
        <v>452</v>
      </c>
      <c r="GV11" s="414"/>
      <c r="GW11" s="480"/>
      <c r="GX11" s="483"/>
      <c r="GY11" s="480"/>
      <c r="GZ11" s="414"/>
      <c r="HA11" s="527"/>
      <c r="HB11" s="527"/>
      <c r="HC11" s="410"/>
      <c r="HD11" s="792"/>
      <c r="HE11" s="438"/>
      <c r="HF11" s="1447"/>
      <c r="HG11" s="1447"/>
    </row>
    <row r="12" spans="1:353" ht="20.100000000000001" customHeight="1">
      <c r="A12" s="549"/>
      <c r="B12" s="578"/>
      <c r="C12" s="579"/>
      <c r="D12" s="580"/>
      <c r="E12" s="578"/>
      <c r="F12" s="579"/>
      <c r="G12" s="581"/>
      <c r="H12" s="582"/>
      <c r="I12" s="583"/>
      <c r="J12" s="584"/>
      <c r="K12" s="585"/>
      <c r="L12" s="584"/>
      <c r="M12" s="585"/>
      <c r="N12" s="584"/>
      <c r="O12" s="585"/>
      <c r="P12" s="584"/>
      <c r="Q12" s="585"/>
      <c r="R12" s="584"/>
      <c r="S12" s="585"/>
      <c r="T12" s="584"/>
      <c r="U12" s="585"/>
      <c r="V12" s="584"/>
      <c r="W12" s="585"/>
      <c r="X12" s="584"/>
      <c r="Y12" s="585"/>
      <c r="Z12" s="584"/>
      <c r="AA12" s="585"/>
      <c r="AB12" s="584"/>
      <c r="AC12" s="585"/>
      <c r="AD12" s="584"/>
      <c r="AE12" s="585"/>
      <c r="AF12" s="584"/>
      <c r="AG12" s="585"/>
      <c r="AH12" s="584"/>
      <c r="AI12" s="585"/>
      <c r="AJ12" s="584"/>
      <c r="AK12" s="585"/>
      <c r="AL12" s="584"/>
      <c r="AM12" s="585"/>
      <c r="AN12" s="584"/>
      <c r="AO12" s="585"/>
      <c r="AP12" s="584"/>
      <c r="AQ12" s="585"/>
      <c r="AR12" s="584"/>
      <c r="AS12" s="585"/>
      <c r="AT12" s="584"/>
      <c r="AU12" s="585"/>
      <c r="AV12" s="584"/>
      <c r="AW12" s="585"/>
      <c r="AX12" s="584"/>
      <c r="AY12" s="585"/>
      <c r="AZ12" s="584"/>
      <c r="BA12" s="585"/>
      <c r="BB12" s="586"/>
      <c r="BC12" s="559"/>
      <c r="BD12" s="549"/>
      <c r="BE12" s="578"/>
      <c r="BF12" s="579"/>
      <c r="BG12" s="580"/>
      <c r="BH12" s="578"/>
      <c r="BI12" s="579"/>
      <c r="BJ12" s="581"/>
      <c r="BK12" s="582"/>
      <c r="BL12" s="583"/>
      <c r="BM12" s="584"/>
      <c r="BN12" s="585"/>
      <c r="BO12" s="584"/>
      <c r="BP12" s="585"/>
      <c r="BQ12" s="584"/>
      <c r="BR12" s="585"/>
      <c r="BS12" s="584"/>
      <c r="BT12" s="585"/>
      <c r="BU12" s="584"/>
      <c r="BV12" s="585"/>
      <c r="BW12" s="584"/>
      <c r="BX12" s="585"/>
      <c r="BY12" s="584"/>
      <c r="BZ12" s="585"/>
      <c r="CA12" s="584"/>
      <c r="CB12" s="585"/>
      <c r="CC12" s="584"/>
      <c r="CD12" s="585"/>
      <c r="CE12" s="584"/>
      <c r="CF12" s="585"/>
      <c r="CG12" s="584"/>
      <c r="CH12" s="585"/>
      <c r="CI12" s="584"/>
      <c r="CJ12" s="585"/>
      <c r="CK12" s="584"/>
      <c r="CL12" s="585"/>
      <c r="CM12" s="584"/>
      <c r="CN12" s="585"/>
      <c r="CO12" s="584"/>
      <c r="CP12" s="585"/>
      <c r="CQ12" s="584"/>
      <c r="CR12" s="585"/>
      <c r="CS12" s="584"/>
      <c r="CT12" s="585"/>
      <c r="CU12" s="584"/>
      <c r="CV12" s="585"/>
      <c r="CW12" s="584"/>
      <c r="CX12" s="585"/>
      <c r="CY12" s="584"/>
      <c r="CZ12" s="585"/>
      <c r="DA12" s="584"/>
      <c r="DB12" s="585"/>
      <c r="DC12" s="584"/>
      <c r="DD12" s="585"/>
      <c r="DE12" s="586"/>
      <c r="DF12" s="559"/>
      <c r="DG12" s="549"/>
      <c r="DH12" s="578"/>
      <c r="DI12" s="579"/>
      <c r="DJ12" s="580"/>
      <c r="DK12" s="578"/>
      <c r="DL12" s="579"/>
      <c r="DM12" s="581"/>
      <c r="DN12" s="582"/>
      <c r="DO12" s="583"/>
      <c r="DP12" s="584"/>
      <c r="DQ12" s="585"/>
      <c r="DR12" s="584"/>
      <c r="DS12" s="585"/>
      <c r="DT12" s="584"/>
      <c r="DU12" s="585"/>
      <c r="DV12" s="584"/>
      <c r="DW12" s="585"/>
      <c r="DX12" s="584"/>
      <c r="DY12" s="585"/>
      <c r="DZ12" s="584"/>
      <c r="EA12" s="585"/>
      <c r="EB12" s="584"/>
      <c r="EC12" s="585"/>
      <c r="ED12" s="584"/>
      <c r="EE12" s="585"/>
      <c r="EF12" s="584"/>
      <c r="EG12" s="585"/>
      <c r="EH12" s="584"/>
      <c r="EI12" s="585"/>
      <c r="EJ12" s="584"/>
      <c r="EK12" s="585"/>
      <c r="EL12" s="584"/>
      <c r="EM12" s="585"/>
      <c r="EN12" s="584"/>
      <c r="EO12" s="585"/>
      <c r="EP12" s="584"/>
      <c r="EQ12" s="585"/>
      <c r="ER12" s="584"/>
      <c r="ES12" s="585"/>
      <c r="ET12" s="584"/>
      <c r="EU12" s="585"/>
      <c r="EV12" s="584"/>
      <c r="EW12" s="585"/>
      <c r="EX12" s="584"/>
      <c r="EY12" s="585"/>
      <c r="EZ12" s="584"/>
      <c r="FA12" s="585"/>
      <c r="FB12" s="584"/>
      <c r="FC12" s="585"/>
      <c r="FD12" s="584"/>
      <c r="FE12" s="585"/>
      <c r="FF12" s="584"/>
      <c r="FG12" s="585"/>
      <c r="FH12" s="586"/>
      <c r="FI12" s="560"/>
      <c r="FJ12" s="561"/>
      <c r="FK12" s="578"/>
      <c r="FL12" s="579"/>
      <c r="FM12" s="580"/>
      <c r="FN12" s="578"/>
      <c r="FO12" s="579"/>
      <c r="FP12" s="587"/>
      <c r="FQ12" s="583"/>
      <c r="FR12" s="582" t="s">
        <v>308</v>
      </c>
      <c r="FS12" s="588"/>
      <c r="FT12" s="583"/>
      <c r="FU12" s="589" t="s">
        <v>308</v>
      </c>
      <c r="FV12" s="590"/>
      <c r="FW12" s="591"/>
      <c r="FX12" s="592"/>
      <c r="FY12" s="593"/>
      <c r="FZ12" s="594"/>
      <c r="GA12" s="595"/>
      <c r="GB12" s="596"/>
      <c r="GC12" s="597"/>
      <c r="GD12" s="596"/>
      <c r="GE12" s="598"/>
      <c r="GF12" s="496"/>
      <c r="GG12" s="599"/>
      <c r="GH12" s="599"/>
      <c r="GI12" s="599"/>
      <c r="GJ12" s="414"/>
      <c r="GK12" s="600" t="s">
        <v>370</v>
      </c>
      <c r="GL12" s="601"/>
      <c r="GM12" s="602" t="s">
        <v>453</v>
      </c>
      <c r="GN12" s="603" t="s">
        <v>454</v>
      </c>
      <c r="GO12" s="604" t="s">
        <v>455</v>
      </c>
      <c r="GP12" s="605" t="s">
        <v>456</v>
      </c>
      <c r="GQ12" s="604" t="s">
        <v>457</v>
      </c>
      <c r="GR12" s="604" t="s">
        <v>458</v>
      </c>
      <c r="GS12" s="606"/>
      <c r="GT12" s="545"/>
      <c r="GU12" s="600" t="s">
        <v>370</v>
      </c>
      <c r="GV12" s="601"/>
      <c r="GW12" s="602" t="s">
        <v>453</v>
      </c>
      <c r="GX12" s="607" t="s">
        <v>459</v>
      </c>
      <c r="GY12" s="608"/>
      <c r="GZ12" s="609" t="s">
        <v>455</v>
      </c>
      <c r="HA12" s="610" t="s">
        <v>460</v>
      </c>
      <c r="HB12" s="611"/>
      <c r="HC12" s="612"/>
      <c r="HD12" s="792"/>
      <c r="HE12" s="438"/>
      <c r="HF12" s="1447"/>
      <c r="HG12" s="1447"/>
    </row>
    <row r="13" spans="1:353" ht="20.100000000000001" customHeight="1">
      <c r="A13" s="549"/>
      <c r="B13" s="613"/>
      <c r="C13" s="614"/>
      <c r="D13" s="615"/>
      <c r="E13" s="613"/>
      <c r="F13" s="614"/>
      <c r="G13" s="616"/>
      <c r="H13" s="617"/>
      <c r="I13" s="618"/>
      <c r="J13" s="619"/>
      <c r="K13" s="620"/>
      <c r="L13" s="619"/>
      <c r="M13" s="620"/>
      <c r="N13" s="619"/>
      <c r="O13" s="620"/>
      <c r="P13" s="619"/>
      <c r="Q13" s="620"/>
      <c r="R13" s="619"/>
      <c r="S13" s="620"/>
      <c r="T13" s="619"/>
      <c r="U13" s="620"/>
      <c r="V13" s="619"/>
      <c r="W13" s="620"/>
      <c r="X13" s="619"/>
      <c r="Y13" s="620"/>
      <c r="Z13" s="619"/>
      <c r="AA13" s="620"/>
      <c r="AB13" s="619"/>
      <c r="AC13" s="620"/>
      <c r="AD13" s="619"/>
      <c r="AE13" s="620"/>
      <c r="AF13" s="619"/>
      <c r="AG13" s="620"/>
      <c r="AH13" s="619"/>
      <c r="AI13" s="620"/>
      <c r="AJ13" s="619"/>
      <c r="AK13" s="620"/>
      <c r="AL13" s="619"/>
      <c r="AM13" s="620"/>
      <c r="AN13" s="619"/>
      <c r="AO13" s="620"/>
      <c r="AP13" s="619"/>
      <c r="AQ13" s="620"/>
      <c r="AR13" s="619"/>
      <c r="AS13" s="620"/>
      <c r="AT13" s="619"/>
      <c r="AU13" s="620"/>
      <c r="AV13" s="619"/>
      <c r="AW13" s="620"/>
      <c r="AX13" s="619"/>
      <c r="AY13" s="620"/>
      <c r="AZ13" s="619"/>
      <c r="BA13" s="620"/>
      <c r="BB13" s="621"/>
      <c r="BC13" s="559"/>
      <c r="BD13" s="549"/>
      <c r="BE13" s="613"/>
      <c r="BF13" s="614"/>
      <c r="BG13" s="615"/>
      <c r="BH13" s="613"/>
      <c r="BI13" s="614"/>
      <c r="BJ13" s="616"/>
      <c r="BK13" s="617"/>
      <c r="BL13" s="618"/>
      <c r="BM13" s="619"/>
      <c r="BN13" s="620"/>
      <c r="BO13" s="619"/>
      <c r="BP13" s="620"/>
      <c r="BQ13" s="619"/>
      <c r="BR13" s="620"/>
      <c r="BS13" s="619"/>
      <c r="BT13" s="620"/>
      <c r="BU13" s="619"/>
      <c r="BV13" s="620"/>
      <c r="BW13" s="619"/>
      <c r="BX13" s="620"/>
      <c r="BY13" s="619"/>
      <c r="BZ13" s="620"/>
      <c r="CA13" s="619"/>
      <c r="CB13" s="620"/>
      <c r="CC13" s="619"/>
      <c r="CD13" s="620"/>
      <c r="CE13" s="619"/>
      <c r="CF13" s="620"/>
      <c r="CG13" s="619"/>
      <c r="CH13" s="620"/>
      <c r="CI13" s="619"/>
      <c r="CJ13" s="620"/>
      <c r="CK13" s="619"/>
      <c r="CL13" s="620"/>
      <c r="CM13" s="619"/>
      <c r="CN13" s="620"/>
      <c r="CO13" s="619"/>
      <c r="CP13" s="620"/>
      <c r="CQ13" s="619"/>
      <c r="CR13" s="620"/>
      <c r="CS13" s="619"/>
      <c r="CT13" s="620"/>
      <c r="CU13" s="619"/>
      <c r="CV13" s="620"/>
      <c r="CW13" s="619"/>
      <c r="CX13" s="620"/>
      <c r="CY13" s="619"/>
      <c r="CZ13" s="620"/>
      <c r="DA13" s="619"/>
      <c r="DB13" s="620"/>
      <c r="DC13" s="619"/>
      <c r="DD13" s="620"/>
      <c r="DE13" s="621"/>
      <c r="DF13" s="559"/>
      <c r="DG13" s="549"/>
      <c r="DH13" s="613"/>
      <c r="DI13" s="614"/>
      <c r="DJ13" s="615"/>
      <c r="DK13" s="613"/>
      <c r="DL13" s="614"/>
      <c r="DM13" s="616"/>
      <c r="DN13" s="617"/>
      <c r="DO13" s="618"/>
      <c r="DP13" s="619"/>
      <c r="DQ13" s="620"/>
      <c r="DR13" s="619"/>
      <c r="DS13" s="620"/>
      <c r="DT13" s="619"/>
      <c r="DU13" s="620"/>
      <c r="DV13" s="619"/>
      <c r="DW13" s="620"/>
      <c r="DX13" s="619"/>
      <c r="DY13" s="620"/>
      <c r="DZ13" s="619"/>
      <c r="EA13" s="620"/>
      <c r="EB13" s="619"/>
      <c r="EC13" s="620"/>
      <c r="ED13" s="619"/>
      <c r="EE13" s="620"/>
      <c r="EF13" s="619"/>
      <c r="EG13" s="620"/>
      <c r="EH13" s="619"/>
      <c r="EI13" s="620"/>
      <c r="EJ13" s="619"/>
      <c r="EK13" s="620"/>
      <c r="EL13" s="619"/>
      <c r="EM13" s="620"/>
      <c r="EN13" s="619"/>
      <c r="EO13" s="620"/>
      <c r="EP13" s="619"/>
      <c r="EQ13" s="620"/>
      <c r="ER13" s="619"/>
      <c r="ES13" s="620"/>
      <c r="ET13" s="619"/>
      <c r="EU13" s="620"/>
      <c r="EV13" s="619"/>
      <c r="EW13" s="620"/>
      <c r="EX13" s="619"/>
      <c r="EY13" s="620"/>
      <c r="EZ13" s="619"/>
      <c r="FA13" s="620"/>
      <c r="FB13" s="619"/>
      <c r="FC13" s="620"/>
      <c r="FD13" s="619"/>
      <c r="FE13" s="620"/>
      <c r="FF13" s="619"/>
      <c r="FG13" s="620"/>
      <c r="FH13" s="621"/>
      <c r="FI13" s="560"/>
      <c r="FJ13" s="561"/>
      <c r="FK13" s="613"/>
      <c r="FL13" s="614"/>
      <c r="FM13" s="615"/>
      <c r="FN13" s="613"/>
      <c r="FO13" s="614"/>
      <c r="FP13" s="622"/>
      <c r="FQ13" s="618"/>
      <c r="FR13" s="617" t="s">
        <v>312</v>
      </c>
      <c r="FS13" s="623"/>
      <c r="FT13" s="618"/>
      <c r="FU13" s="624" t="s">
        <v>308</v>
      </c>
      <c r="FV13" s="590"/>
      <c r="FW13" s="591"/>
      <c r="FX13" s="592"/>
      <c r="FY13" s="593"/>
      <c r="FZ13" s="594"/>
      <c r="GA13" s="595"/>
      <c r="GB13" s="596"/>
      <c r="GC13" s="597"/>
      <c r="GD13" s="596"/>
      <c r="GE13" s="598"/>
      <c r="GF13" s="496"/>
      <c r="GG13" s="599"/>
      <c r="GH13" s="599"/>
      <c r="GI13" s="599"/>
      <c r="GJ13" s="414"/>
      <c r="GK13" s="625">
        <v>201</v>
      </c>
      <c r="GL13" s="626"/>
      <c r="GM13" s="627" t="s">
        <v>461</v>
      </c>
      <c r="GN13" s="628">
        <v>10.8</v>
      </c>
      <c r="GO13" s="629">
        <v>0</v>
      </c>
      <c r="GP13" s="629">
        <v>1</v>
      </c>
      <c r="GQ13" s="630">
        <v>0</v>
      </c>
      <c r="GR13" s="631">
        <v>10.8</v>
      </c>
      <c r="GS13" s="575"/>
      <c r="GT13" s="414"/>
      <c r="GU13" s="625">
        <v>201</v>
      </c>
      <c r="GV13" s="626"/>
      <c r="GW13" s="632" t="s">
        <v>462</v>
      </c>
      <c r="GX13" s="633">
        <v>10.8</v>
      </c>
      <c r="GY13" s="634"/>
      <c r="GZ13" s="635">
        <v>0.65</v>
      </c>
      <c r="HA13" s="636">
        <v>7.02</v>
      </c>
      <c r="HB13" s="637"/>
      <c r="HC13" s="527"/>
      <c r="HD13" s="792"/>
      <c r="HE13" s="438"/>
      <c r="HF13" s="387"/>
      <c r="HG13" s="387"/>
    </row>
    <row r="14" spans="1:353" ht="20.100000000000001" customHeight="1">
      <c r="A14" s="638"/>
      <c r="B14" s="639"/>
      <c r="C14" s="639"/>
      <c r="D14" s="640" t="s">
        <v>313</v>
      </c>
      <c r="E14" s="639"/>
      <c r="F14" s="639"/>
      <c r="G14" s="641"/>
      <c r="H14" s="642">
        <f>SUM(H10:H13)</f>
        <v>0</v>
      </c>
      <c r="I14" s="643"/>
      <c r="J14" s="642">
        <f>SUM(J10:J13)</f>
        <v>0</v>
      </c>
      <c r="K14" s="643"/>
      <c r="L14" s="642">
        <f>SUM(L10:L13)</f>
        <v>0</v>
      </c>
      <c r="M14" s="643"/>
      <c r="N14" s="642">
        <f>SUM(N10:N13)</f>
        <v>0</v>
      </c>
      <c r="O14" s="643"/>
      <c r="P14" s="642">
        <f>SUM(P10:P13)</f>
        <v>0</v>
      </c>
      <c r="Q14" s="643"/>
      <c r="R14" s="642">
        <f>SUM(R10:R13)</f>
        <v>0</v>
      </c>
      <c r="S14" s="643"/>
      <c r="T14" s="642">
        <f>SUM(T10:T13)</f>
        <v>0</v>
      </c>
      <c r="U14" s="643"/>
      <c r="V14" s="642">
        <f>SUM(V10:V13)</f>
        <v>0</v>
      </c>
      <c r="W14" s="643"/>
      <c r="X14" s="642">
        <f>SUM(X10:X13)</f>
        <v>522</v>
      </c>
      <c r="Y14" s="643"/>
      <c r="Z14" s="642">
        <f>SUM(Z10:Z13)</f>
        <v>585</v>
      </c>
      <c r="AA14" s="643"/>
      <c r="AB14" s="642">
        <f>SUM(AB10:AB13)</f>
        <v>733</v>
      </c>
      <c r="AC14" s="643"/>
      <c r="AD14" s="642">
        <f>SUM(AD10:AD13)</f>
        <v>1030</v>
      </c>
      <c r="AE14" s="643"/>
      <c r="AF14" s="642">
        <f>SUM(AF10:AF13)</f>
        <v>1210</v>
      </c>
      <c r="AG14" s="643"/>
      <c r="AH14" s="642">
        <f>SUM(AH10:AH13)</f>
        <v>1201</v>
      </c>
      <c r="AI14" s="643"/>
      <c r="AJ14" s="642">
        <f>SUM(AJ10:AJ13)</f>
        <v>1008</v>
      </c>
      <c r="AK14" s="643"/>
      <c r="AL14" s="642">
        <f>SUM(AL10:AL13)</f>
        <v>702</v>
      </c>
      <c r="AM14" s="643"/>
      <c r="AN14" s="642">
        <f>SUM(AN10:AN13)</f>
        <v>378</v>
      </c>
      <c r="AO14" s="643"/>
      <c r="AP14" s="642">
        <f>SUM(AP10:AP13)</f>
        <v>72</v>
      </c>
      <c r="AQ14" s="643"/>
      <c r="AR14" s="642">
        <f>SUM(AR10:AR13)</f>
        <v>0</v>
      </c>
      <c r="AS14" s="643"/>
      <c r="AT14" s="642">
        <f>SUM(AT10:AT13)</f>
        <v>0</v>
      </c>
      <c r="AU14" s="643"/>
      <c r="AV14" s="642">
        <f>SUM(AV10:AV13)</f>
        <v>0</v>
      </c>
      <c r="AW14" s="643"/>
      <c r="AX14" s="642">
        <f>SUM(AX10:AX13)</f>
        <v>0</v>
      </c>
      <c r="AY14" s="643"/>
      <c r="AZ14" s="642">
        <f>SUM(AZ10:AZ13)</f>
        <v>0</v>
      </c>
      <c r="BA14" s="643"/>
      <c r="BB14" s="644">
        <f>SUM(BB10:BB13)</f>
        <v>0</v>
      </c>
      <c r="BC14" s="645"/>
      <c r="BD14" s="638"/>
      <c r="BE14" s="639"/>
      <c r="BF14" s="639"/>
      <c r="BG14" s="640" t="s">
        <v>313</v>
      </c>
      <c r="BH14" s="639"/>
      <c r="BI14" s="639"/>
      <c r="BJ14" s="641"/>
      <c r="BK14" s="642">
        <f>SUM(BK10:BK13)</f>
        <v>0</v>
      </c>
      <c r="BL14" s="643"/>
      <c r="BM14" s="642">
        <f>SUM(BM10:BM13)</f>
        <v>0</v>
      </c>
      <c r="BN14" s="643"/>
      <c r="BO14" s="642">
        <f>SUM(BO10:BO13)</f>
        <v>0</v>
      </c>
      <c r="BP14" s="643"/>
      <c r="BQ14" s="642">
        <f>SUM(BQ10:BQ13)</f>
        <v>0</v>
      </c>
      <c r="BR14" s="643"/>
      <c r="BS14" s="642">
        <f>SUM(BS10:BS13)</f>
        <v>0</v>
      </c>
      <c r="BT14" s="643"/>
      <c r="BU14" s="642">
        <f>SUM(BU10:BU13)</f>
        <v>0</v>
      </c>
      <c r="BV14" s="643"/>
      <c r="BW14" s="642">
        <f>SUM(BW10:BW13)</f>
        <v>0</v>
      </c>
      <c r="BX14" s="643"/>
      <c r="BY14" s="642">
        <f>SUM(BY10:BY13)</f>
        <v>0</v>
      </c>
      <c r="BZ14" s="643"/>
      <c r="CA14" s="642">
        <f>SUM(CA10:CA13)</f>
        <v>463</v>
      </c>
      <c r="CB14" s="643"/>
      <c r="CC14" s="642">
        <f>SUM(CC10:CC13)</f>
        <v>495</v>
      </c>
      <c r="CD14" s="643"/>
      <c r="CE14" s="642">
        <f>SUM(CE10:CE13)</f>
        <v>697</v>
      </c>
      <c r="CF14" s="643"/>
      <c r="CG14" s="642">
        <f>SUM(CG10:CG13)</f>
        <v>1143</v>
      </c>
      <c r="CH14" s="643"/>
      <c r="CI14" s="642">
        <f>SUM(CI10:CI13)</f>
        <v>1439</v>
      </c>
      <c r="CJ14" s="643"/>
      <c r="CK14" s="642">
        <f>SUM(CK10:CK13)</f>
        <v>1502</v>
      </c>
      <c r="CL14" s="643"/>
      <c r="CM14" s="642">
        <f>SUM(CM10:CM13)</f>
        <v>1354</v>
      </c>
      <c r="CN14" s="643"/>
      <c r="CO14" s="642">
        <f>SUM(CO10:CO13)</f>
        <v>999</v>
      </c>
      <c r="CP14" s="643"/>
      <c r="CQ14" s="642">
        <f>SUM(CQ10:CQ13)</f>
        <v>585</v>
      </c>
      <c r="CR14" s="643"/>
      <c r="CS14" s="642">
        <f>SUM(CS10:CS13)</f>
        <v>144</v>
      </c>
      <c r="CT14" s="643"/>
      <c r="CU14" s="642">
        <f>SUM(CU10:CU13)</f>
        <v>0</v>
      </c>
      <c r="CV14" s="643"/>
      <c r="CW14" s="642">
        <f>SUM(CW10:CW13)</f>
        <v>0</v>
      </c>
      <c r="CX14" s="643"/>
      <c r="CY14" s="642">
        <f>SUM(CY10:CY13)</f>
        <v>0</v>
      </c>
      <c r="CZ14" s="643"/>
      <c r="DA14" s="642">
        <f>SUM(DA10:DA13)</f>
        <v>0</v>
      </c>
      <c r="DB14" s="643"/>
      <c r="DC14" s="642">
        <f>SUM(DC10:DC13)</f>
        <v>0</v>
      </c>
      <c r="DD14" s="643"/>
      <c r="DE14" s="644">
        <f>SUM(DE10:DE13)</f>
        <v>0</v>
      </c>
      <c r="DF14" s="645"/>
      <c r="DG14" s="638"/>
      <c r="DH14" s="639"/>
      <c r="DI14" s="639"/>
      <c r="DJ14" s="640" t="s">
        <v>313</v>
      </c>
      <c r="DK14" s="639"/>
      <c r="DL14" s="639"/>
      <c r="DM14" s="641"/>
      <c r="DN14" s="642">
        <f>SUM(DN10:DN13)</f>
        <v>0</v>
      </c>
      <c r="DO14" s="643"/>
      <c r="DP14" s="642">
        <f>SUM(DP10:DP13)</f>
        <v>0</v>
      </c>
      <c r="DQ14" s="643"/>
      <c r="DR14" s="642">
        <f>SUM(DR10:DR13)</f>
        <v>0</v>
      </c>
      <c r="DS14" s="643"/>
      <c r="DT14" s="642">
        <f>SUM(DT10:DT13)</f>
        <v>0</v>
      </c>
      <c r="DU14" s="643"/>
      <c r="DV14" s="642">
        <f>SUM(DV10:DV13)</f>
        <v>0</v>
      </c>
      <c r="DW14" s="643"/>
      <c r="DX14" s="642">
        <f>SUM(DX10:DX13)</f>
        <v>0</v>
      </c>
      <c r="DY14" s="643"/>
      <c r="DZ14" s="642">
        <f>SUM(DZ10:DZ13)</f>
        <v>0</v>
      </c>
      <c r="EA14" s="643"/>
      <c r="EB14" s="642">
        <f>SUM(EB10:EB13)</f>
        <v>0</v>
      </c>
      <c r="EC14" s="643"/>
      <c r="ED14" s="642">
        <f>SUM(ED10:ED13)</f>
        <v>396</v>
      </c>
      <c r="EE14" s="643"/>
      <c r="EF14" s="642">
        <f>SUM(EF10:EF13)</f>
        <v>765</v>
      </c>
      <c r="EG14" s="643"/>
      <c r="EH14" s="642">
        <f>SUM(EH10:EH13)</f>
        <v>1471</v>
      </c>
      <c r="EI14" s="643"/>
      <c r="EJ14" s="642">
        <f>SUM(EJ10:EJ13)</f>
        <v>1961</v>
      </c>
      <c r="EK14" s="643"/>
      <c r="EL14" s="642">
        <f>SUM(EL10:EL13)</f>
        <v>2159</v>
      </c>
      <c r="EM14" s="643"/>
      <c r="EN14" s="642">
        <f>SUM(EN10:EN13)</f>
        <v>2128</v>
      </c>
      <c r="EO14" s="643"/>
      <c r="EP14" s="642">
        <f>SUM(EP10:EP13)</f>
        <v>1813</v>
      </c>
      <c r="EQ14" s="643"/>
      <c r="ER14" s="642">
        <f>SUM(ER10:ER13)</f>
        <v>1242</v>
      </c>
      <c r="ES14" s="643"/>
      <c r="ET14" s="642">
        <f>SUM(ET10:ET13)</f>
        <v>589</v>
      </c>
      <c r="EU14" s="643"/>
      <c r="EV14" s="642">
        <f>SUM(EV10:EV13)</f>
        <v>0</v>
      </c>
      <c r="EW14" s="643"/>
      <c r="EX14" s="642">
        <f>SUM(EX10:EX13)</f>
        <v>0</v>
      </c>
      <c r="EY14" s="643"/>
      <c r="EZ14" s="642">
        <f>SUM(EZ10:EZ13)</f>
        <v>0</v>
      </c>
      <c r="FA14" s="643"/>
      <c r="FB14" s="642">
        <f>SUM(FB10:FB13)</f>
        <v>0</v>
      </c>
      <c r="FC14" s="643"/>
      <c r="FD14" s="642">
        <f>SUM(FD10:FD13)</f>
        <v>0</v>
      </c>
      <c r="FE14" s="643"/>
      <c r="FF14" s="642">
        <f>SUM(FF10:FF13)</f>
        <v>0</v>
      </c>
      <c r="FG14" s="643"/>
      <c r="FH14" s="644">
        <f>SUM(FH10:FH13)</f>
        <v>0</v>
      </c>
      <c r="FI14" s="646"/>
      <c r="FJ14" s="561"/>
      <c r="FK14" s="639"/>
      <c r="FL14" s="639"/>
      <c r="FM14" s="640" t="s">
        <v>313</v>
      </c>
      <c r="FN14" s="639"/>
      <c r="FO14" s="639"/>
      <c r="FP14" s="647"/>
      <c r="FQ14" s="648"/>
      <c r="FR14" s="642">
        <f>SUM(FR10:FR13)</f>
        <v>0</v>
      </c>
      <c r="FS14" s="649"/>
      <c r="FT14" s="648"/>
      <c r="FU14" s="650">
        <f>SUM(FU10:FU13)</f>
        <v>0</v>
      </c>
      <c r="FV14" s="590"/>
      <c r="FW14" s="591"/>
      <c r="FX14" s="592"/>
      <c r="FY14" s="593"/>
      <c r="FZ14" s="594"/>
      <c r="GA14" s="595"/>
      <c r="GB14" s="596"/>
      <c r="GC14" s="597"/>
      <c r="GD14" s="596"/>
      <c r="GE14" s="598"/>
      <c r="GF14" s="651"/>
      <c r="GG14" s="652"/>
      <c r="GH14" s="652"/>
      <c r="GI14" s="652"/>
      <c r="GJ14" s="612"/>
      <c r="GK14" s="625"/>
      <c r="GL14" s="626"/>
      <c r="GM14" s="627"/>
      <c r="GN14" s="628"/>
      <c r="GO14" s="629"/>
      <c r="GP14" s="653"/>
      <c r="GQ14" s="630">
        <v>0</v>
      </c>
      <c r="GR14" s="631">
        <v>0</v>
      </c>
      <c r="GS14" s="612"/>
      <c r="GT14" s="654"/>
      <c r="GU14" s="625"/>
      <c r="GV14" s="626"/>
      <c r="GW14" s="632"/>
      <c r="GX14" s="633"/>
      <c r="GY14" s="634"/>
      <c r="GZ14" s="635"/>
      <c r="HA14" s="636">
        <v>0</v>
      </c>
      <c r="HB14" s="637"/>
      <c r="HC14" s="527"/>
      <c r="HD14" s="1446"/>
      <c r="HE14" s="416"/>
      <c r="HF14" s="416"/>
      <c r="HG14" s="416"/>
    </row>
    <row r="15" spans="1:353" ht="24" customHeight="1">
      <c r="A15" s="529" t="s">
        <v>314</v>
      </c>
      <c r="B15" s="655" t="s">
        <v>299</v>
      </c>
      <c r="C15" s="656" t="s">
        <v>300</v>
      </c>
      <c r="D15" s="657" t="s">
        <v>301</v>
      </c>
      <c r="E15" s="657" t="s">
        <v>315</v>
      </c>
      <c r="F15" s="658" t="s">
        <v>112</v>
      </c>
      <c r="G15" s="659" t="s">
        <v>316</v>
      </c>
      <c r="H15" s="660" t="s">
        <v>317</v>
      </c>
      <c r="I15" s="661" t="s">
        <v>318</v>
      </c>
      <c r="J15" s="660" t="s">
        <v>317</v>
      </c>
      <c r="K15" s="661" t="s">
        <v>318</v>
      </c>
      <c r="L15" s="660" t="s">
        <v>317</v>
      </c>
      <c r="M15" s="661" t="s">
        <v>318</v>
      </c>
      <c r="N15" s="660" t="s">
        <v>317</v>
      </c>
      <c r="O15" s="661" t="s">
        <v>318</v>
      </c>
      <c r="P15" s="660" t="s">
        <v>317</v>
      </c>
      <c r="Q15" s="661" t="s">
        <v>318</v>
      </c>
      <c r="R15" s="660" t="s">
        <v>317</v>
      </c>
      <c r="S15" s="661" t="s">
        <v>318</v>
      </c>
      <c r="T15" s="660" t="s">
        <v>317</v>
      </c>
      <c r="U15" s="661" t="s">
        <v>318</v>
      </c>
      <c r="V15" s="660" t="s">
        <v>317</v>
      </c>
      <c r="W15" s="661" t="s">
        <v>318</v>
      </c>
      <c r="X15" s="660" t="s">
        <v>317</v>
      </c>
      <c r="Y15" s="661" t="s">
        <v>318</v>
      </c>
      <c r="Z15" s="660" t="s">
        <v>317</v>
      </c>
      <c r="AA15" s="661" t="s">
        <v>318</v>
      </c>
      <c r="AB15" s="660" t="s">
        <v>317</v>
      </c>
      <c r="AC15" s="661" t="s">
        <v>318</v>
      </c>
      <c r="AD15" s="660" t="s">
        <v>317</v>
      </c>
      <c r="AE15" s="661" t="s">
        <v>318</v>
      </c>
      <c r="AF15" s="660" t="s">
        <v>317</v>
      </c>
      <c r="AG15" s="661" t="s">
        <v>318</v>
      </c>
      <c r="AH15" s="660" t="s">
        <v>317</v>
      </c>
      <c r="AI15" s="661" t="s">
        <v>318</v>
      </c>
      <c r="AJ15" s="660" t="s">
        <v>317</v>
      </c>
      <c r="AK15" s="661" t="s">
        <v>318</v>
      </c>
      <c r="AL15" s="660" t="s">
        <v>317</v>
      </c>
      <c r="AM15" s="661" t="s">
        <v>318</v>
      </c>
      <c r="AN15" s="660" t="s">
        <v>317</v>
      </c>
      <c r="AO15" s="661" t="s">
        <v>318</v>
      </c>
      <c r="AP15" s="660" t="s">
        <v>317</v>
      </c>
      <c r="AQ15" s="661" t="s">
        <v>318</v>
      </c>
      <c r="AR15" s="660" t="s">
        <v>317</v>
      </c>
      <c r="AS15" s="661" t="s">
        <v>318</v>
      </c>
      <c r="AT15" s="660" t="s">
        <v>317</v>
      </c>
      <c r="AU15" s="661" t="s">
        <v>318</v>
      </c>
      <c r="AV15" s="660" t="s">
        <v>317</v>
      </c>
      <c r="AW15" s="661" t="s">
        <v>318</v>
      </c>
      <c r="AX15" s="660" t="s">
        <v>317</v>
      </c>
      <c r="AY15" s="661" t="s">
        <v>318</v>
      </c>
      <c r="AZ15" s="660" t="s">
        <v>317</v>
      </c>
      <c r="BA15" s="661" t="s">
        <v>318</v>
      </c>
      <c r="BB15" s="662" t="s">
        <v>319</v>
      </c>
      <c r="BC15" s="663"/>
      <c r="BD15" s="529" t="s">
        <v>314</v>
      </c>
      <c r="BE15" s="655" t="s">
        <v>299</v>
      </c>
      <c r="BF15" s="656" t="s">
        <v>300</v>
      </c>
      <c r="BG15" s="657" t="s">
        <v>301</v>
      </c>
      <c r="BH15" s="657" t="s">
        <v>315</v>
      </c>
      <c r="BI15" s="658" t="s">
        <v>112</v>
      </c>
      <c r="BJ15" s="659" t="s">
        <v>316</v>
      </c>
      <c r="BK15" s="660" t="s">
        <v>317</v>
      </c>
      <c r="BL15" s="661" t="s">
        <v>318</v>
      </c>
      <c r="BM15" s="660" t="s">
        <v>317</v>
      </c>
      <c r="BN15" s="661" t="s">
        <v>318</v>
      </c>
      <c r="BO15" s="660" t="s">
        <v>317</v>
      </c>
      <c r="BP15" s="661" t="s">
        <v>318</v>
      </c>
      <c r="BQ15" s="660" t="s">
        <v>317</v>
      </c>
      <c r="BR15" s="661" t="s">
        <v>318</v>
      </c>
      <c r="BS15" s="660" t="s">
        <v>317</v>
      </c>
      <c r="BT15" s="661" t="s">
        <v>318</v>
      </c>
      <c r="BU15" s="660" t="s">
        <v>317</v>
      </c>
      <c r="BV15" s="661" t="s">
        <v>318</v>
      </c>
      <c r="BW15" s="660" t="s">
        <v>317</v>
      </c>
      <c r="BX15" s="661" t="s">
        <v>318</v>
      </c>
      <c r="BY15" s="660" t="s">
        <v>317</v>
      </c>
      <c r="BZ15" s="661" t="s">
        <v>318</v>
      </c>
      <c r="CA15" s="660" t="s">
        <v>317</v>
      </c>
      <c r="CB15" s="661" t="s">
        <v>318</v>
      </c>
      <c r="CC15" s="660" t="s">
        <v>317</v>
      </c>
      <c r="CD15" s="661" t="s">
        <v>318</v>
      </c>
      <c r="CE15" s="660" t="s">
        <v>317</v>
      </c>
      <c r="CF15" s="661" t="s">
        <v>318</v>
      </c>
      <c r="CG15" s="660" t="s">
        <v>317</v>
      </c>
      <c r="CH15" s="661" t="s">
        <v>318</v>
      </c>
      <c r="CI15" s="660" t="s">
        <v>317</v>
      </c>
      <c r="CJ15" s="661" t="s">
        <v>318</v>
      </c>
      <c r="CK15" s="660" t="s">
        <v>317</v>
      </c>
      <c r="CL15" s="661" t="s">
        <v>318</v>
      </c>
      <c r="CM15" s="660" t="s">
        <v>317</v>
      </c>
      <c r="CN15" s="661" t="s">
        <v>318</v>
      </c>
      <c r="CO15" s="660" t="s">
        <v>317</v>
      </c>
      <c r="CP15" s="661" t="s">
        <v>318</v>
      </c>
      <c r="CQ15" s="660" t="s">
        <v>317</v>
      </c>
      <c r="CR15" s="661" t="s">
        <v>318</v>
      </c>
      <c r="CS15" s="660" t="s">
        <v>317</v>
      </c>
      <c r="CT15" s="661" t="s">
        <v>318</v>
      </c>
      <c r="CU15" s="660" t="s">
        <v>317</v>
      </c>
      <c r="CV15" s="661" t="s">
        <v>318</v>
      </c>
      <c r="CW15" s="660" t="s">
        <v>317</v>
      </c>
      <c r="CX15" s="661" t="s">
        <v>318</v>
      </c>
      <c r="CY15" s="660" t="s">
        <v>317</v>
      </c>
      <c r="CZ15" s="661" t="s">
        <v>318</v>
      </c>
      <c r="DA15" s="660" t="s">
        <v>317</v>
      </c>
      <c r="DB15" s="661" t="s">
        <v>318</v>
      </c>
      <c r="DC15" s="660" t="s">
        <v>317</v>
      </c>
      <c r="DD15" s="661" t="s">
        <v>318</v>
      </c>
      <c r="DE15" s="662" t="s">
        <v>319</v>
      </c>
      <c r="DF15" s="663"/>
      <c r="DG15" s="529" t="s">
        <v>314</v>
      </c>
      <c r="DH15" s="655" t="s">
        <v>299</v>
      </c>
      <c r="DI15" s="656" t="s">
        <v>300</v>
      </c>
      <c r="DJ15" s="657" t="s">
        <v>301</v>
      </c>
      <c r="DK15" s="657" t="s">
        <v>315</v>
      </c>
      <c r="DL15" s="658" t="s">
        <v>112</v>
      </c>
      <c r="DM15" s="659" t="s">
        <v>316</v>
      </c>
      <c r="DN15" s="660" t="s">
        <v>317</v>
      </c>
      <c r="DO15" s="661" t="s">
        <v>318</v>
      </c>
      <c r="DP15" s="660" t="s">
        <v>317</v>
      </c>
      <c r="DQ15" s="661" t="s">
        <v>318</v>
      </c>
      <c r="DR15" s="660" t="s">
        <v>317</v>
      </c>
      <c r="DS15" s="661" t="s">
        <v>318</v>
      </c>
      <c r="DT15" s="660" t="s">
        <v>317</v>
      </c>
      <c r="DU15" s="661" t="s">
        <v>318</v>
      </c>
      <c r="DV15" s="660" t="s">
        <v>317</v>
      </c>
      <c r="DW15" s="661" t="s">
        <v>318</v>
      </c>
      <c r="DX15" s="660" t="s">
        <v>317</v>
      </c>
      <c r="DY15" s="661" t="s">
        <v>318</v>
      </c>
      <c r="DZ15" s="660" t="s">
        <v>317</v>
      </c>
      <c r="EA15" s="661" t="s">
        <v>318</v>
      </c>
      <c r="EB15" s="660" t="s">
        <v>317</v>
      </c>
      <c r="EC15" s="661" t="s">
        <v>318</v>
      </c>
      <c r="ED15" s="660" t="s">
        <v>317</v>
      </c>
      <c r="EE15" s="661" t="s">
        <v>318</v>
      </c>
      <c r="EF15" s="660" t="s">
        <v>317</v>
      </c>
      <c r="EG15" s="661" t="s">
        <v>318</v>
      </c>
      <c r="EH15" s="660" t="s">
        <v>317</v>
      </c>
      <c r="EI15" s="661" t="s">
        <v>318</v>
      </c>
      <c r="EJ15" s="660" t="s">
        <v>317</v>
      </c>
      <c r="EK15" s="661" t="s">
        <v>318</v>
      </c>
      <c r="EL15" s="660" t="s">
        <v>317</v>
      </c>
      <c r="EM15" s="661" t="s">
        <v>318</v>
      </c>
      <c r="EN15" s="660" t="s">
        <v>317</v>
      </c>
      <c r="EO15" s="661" t="s">
        <v>318</v>
      </c>
      <c r="EP15" s="660" t="s">
        <v>317</v>
      </c>
      <c r="EQ15" s="661" t="s">
        <v>318</v>
      </c>
      <c r="ER15" s="660" t="s">
        <v>317</v>
      </c>
      <c r="ES15" s="661" t="s">
        <v>318</v>
      </c>
      <c r="ET15" s="660" t="s">
        <v>317</v>
      </c>
      <c r="EU15" s="661" t="s">
        <v>318</v>
      </c>
      <c r="EV15" s="660" t="s">
        <v>317</v>
      </c>
      <c r="EW15" s="661" t="s">
        <v>318</v>
      </c>
      <c r="EX15" s="660" t="s">
        <v>317</v>
      </c>
      <c r="EY15" s="661" t="s">
        <v>318</v>
      </c>
      <c r="EZ15" s="660" t="s">
        <v>317</v>
      </c>
      <c r="FA15" s="661" t="s">
        <v>318</v>
      </c>
      <c r="FB15" s="660" t="s">
        <v>317</v>
      </c>
      <c r="FC15" s="661" t="s">
        <v>318</v>
      </c>
      <c r="FD15" s="660" t="s">
        <v>317</v>
      </c>
      <c r="FE15" s="661" t="s">
        <v>318</v>
      </c>
      <c r="FF15" s="660" t="s">
        <v>317</v>
      </c>
      <c r="FG15" s="661" t="s">
        <v>318</v>
      </c>
      <c r="FH15" s="662" t="s">
        <v>319</v>
      </c>
      <c r="FI15" s="664"/>
      <c r="FJ15" s="539" t="s">
        <v>314</v>
      </c>
      <c r="FK15" s="655" t="s">
        <v>299</v>
      </c>
      <c r="FL15" s="656" t="s">
        <v>300</v>
      </c>
      <c r="FM15" s="657" t="s">
        <v>301</v>
      </c>
      <c r="FN15" s="657" t="s">
        <v>315</v>
      </c>
      <c r="FO15" s="658" t="s">
        <v>112</v>
      </c>
      <c r="FP15" s="665" t="s">
        <v>45</v>
      </c>
      <c r="FQ15" s="666" t="s">
        <v>318</v>
      </c>
      <c r="FR15" s="660" t="s">
        <v>319</v>
      </c>
      <c r="FS15" s="667" t="s">
        <v>45</v>
      </c>
      <c r="FT15" s="666" t="s">
        <v>318</v>
      </c>
      <c r="FU15" s="668" t="s">
        <v>319</v>
      </c>
      <c r="FV15" s="590"/>
      <c r="FW15" s="591"/>
      <c r="FX15" s="592"/>
      <c r="FY15" s="593"/>
      <c r="FZ15" s="594"/>
      <c r="GA15" s="595"/>
      <c r="GB15" s="596"/>
      <c r="GC15" s="597"/>
      <c r="GD15" s="596"/>
      <c r="GE15" s="598"/>
      <c r="GF15" s="669"/>
      <c r="GG15" s="670"/>
      <c r="GH15" s="670"/>
      <c r="GI15" s="670"/>
      <c r="GJ15" s="526"/>
      <c r="GK15" s="625"/>
      <c r="GL15" s="626"/>
      <c r="GM15" s="627"/>
      <c r="GN15" s="628"/>
      <c r="GO15" s="629"/>
      <c r="GP15" s="653"/>
      <c r="GQ15" s="630">
        <v>0</v>
      </c>
      <c r="GR15" s="631">
        <v>0</v>
      </c>
      <c r="GS15" s="526"/>
      <c r="GT15" s="670"/>
      <c r="GU15" s="625"/>
      <c r="GV15" s="626"/>
      <c r="GW15" s="632"/>
      <c r="GX15" s="633"/>
      <c r="GY15" s="634"/>
      <c r="GZ15" s="635"/>
      <c r="HA15" s="636">
        <v>0</v>
      </c>
      <c r="HB15" s="637"/>
      <c r="HC15" s="671"/>
      <c r="HD15" s="663"/>
      <c r="HE15" s="416"/>
      <c r="HF15" s="416"/>
      <c r="HG15" s="416"/>
    </row>
    <row r="16" spans="1:353" ht="20.100000000000001" customHeight="1">
      <c r="A16" s="549"/>
      <c r="B16" s="551" t="s">
        <v>227</v>
      </c>
      <c r="C16" s="672" t="s">
        <v>73</v>
      </c>
      <c r="D16" s="552">
        <v>25.74</v>
      </c>
      <c r="E16" s="673">
        <v>0.6</v>
      </c>
      <c r="F16" s="674"/>
      <c r="G16" s="675">
        <v>0</v>
      </c>
      <c r="H16" s="556">
        <f>ROUND(25.74*0.6*0,0)</f>
        <v>0</v>
      </c>
      <c r="I16" s="676">
        <v>0</v>
      </c>
      <c r="J16" s="556">
        <f>ROUND(25.74*0.6*0,0)</f>
        <v>0</v>
      </c>
      <c r="K16" s="676">
        <v>0</v>
      </c>
      <c r="L16" s="556">
        <f>ROUND(25.74*0.6*0,0)</f>
        <v>0</v>
      </c>
      <c r="M16" s="676">
        <v>0</v>
      </c>
      <c r="N16" s="556">
        <f>ROUND(25.74*0.6*0,0)</f>
        <v>0</v>
      </c>
      <c r="O16" s="676">
        <v>0</v>
      </c>
      <c r="P16" s="556">
        <f>ROUND(25.74*0.6*0,0)</f>
        <v>0</v>
      </c>
      <c r="Q16" s="676">
        <v>0</v>
      </c>
      <c r="R16" s="556">
        <f>ROUND(25.74*0.6*0,0)</f>
        <v>0</v>
      </c>
      <c r="S16" s="676">
        <v>0</v>
      </c>
      <c r="T16" s="556">
        <f>ROUND(25.74*0.6*0,0)</f>
        <v>0</v>
      </c>
      <c r="U16" s="676">
        <v>0</v>
      </c>
      <c r="V16" s="556">
        <f>ROUND(25.74*0.6*0,0)</f>
        <v>0</v>
      </c>
      <c r="W16" s="676">
        <v>5.0999999999999996</v>
      </c>
      <c r="X16" s="556">
        <f>ROUND(25.74*0.6*5.1,0)</f>
        <v>79</v>
      </c>
      <c r="Y16" s="676">
        <v>6.9</v>
      </c>
      <c r="Z16" s="556">
        <f>ROUND(25.74*0.6*6.9,0)</f>
        <v>107</v>
      </c>
      <c r="AA16" s="676">
        <v>9.1</v>
      </c>
      <c r="AB16" s="556">
        <f>ROUND(25.74*0.6*9.1,0)</f>
        <v>141</v>
      </c>
      <c r="AC16" s="676">
        <v>11.5</v>
      </c>
      <c r="AD16" s="556">
        <f>ROUND(25.74*0.6*11.5,0)</f>
        <v>178</v>
      </c>
      <c r="AE16" s="676">
        <v>13.7</v>
      </c>
      <c r="AF16" s="556">
        <f>ROUND(25.74*0.6*13.7,0)</f>
        <v>212</v>
      </c>
      <c r="AG16" s="676">
        <v>15.5</v>
      </c>
      <c r="AH16" s="556">
        <f>ROUND(25.74*0.6*15.5,0)</f>
        <v>239</v>
      </c>
      <c r="AI16" s="676">
        <v>16.3</v>
      </c>
      <c r="AJ16" s="556">
        <f>ROUND(25.74*0.6*16.3,0)</f>
        <v>252</v>
      </c>
      <c r="AK16" s="676">
        <v>16</v>
      </c>
      <c r="AL16" s="556">
        <f>ROUND(25.74*0.6*16,0)</f>
        <v>247</v>
      </c>
      <c r="AM16" s="676">
        <v>14.7</v>
      </c>
      <c r="AN16" s="556">
        <f>ROUND(25.74*0.6*14.7,0)</f>
        <v>227</v>
      </c>
      <c r="AO16" s="676">
        <v>12.6</v>
      </c>
      <c r="AP16" s="556">
        <f>ROUND(25.74*0.6*12.6,0)</f>
        <v>195</v>
      </c>
      <c r="AQ16" s="676">
        <v>0</v>
      </c>
      <c r="AR16" s="556">
        <f>ROUND(25.74*0.6*0,0)</f>
        <v>0</v>
      </c>
      <c r="AS16" s="676">
        <v>0</v>
      </c>
      <c r="AT16" s="556">
        <f>ROUND(25.74*0.6*0,0)</f>
        <v>0</v>
      </c>
      <c r="AU16" s="676">
        <v>0</v>
      </c>
      <c r="AV16" s="556">
        <f>ROUND(25.74*0.6*0,0)</f>
        <v>0</v>
      </c>
      <c r="AW16" s="676">
        <v>0</v>
      </c>
      <c r="AX16" s="556">
        <f>ROUND(25.74*0.6*0,0)</f>
        <v>0</v>
      </c>
      <c r="AY16" s="676">
        <v>0</v>
      </c>
      <c r="AZ16" s="556">
        <f>ROUND(25.74*0.6*0,0)</f>
        <v>0</v>
      </c>
      <c r="BA16" s="676">
        <v>0</v>
      </c>
      <c r="BB16" s="677">
        <f>ROUND(25.74*0.6*0,0)</f>
        <v>0</v>
      </c>
      <c r="BC16" s="559"/>
      <c r="BD16" s="549"/>
      <c r="BE16" s="551" t="s">
        <v>227</v>
      </c>
      <c r="BF16" s="672" t="s">
        <v>73</v>
      </c>
      <c r="BG16" s="552">
        <v>25.74</v>
      </c>
      <c r="BH16" s="673">
        <v>0.6</v>
      </c>
      <c r="BI16" s="674"/>
      <c r="BJ16" s="675">
        <v>0</v>
      </c>
      <c r="BK16" s="556">
        <f>ROUND(25.74*0.6*0,0)</f>
        <v>0</v>
      </c>
      <c r="BL16" s="676">
        <v>0</v>
      </c>
      <c r="BM16" s="556">
        <f>ROUND(25.74*0.6*0,0)</f>
        <v>0</v>
      </c>
      <c r="BN16" s="676">
        <v>0</v>
      </c>
      <c r="BO16" s="556">
        <f>ROUND(25.74*0.6*0,0)</f>
        <v>0</v>
      </c>
      <c r="BP16" s="676">
        <v>0</v>
      </c>
      <c r="BQ16" s="556">
        <f>ROUND(25.74*0.6*0,0)</f>
        <v>0</v>
      </c>
      <c r="BR16" s="676">
        <v>0</v>
      </c>
      <c r="BS16" s="556">
        <f>ROUND(25.74*0.6*0,0)</f>
        <v>0</v>
      </c>
      <c r="BT16" s="676">
        <v>0</v>
      </c>
      <c r="BU16" s="556">
        <f>ROUND(25.74*0.6*0,0)</f>
        <v>0</v>
      </c>
      <c r="BV16" s="676">
        <v>0</v>
      </c>
      <c r="BW16" s="556">
        <f>ROUND(25.74*0.6*0,0)</f>
        <v>0</v>
      </c>
      <c r="BX16" s="676">
        <v>0</v>
      </c>
      <c r="BY16" s="556">
        <f>ROUND(25.74*0.6*0,0)</f>
        <v>0</v>
      </c>
      <c r="BZ16" s="676">
        <v>4.5999999999999996</v>
      </c>
      <c r="CA16" s="556">
        <f>ROUND(25.74*0.6*4.6,0)</f>
        <v>71</v>
      </c>
      <c r="CB16" s="676">
        <v>6.4</v>
      </c>
      <c r="CC16" s="556">
        <f>ROUND(25.74*0.6*6.4,0)</f>
        <v>99</v>
      </c>
      <c r="CD16" s="676">
        <v>8.6999999999999993</v>
      </c>
      <c r="CE16" s="556">
        <f>ROUND(25.74*0.6*8.7,0)</f>
        <v>134</v>
      </c>
      <c r="CF16" s="676">
        <v>11.5</v>
      </c>
      <c r="CG16" s="556">
        <f>ROUND(25.74*0.6*11.5,0)</f>
        <v>178</v>
      </c>
      <c r="CH16" s="676">
        <v>14.2</v>
      </c>
      <c r="CI16" s="556">
        <f>ROUND(25.74*0.6*14.2,0)</f>
        <v>219</v>
      </c>
      <c r="CJ16" s="676">
        <v>16.5</v>
      </c>
      <c r="CK16" s="556">
        <f>ROUND(25.74*0.6*16.5,0)</f>
        <v>255</v>
      </c>
      <c r="CL16" s="676">
        <v>17.7</v>
      </c>
      <c r="CM16" s="556">
        <f>ROUND(25.74*0.6*17.7,0)</f>
        <v>273</v>
      </c>
      <c r="CN16" s="676">
        <v>17.8</v>
      </c>
      <c r="CO16" s="556">
        <f>ROUND(25.74*0.6*17.8,0)</f>
        <v>275</v>
      </c>
      <c r="CP16" s="676">
        <v>16.600000000000001</v>
      </c>
      <c r="CQ16" s="556">
        <f>ROUND(25.74*0.6*16.6,0)</f>
        <v>256</v>
      </c>
      <c r="CR16" s="676">
        <v>14.4</v>
      </c>
      <c r="CS16" s="556">
        <f>ROUND(25.74*0.6*14.4,0)</f>
        <v>222</v>
      </c>
      <c r="CT16" s="676">
        <v>0</v>
      </c>
      <c r="CU16" s="556">
        <f>ROUND(25.74*0.6*0,0)</f>
        <v>0</v>
      </c>
      <c r="CV16" s="676">
        <v>0</v>
      </c>
      <c r="CW16" s="556">
        <f>ROUND(25.74*0.6*0,0)</f>
        <v>0</v>
      </c>
      <c r="CX16" s="676">
        <v>0</v>
      </c>
      <c r="CY16" s="556">
        <f>ROUND(25.74*0.6*0,0)</f>
        <v>0</v>
      </c>
      <c r="CZ16" s="676">
        <v>0</v>
      </c>
      <c r="DA16" s="556">
        <f>ROUND(25.74*0.6*0,0)</f>
        <v>0</v>
      </c>
      <c r="DB16" s="676">
        <v>0</v>
      </c>
      <c r="DC16" s="556">
        <f>ROUND(25.74*0.6*0,0)</f>
        <v>0</v>
      </c>
      <c r="DD16" s="676">
        <v>0</v>
      </c>
      <c r="DE16" s="677">
        <f>ROUND(25.74*0.6*0,0)</f>
        <v>0</v>
      </c>
      <c r="DF16" s="559"/>
      <c r="DG16" s="549"/>
      <c r="DH16" s="551" t="s">
        <v>227</v>
      </c>
      <c r="DI16" s="672" t="s">
        <v>73</v>
      </c>
      <c r="DJ16" s="552">
        <v>25.74</v>
      </c>
      <c r="DK16" s="673">
        <v>0.6</v>
      </c>
      <c r="DL16" s="674"/>
      <c r="DM16" s="675">
        <v>0</v>
      </c>
      <c r="DN16" s="556">
        <f>ROUND(25.74*0.6*0,0)</f>
        <v>0</v>
      </c>
      <c r="DO16" s="676">
        <v>0</v>
      </c>
      <c r="DP16" s="556">
        <f>ROUND(25.74*0.6*0,0)</f>
        <v>0</v>
      </c>
      <c r="DQ16" s="676">
        <v>0</v>
      </c>
      <c r="DR16" s="556">
        <f>ROUND(25.74*0.6*0,0)</f>
        <v>0</v>
      </c>
      <c r="DS16" s="676">
        <v>0</v>
      </c>
      <c r="DT16" s="556">
        <f>ROUND(25.74*0.6*0,0)</f>
        <v>0</v>
      </c>
      <c r="DU16" s="676">
        <v>0</v>
      </c>
      <c r="DV16" s="556">
        <f>ROUND(25.74*0.6*0,0)</f>
        <v>0</v>
      </c>
      <c r="DW16" s="676">
        <v>0</v>
      </c>
      <c r="DX16" s="556">
        <f>ROUND(25.74*0.6*0,0)</f>
        <v>0</v>
      </c>
      <c r="DY16" s="676">
        <v>0</v>
      </c>
      <c r="DZ16" s="556">
        <f>ROUND(25.74*0.6*0,0)</f>
        <v>0</v>
      </c>
      <c r="EA16" s="676">
        <v>0</v>
      </c>
      <c r="EB16" s="556">
        <f>ROUND(25.74*0.6*0,0)</f>
        <v>0</v>
      </c>
      <c r="EC16" s="676">
        <v>2.2000000000000002</v>
      </c>
      <c r="ED16" s="556">
        <f>ROUND(25.74*0.6*2.2,0)</f>
        <v>34</v>
      </c>
      <c r="EE16" s="676">
        <v>5.0999999999999996</v>
      </c>
      <c r="EF16" s="556">
        <f>ROUND(25.74*0.6*5.1,0)</f>
        <v>79</v>
      </c>
      <c r="EG16" s="676">
        <v>8.9</v>
      </c>
      <c r="EH16" s="556">
        <f>ROUND(25.74*0.6*8.9,0)</f>
        <v>137</v>
      </c>
      <c r="EI16" s="676">
        <v>12.9</v>
      </c>
      <c r="EJ16" s="556">
        <f>ROUND(25.74*0.6*12.9,0)</f>
        <v>199</v>
      </c>
      <c r="EK16" s="676">
        <v>16.399999999999999</v>
      </c>
      <c r="EL16" s="556">
        <f>ROUND(25.74*0.6*16.4,0)</f>
        <v>253</v>
      </c>
      <c r="EM16" s="676">
        <v>18.899999999999999</v>
      </c>
      <c r="EN16" s="556">
        <f>ROUND(25.74*0.6*18.9,0)</f>
        <v>292</v>
      </c>
      <c r="EO16" s="676">
        <v>20.2</v>
      </c>
      <c r="EP16" s="556">
        <f>ROUND(25.74*0.6*20.2,0)</f>
        <v>312</v>
      </c>
      <c r="EQ16" s="676">
        <v>19.8</v>
      </c>
      <c r="ER16" s="556">
        <f>ROUND(25.74*0.6*19.8,0)</f>
        <v>306</v>
      </c>
      <c r="ES16" s="676">
        <v>17.7</v>
      </c>
      <c r="ET16" s="556">
        <f>ROUND(25.74*0.6*17.7,0)</f>
        <v>273</v>
      </c>
      <c r="EU16" s="676">
        <v>14.1</v>
      </c>
      <c r="EV16" s="556">
        <f>ROUND(25.74*0.6*14.1,0)</f>
        <v>218</v>
      </c>
      <c r="EW16" s="676">
        <v>0</v>
      </c>
      <c r="EX16" s="556">
        <f>ROUND(25.74*0.6*0,0)</f>
        <v>0</v>
      </c>
      <c r="EY16" s="676">
        <v>0</v>
      </c>
      <c r="EZ16" s="556">
        <f>ROUND(25.74*0.6*0,0)</f>
        <v>0</v>
      </c>
      <c r="FA16" s="676">
        <v>0</v>
      </c>
      <c r="FB16" s="556">
        <f>ROUND(25.74*0.6*0,0)</f>
        <v>0</v>
      </c>
      <c r="FC16" s="676">
        <v>0</v>
      </c>
      <c r="FD16" s="556">
        <f>ROUND(25.74*0.6*0,0)</f>
        <v>0</v>
      </c>
      <c r="FE16" s="676">
        <v>0</v>
      </c>
      <c r="FF16" s="556">
        <f>ROUND(25.74*0.6*0,0)</f>
        <v>0</v>
      </c>
      <c r="FG16" s="676">
        <v>0</v>
      </c>
      <c r="FH16" s="677">
        <f>ROUND(25.74*0.6*0,0)</f>
        <v>0</v>
      </c>
      <c r="FI16" s="560"/>
      <c r="FJ16" s="561"/>
      <c r="FK16" s="551" t="s">
        <v>227</v>
      </c>
      <c r="FL16" s="672" t="s">
        <v>73</v>
      </c>
      <c r="FM16" s="552">
        <v>25.74</v>
      </c>
      <c r="FN16" s="673">
        <v>0.6</v>
      </c>
      <c r="FO16" s="674"/>
      <c r="FP16" s="678">
        <v>9</v>
      </c>
      <c r="FQ16" s="679">
        <v>20</v>
      </c>
      <c r="FR16" s="556">
        <f>ROUND(25.74*0.6*20,0)</f>
        <v>309</v>
      </c>
      <c r="FS16" s="680">
        <v>9</v>
      </c>
      <c r="FT16" s="679">
        <v>20.5</v>
      </c>
      <c r="FU16" s="564">
        <f>ROUND(25.74*0.6*20.5,0)</f>
        <v>317</v>
      </c>
      <c r="FV16" s="590"/>
      <c r="FW16" s="591"/>
      <c r="FX16" s="592"/>
      <c r="FY16" s="593"/>
      <c r="FZ16" s="594"/>
      <c r="GA16" s="595"/>
      <c r="GB16" s="596"/>
      <c r="GC16" s="597"/>
      <c r="GD16" s="596"/>
      <c r="GE16" s="598"/>
      <c r="GF16" s="681"/>
      <c r="GG16" s="670"/>
      <c r="GH16" s="670"/>
      <c r="GI16" s="670"/>
      <c r="GJ16" s="414"/>
      <c r="GK16" s="625"/>
      <c r="GL16" s="626"/>
      <c r="GM16" s="627"/>
      <c r="GN16" s="628"/>
      <c r="GO16" s="629"/>
      <c r="GP16" s="653"/>
      <c r="GQ16" s="630">
        <v>0</v>
      </c>
      <c r="GR16" s="631">
        <v>0</v>
      </c>
      <c r="GS16" s="410"/>
      <c r="GT16" s="682"/>
      <c r="GU16" s="625"/>
      <c r="GV16" s="626"/>
      <c r="GW16" s="632"/>
      <c r="GX16" s="633"/>
      <c r="GY16" s="634"/>
      <c r="GZ16" s="635"/>
      <c r="HA16" s="636">
        <v>0</v>
      </c>
      <c r="HB16" s="637"/>
      <c r="HC16" s="683"/>
      <c r="HD16" s="416"/>
      <c r="HE16" s="416"/>
      <c r="HF16" s="416"/>
      <c r="HG16" s="416"/>
    </row>
    <row r="17" spans="1:218" ht="20.100000000000001" customHeight="1">
      <c r="A17" s="549"/>
      <c r="B17" s="579" t="s">
        <v>237</v>
      </c>
      <c r="C17" s="684" t="s">
        <v>73</v>
      </c>
      <c r="D17" s="580">
        <v>10.8</v>
      </c>
      <c r="E17" s="685" t="s">
        <v>353</v>
      </c>
      <c r="F17" s="686"/>
      <c r="G17" s="687">
        <v>0</v>
      </c>
      <c r="H17" s="584">
        <f>ROUND(10.8*4.2*0,0)</f>
        <v>0</v>
      </c>
      <c r="I17" s="688">
        <v>0</v>
      </c>
      <c r="J17" s="584">
        <f>ROUND(10.8*4.2*0,0)</f>
        <v>0</v>
      </c>
      <c r="K17" s="688">
        <v>0</v>
      </c>
      <c r="L17" s="584">
        <f>ROUND(10.8*4.2*0,0)</f>
        <v>0</v>
      </c>
      <c r="M17" s="688">
        <v>0</v>
      </c>
      <c r="N17" s="584">
        <f>ROUND(10.8*4.2*0,0)</f>
        <v>0</v>
      </c>
      <c r="O17" s="688">
        <v>0</v>
      </c>
      <c r="P17" s="584">
        <f>ROUND(10.8*4.2*0,0)</f>
        <v>0</v>
      </c>
      <c r="Q17" s="688">
        <v>0</v>
      </c>
      <c r="R17" s="584">
        <f>ROUND(10.8*4.2*0,0)</f>
        <v>0</v>
      </c>
      <c r="S17" s="688">
        <v>0</v>
      </c>
      <c r="T17" s="584">
        <f>ROUND(10.8*4.2*0,0)</f>
        <v>0</v>
      </c>
      <c r="U17" s="688">
        <v>0</v>
      </c>
      <c r="V17" s="584">
        <f>ROUND(10.8*4.2*0,0)</f>
        <v>0</v>
      </c>
      <c r="W17" s="688">
        <v>5.3</v>
      </c>
      <c r="X17" s="584">
        <f>ROUND(10.8*4.2*5.3,0)</f>
        <v>240</v>
      </c>
      <c r="Y17" s="688">
        <v>6.5</v>
      </c>
      <c r="Z17" s="584">
        <f>ROUND(10.8*4.2*6.5,0)</f>
        <v>295</v>
      </c>
      <c r="AA17" s="688">
        <v>7.2</v>
      </c>
      <c r="AB17" s="584">
        <f>ROUND(10.8*4.2*7.2,0)</f>
        <v>327</v>
      </c>
      <c r="AC17" s="688">
        <v>7.7</v>
      </c>
      <c r="AD17" s="584">
        <f>ROUND(10.8*4.2*7.7,0)</f>
        <v>349</v>
      </c>
      <c r="AE17" s="688">
        <v>7.9</v>
      </c>
      <c r="AF17" s="584">
        <f>ROUND(10.8*4.2*7.9,0)</f>
        <v>358</v>
      </c>
      <c r="AG17" s="688">
        <v>7.9</v>
      </c>
      <c r="AH17" s="584">
        <f>ROUND(10.8*4.2*7.9,0)</f>
        <v>358</v>
      </c>
      <c r="AI17" s="688">
        <v>7.4</v>
      </c>
      <c r="AJ17" s="584">
        <f>ROUND(10.8*4.2*7.4,0)</f>
        <v>336</v>
      </c>
      <c r="AK17" s="688">
        <v>6.9</v>
      </c>
      <c r="AL17" s="584">
        <f>ROUND(10.8*4.2*6.9,0)</f>
        <v>313</v>
      </c>
      <c r="AM17" s="688">
        <v>6</v>
      </c>
      <c r="AN17" s="584">
        <f>ROUND(10.8*4.2*6,0)</f>
        <v>272</v>
      </c>
      <c r="AO17" s="688">
        <v>5.3</v>
      </c>
      <c r="AP17" s="584">
        <f>ROUND(10.8*4.2*5.3,0)</f>
        <v>240</v>
      </c>
      <c r="AQ17" s="688">
        <v>0</v>
      </c>
      <c r="AR17" s="584">
        <f>ROUND(10.8*4.2*0,0)</f>
        <v>0</v>
      </c>
      <c r="AS17" s="688">
        <v>0</v>
      </c>
      <c r="AT17" s="584">
        <f>ROUND(10.8*4.2*0,0)</f>
        <v>0</v>
      </c>
      <c r="AU17" s="688">
        <v>0</v>
      </c>
      <c r="AV17" s="584">
        <f>ROUND(10.8*4.2*0,0)</f>
        <v>0</v>
      </c>
      <c r="AW17" s="688">
        <v>0</v>
      </c>
      <c r="AX17" s="584">
        <f>ROUND(10.8*4.2*0,0)</f>
        <v>0</v>
      </c>
      <c r="AY17" s="688">
        <v>0</v>
      </c>
      <c r="AZ17" s="584">
        <f>ROUND(10.8*4.2*0,0)</f>
        <v>0</v>
      </c>
      <c r="BA17" s="688">
        <v>0</v>
      </c>
      <c r="BB17" s="586">
        <f>ROUND(10.8*4.2*0,0)</f>
        <v>0</v>
      </c>
      <c r="BC17" s="559"/>
      <c r="BD17" s="549"/>
      <c r="BE17" s="579" t="s">
        <v>237</v>
      </c>
      <c r="BF17" s="684" t="s">
        <v>73</v>
      </c>
      <c r="BG17" s="580">
        <v>10.8</v>
      </c>
      <c r="BH17" s="685" t="s">
        <v>353</v>
      </c>
      <c r="BI17" s="686"/>
      <c r="BJ17" s="687">
        <v>0</v>
      </c>
      <c r="BK17" s="584">
        <f>ROUND(10.8*4.2*0,0)</f>
        <v>0</v>
      </c>
      <c r="BL17" s="688">
        <v>0</v>
      </c>
      <c r="BM17" s="584">
        <f>ROUND(10.8*4.2*0,0)</f>
        <v>0</v>
      </c>
      <c r="BN17" s="688">
        <v>0</v>
      </c>
      <c r="BO17" s="584">
        <f>ROUND(10.8*4.2*0,0)</f>
        <v>0</v>
      </c>
      <c r="BP17" s="688">
        <v>0</v>
      </c>
      <c r="BQ17" s="584">
        <f>ROUND(10.8*4.2*0,0)</f>
        <v>0</v>
      </c>
      <c r="BR17" s="688">
        <v>0</v>
      </c>
      <c r="BS17" s="584">
        <f>ROUND(10.8*4.2*0,0)</f>
        <v>0</v>
      </c>
      <c r="BT17" s="688">
        <v>0</v>
      </c>
      <c r="BU17" s="584">
        <f>ROUND(10.8*4.2*0,0)</f>
        <v>0</v>
      </c>
      <c r="BV17" s="688">
        <v>0</v>
      </c>
      <c r="BW17" s="584">
        <f>ROUND(10.8*4.2*0,0)</f>
        <v>0</v>
      </c>
      <c r="BX17" s="688">
        <v>0</v>
      </c>
      <c r="BY17" s="584">
        <f>ROUND(10.8*4.2*0,0)</f>
        <v>0</v>
      </c>
      <c r="BZ17" s="688">
        <v>5.0999999999999996</v>
      </c>
      <c r="CA17" s="584">
        <f>ROUND(10.8*4.2*5.1,0)</f>
        <v>231</v>
      </c>
      <c r="CB17" s="688">
        <v>6.1</v>
      </c>
      <c r="CC17" s="584">
        <f>ROUND(10.8*4.2*6.1,0)</f>
        <v>277</v>
      </c>
      <c r="CD17" s="688">
        <v>7</v>
      </c>
      <c r="CE17" s="584">
        <f>ROUND(10.8*4.2*7,0)</f>
        <v>318</v>
      </c>
      <c r="CF17" s="688">
        <v>7.4</v>
      </c>
      <c r="CG17" s="584">
        <f>ROUND(10.8*4.2*7.4,0)</f>
        <v>336</v>
      </c>
      <c r="CH17" s="688">
        <v>7.6</v>
      </c>
      <c r="CI17" s="584">
        <f>ROUND(10.8*4.2*7.6,0)</f>
        <v>345</v>
      </c>
      <c r="CJ17" s="688">
        <v>7.4</v>
      </c>
      <c r="CK17" s="584">
        <f>ROUND(10.8*4.2*7.4,0)</f>
        <v>336</v>
      </c>
      <c r="CL17" s="688">
        <v>6.9</v>
      </c>
      <c r="CM17" s="584">
        <f>ROUND(10.8*4.2*6.9,0)</f>
        <v>313</v>
      </c>
      <c r="CN17" s="688">
        <v>6.5</v>
      </c>
      <c r="CO17" s="584">
        <f>ROUND(10.8*4.2*6.5,0)</f>
        <v>295</v>
      </c>
      <c r="CP17" s="688">
        <v>6</v>
      </c>
      <c r="CQ17" s="584">
        <f>ROUND(10.8*4.2*6,0)</f>
        <v>272</v>
      </c>
      <c r="CR17" s="688">
        <v>5.0999999999999996</v>
      </c>
      <c r="CS17" s="584">
        <f>ROUND(10.8*4.2*5.1,0)</f>
        <v>231</v>
      </c>
      <c r="CT17" s="688">
        <v>0</v>
      </c>
      <c r="CU17" s="584">
        <f>ROUND(10.8*4.2*0,0)</f>
        <v>0</v>
      </c>
      <c r="CV17" s="688">
        <v>0</v>
      </c>
      <c r="CW17" s="584">
        <f>ROUND(10.8*4.2*0,0)</f>
        <v>0</v>
      </c>
      <c r="CX17" s="688">
        <v>0</v>
      </c>
      <c r="CY17" s="584">
        <f>ROUND(10.8*4.2*0,0)</f>
        <v>0</v>
      </c>
      <c r="CZ17" s="688">
        <v>0</v>
      </c>
      <c r="DA17" s="584">
        <f>ROUND(10.8*4.2*0,0)</f>
        <v>0</v>
      </c>
      <c r="DB17" s="688">
        <v>0</v>
      </c>
      <c r="DC17" s="584">
        <f>ROUND(10.8*4.2*0,0)</f>
        <v>0</v>
      </c>
      <c r="DD17" s="688">
        <v>0</v>
      </c>
      <c r="DE17" s="586">
        <f>ROUND(10.8*4.2*0,0)</f>
        <v>0</v>
      </c>
      <c r="DF17" s="559"/>
      <c r="DG17" s="549"/>
      <c r="DH17" s="579" t="s">
        <v>237</v>
      </c>
      <c r="DI17" s="684" t="s">
        <v>73</v>
      </c>
      <c r="DJ17" s="580">
        <v>10.8</v>
      </c>
      <c r="DK17" s="685" t="s">
        <v>353</v>
      </c>
      <c r="DL17" s="686"/>
      <c r="DM17" s="687">
        <v>0</v>
      </c>
      <c r="DN17" s="584">
        <f>ROUND(10.8*4.2*0,0)</f>
        <v>0</v>
      </c>
      <c r="DO17" s="688">
        <v>0</v>
      </c>
      <c r="DP17" s="584">
        <f>ROUND(10.8*4.2*0,0)</f>
        <v>0</v>
      </c>
      <c r="DQ17" s="688">
        <v>0</v>
      </c>
      <c r="DR17" s="584">
        <f>ROUND(10.8*4.2*0,0)</f>
        <v>0</v>
      </c>
      <c r="DS17" s="688">
        <v>0</v>
      </c>
      <c r="DT17" s="584">
        <f>ROUND(10.8*4.2*0,0)</f>
        <v>0</v>
      </c>
      <c r="DU17" s="688">
        <v>0</v>
      </c>
      <c r="DV17" s="584">
        <f>ROUND(10.8*4.2*0,0)</f>
        <v>0</v>
      </c>
      <c r="DW17" s="688">
        <v>0</v>
      </c>
      <c r="DX17" s="584">
        <f>ROUND(10.8*4.2*0,0)</f>
        <v>0</v>
      </c>
      <c r="DY17" s="688">
        <v>0</v>
      </c>
      <c r="DZ17" s="584">
        <f>ROUND(10.8*4.2*0,0)</f>
        <v>0</v>
      </c>
      <c r="EA17" s="688">
        <v>0</v>
      </c>
      <c r="EB17" s="584">
        <f>ROUND(10.8*4.2*0,0)</f>
        <v>0</v>
      </c>
      <c r="EC17" s="688">
        <v>2.8</v>
      </c>
      <c r="ED17" s="584">
        <f>ROUND(10.8*4.2*2.8,0)</f>
        <v>127</v>
      </c>
      <c r="EE17" s="688">
        <v>4.0999999999999996</v>
      </c>
      <c r="EF17" s="584">
        <f>ROUND(10.8*4.2*4.1,0)</f>
        <v>186</v>
      </c>
      <c r="EG17" s="688">
        <v>4.9000000000000004</v>
      </c>
      <c r="EH17" s="584">
        <f>ROUND(10.8*4.2*4.9,0)</f>
        <v>222</v>
      </c>
      <c r="EI17" s="688">
        <v>5.6</v>
      </c>
      <c r="EJ17" s="584">
        <f>ROUND(10.8*4.2*5.6,0)</f>
        <v>254</v>
      </c>
      <c r="EK17" s="688">
        <v>5.8</v>
      </c>
      <c r="EL17" s="584">
        <f>ROUND(10.8*4.2*5.8,0)</f>
        <v>263</v>
      </c>
      <c r="EM17" s="688">
        <v>5.5</v>
      </c>
      <c r="EN17" s="584">
        <f>ROUND(10.8*4.2*5.5,0)</f>
        <v>249</v>
      </c>
      <c r="EO17" s="688">
        <v>5.0999999999999996</v>
      </c>
      <c r="EP17" s="584">
        <f>ROUND(10.8*4.2*5.1,0)</f>
        <v>231</v>
      </c>
      <c r="EQ17" s="688">
        <v>4.7</v>
      </c>
      <c r="ER17" s="584">
        <f>ROUND(10.8*4.2*4.7,0)</f>
        <v>213</v>
      </c>
      <c r="ES17" s="688">
        <v>3.7</v>
      </c>
      <c r="ET17" s="584">
        <f>ROUND(10.8*4.2*3.7,0)</f>
        <v>168</v>
      </c>
      <c r="EU17" s="688">
        <v>2.7</v>
      </c>
      <c r="EV17" s="584">
        <f>ROUND(10.8*4.2*2.7,0)</f>
        <v>122</v>
      </c>
      <c r="EW17" s="688">
        <v>0</v>
      </c>
      <c r="EX17" s="584">
        <f>ROUND(10.8*4.2*0,0)</f>
        <v>0</v>
      </c>
      <c r="EY17" s="688">
        <v>0</v>
      </c>
      <c r="EZ17" s="584">
        <f>ROUND(10.8*4.2*0,0)</f>
        <v>0</v>
      </c>
      <c r="FA17" s="688">
        <v>0</v>
      </c>
      <c r="FB17" s="584">
        <f>ROUND(10.8*4.2*0,0)</f>
        <v>0</v>
      </c>
      <c r="FC17" s="688">
        <v>0</v>
      </c>
      <c r="FD17" s="584">
        <f>ROUND(10.8*4.2*0,0)</f>
        <v>0</v>
      </c>
      <c r="FE17" s="688">
        <v>0</v>
      </c>
      <c r="FF17" s="584">
        <f>ROUND(10.8*4.2*0,0)</f>
        <v>0</v>
      </c>
      <c r="FG17" s="688">
        <v>0</v>
      </c>
      <c r="FH17" s="586">
        <f>ROUND(10.8*4.2*0,0)</f>
        <v>0</v>
      </c>
      <c r="FI17" s="560"/>
      <c r="FJ17" s="561"/>
      <c r="FK17" s="579" t="s">
        <v>237</v>
      </c>
      <c r="FL17" s="684" t="s">
        <v>73</v>
      </c>
      <c r="FM17" s="580">
        <v>10.8</v>
      </c>
      <c r="FN17" s="685" t="s">
        <v>353</v>
      </c>
      <c r="FO17" s="686"/>
      <c r="FP17" s="689">
        <v>9</v>
      </c>
      <c r="FQ17" s="690">
        <v>20</v>
      </c>
      <c r="FR17" s="584">
        <f>ROUND(10.8*4.2*20,0)</f>
        <v>907</v>
      </c>
      <c r="FS17" s="691">
        <v>9</v>
      </c>
      <c r="FT17" s="690">
        <v>20.5</v>
      </c>
      <c r="FU17" s="589">
        <f>ROUND(10.8*4.2*20.5,0)</f>
        <v>930</v>
      </c>
      <c r="FV17" s="590"/>
      <c r="FW17" s="591"/>
      <c r="FX17" s="592"/>
      <c r="FY17" s="593"/>
      <c r="FZ17" s="594"/>
      <c r="GA17" s="595"/>
      <c r="GB17" s="596"/>
      <c r="GC17" s="597"/>
      <c r="GD17" s="596"/>
      <c r="GE17" s="598"/>
      <c r="GF17" s="681"/>
      <c r="GG17" s="599"/>
      <c r="GH17" s="599"/>
      <c r="GI17" s="599"/>
      <c r="GJ17" s="577"/>
      <c r="GK17" s="625"/>
      <c r="GL17" s="626"/>
      <c r="GM17" s="627"/>
      <c r="GN17" s="628"/>
      <c r="GO17" s="629"/>
      <c r="GP17" s="653"/>
      <c r="GQ17" s="630">
        <v>0</v>
      </c>
      <c r="GR17" s="631">
        <v>0</v>
      </c>
      <c r="GS17" s="692"/>
      <c r="GT17" s="682"/>
      <c r="GU17" s="625"/>
      <c r="GV17" s="626"/>
      <c r="GW17" s="632"/>
      <c r="GX17" s="633"/>
      <c r="GY17" s="634"/>
      <c r="GZ17" s="635"/>
      <c r="HA17" s="636">
        <v>0</v>
      </c>
      <c r="HB17" s="637"/>
      <c r="HC17" s="527"/>
      <c r="HD17" s="416"/>
      <c r="HE17" s="416"/>
      <c r="HF17" s="416"/>
      <c r="HG17" s="416"/>
    </row>
    <row r="18" spans="1:218" ht="20.100000000000001" customHeight="1">
      <c r="A18" s="549"/>
      <c r="B18" s="693" t="s">
        <v>258</v>
      </c>
      <c r="C18" s="684"/>
      <c r="D18" s="580">
        <v>7.28</v>
      </c>
      <c r="E18" s="685">
        <v>2.5</v>
      </c>
      <c r="F18" s="686"/>
      <c r="G18" s="687">
        <v>0</v>
      </c>
      <c r="H18" s="584">
        <f>ROUND(7.28*2.5*0,0)</f>
        <v>0</v>
      </c>
      <c r="I18" s="688">
        <v>0</v>
      </c>
      <c r="J18" s="584">
        <f>ROUND(7.28*2.5*0,0)</f>
        <v>0</v>
      </c>
      <c r="K18" s="688">
        <v>0</v>
      </c>
      <c r="L18" s="584">
        <f>ROUND(7.28*2.5*0,0)</f>
        <v>0</v>
      </c>
      <c r="M18" s="688">
        <v>0</v>
      </c>
      <c r="N18" s="584">
        <f>ROUND(7.28*2.5*0,0)</f>
        <v>0</v>
      </c>
      <c r="O18" s="688">
        <v>0</v>
      </c>
      <c r="P18" s="584">
        <f>ROUND(7.28*2.5*0,0)</f>
        <v>0</v>
      </c>
      <c r="Q18" s="688">
        <v>0</v>
      </c>
      <c r="R18" s="584">
        <f>ROUND(7.28*2.5*0,0)</f>
        <v>0</v>
      </c>
      <c r="S18" s="688">
        <v>0</v>
      </c>
      <c r="T18" s="584">
        <f>ROUND(7.28*2.5*0,0)</f>
        <v>0</v>
      </c>
      <c r="U18" s="688">
        <v>0</v>
      </c>
      <c r="V18" s="584">
        <f>ROUND(7.28*2.5*0,0)</f>
        <v>0</v>
      </c>
      <c r="W18" s="688">
        <v>1.6</v>
      </c>
      <c r="X18" s="584">
        <f>ROUND(7.28*2.5*1.6,0)</f>
        <v>29</v>
      </c>
      <c r="Y18" s="688">
        <v>2</v>
      </c>
      <c r="Z18" s="584">
        <f>ROUND(7.28*2.5*2,0)</f>
        <v>36</v>
      </c>
      <c r="AA18" s="688">
        <v>2.2000000000000002</v>
      </c>
      <c r="AB18" s="584">
        <f>ROUND(7.28*2.5*2.2,0)</f>
        <v>40</v>
      </c>
      <c r="AC18" s="688">
        <v>2.2999999999999998</v>
      </c>
      <c r="AD18" s="584">
        <f>ROUND(7.28*2.5*2.3,0)</f>
        <v>42</v>
      </c>
      <c r="AE18" s="688">
        <v>2.4</v>
      </c>
      <c r="AF18" s="584">
        <f>ROUND(7.28*2.5*2.4,0)</f>
        <v>44</v>
      </c>
      <c r="AG18" s="688">
        <v>2.4</v>
      </c>
      <c r="AH18" s="584">
        <f>ROUND(7.28*2.5*2.4,0)</f>
        <v>44</v>
      </c>
      <c r="AI18" s="688">
        <v>2.2000000000000002</v>
      </c>
      <c r="AJ18" s="584">
        <f>ROUND(7.28*2.5*2.2,0)</f>
        <v>40</v>
      </c>
      <c r="AK18" s="688">
        <v>2.1</v>
      </c>
      <c r="AL18" s="584">
        <f>ROUND(7.28*2.5*2.1,0)</f>
        <v>38</v>
      </c>
      <c r="AM18" s="688">
        <v>1.8</v>
      </c>
      <c r="AN18" s="584">
        <f>ROUND(7.28*2.5*1.8,0)</f>
        <v>33</v>
      </c>
      <c r="AO18" s="688">
        <v>1.6</v>
      </c>
      <c r="AP18" s="584">
        <f>ROUND(7.28*2.5*1.6,0)</f>
        <v>29</v>
      </c>
      <c r="AQ18" s="688">
        <v>0</v>
      </c>
      <c r="AR18" s="584">
        <f>ROUND(7.28*2.5*0,0)</f>
        <v>0</v>
      </c>
      <c r="AS18" s="688">
        <v>0</v>
      </c>
      <c r="AT18" s="584">
        <f>ROUND(7.28*2.5*0,0)</f>
        <v>0</v>
      </c>
      <c r="AU18" s="688">
        <v>0</v>
      </c>
      <c r="AV18" s="584">
        <f>ROUND(7.28*2.5*0,0)</f>
        <v>0</v>
      </c>
      <c r="AW18" s="688">
        <v>0</v>
      </c>
      <c r="AX18" s="584">
        <f>ROUND(7.28*2.5*0,0)</f>
        <v>0</v>
      </c>
      <c r="AY18" s="688">
        <v>0</v>
      </c>
      <c r="AZ18" s="584">
        <f>ROUND(7.28*2.5*0,0)</f>
        <v>0</v>
      </c>
      <c r="BA18" s="688">
        <v>0</v>
      </c>
      <c r="BB18" s="586">
        <f>ROUND(7.28*2.5*0,0)</f>
        <v>0</v>
      </c>
      <c r="BC18" s="559"/>
      <c r="BD18" s="549"/>
      <c r="BE18" s="693" t="s">
        <v>258</v>
      </c>
      <c r="BF18" s="684"/>
      <c r="BG18" s="580">
        <v>7.28</v>
      </c>
      <c r="BH18" s="685">
        <v>2.5</v>
      </c>
      <c r="BI18" s="686"/>
      <c r="BJ18" s="687">
        <v>0</v>
      </c>
      <c r="BK18" s="584">
        <f>ROUND(7.28*2.5*0,0)</f>
        <v>0</v>
      </c>
      <c r="BL18" s="688">
        <v>0</v>
      </c>
      <c r="BM18" s="584">
        <f>ROUND(7.28*2.5*0,0)</f>
        <v>0</v>
      </c>
      <c r="BN18" s="688">
        <v>0</v>
      </c>
      <c r="BO18" s="584">
        <f>ROUND(7.28*2.5*0,0)</f>
        <v>0</v>
      </c>
      <c r="BP18" s="688">
        <v>0</v>
      </c>
      <c r="BQ18" s="584">
        <f>ROUND(7.28*2.5*0,0)</f>
        <v>0</v>
      </c>
      <c r="BR18" s="688">
        <v>0</v>
      </c>
      <c r="BS18" s="584">
        <f>ROUND(7.28*2.5*0,0)</f>
        <v>0</v>
      </c>
      <c r="BT18" s="688">
        <v>0</v>
      </c>
      <c r="BU18" s="584">
        <f>ROUND(7.28*2.5*0,0)</f>
        <v>0</v>
      </c>
      <c r="BV18" s="688">
        <v>0</v>
      </c>
      <c r="BW18" s="584">
        <f>ROUND(7.28*2.5*0,0)</f>
        <v>0</v>
      </c>
      <c r="BX18" s="688">
        <v>0</v>
      </c>
      <c r="BY18" s="584">
        <f>ROUND(7.28*2.5*0,0)</f>
        <v>0</v>
      </c>
      <c r="BZ18" s="688">
        <v>1.5</v>
      </c>
      <c r="CA18" s="584">
        <f>ROUND(7.28*2.5*1.5,0)</f>
        <v>27</v>
      </c>
      <c r="CB18" s="688">
        <v>1.8</v>
      </c>
      <c r="CC18" s="584">
        <f>ROUND(7.28*2.5*1.8,0)</f>
        <v>33</v>
      </c>
      <c r="CD18" s="688">
        <v>2.1</v>
      </c>
      <c r="CE18" s="584">
        <f>ROUND(7.28*2.5*2.1,0)</f>
        <v>38</v>
      </c>
      <c r="CF18" s="688">
        <v>2.2000000000000002</v>
      </c>
      <c r="CG18" s="584">
        <f>ROUND(7.28*2.5*2.2,0)</f>
        <v>40</v>
      </c>
      <c r="CH18" s="688">
        <v>2.2999999999999998</v>
      </c>
      <c r="CI18" s="584">
        <f>ROUND(7.28*2.5*2.3,0)</f>
        <v>42</v>
      </c>
      <c r="CJ18" s="688">
        <v>2.2000000000000002</v>
      </c>
      <c r="CK18" s="584">
        <f>ROUND(7.28*2.5*2.2,0)</f>
        <v>40</v>
      </c>
      <c r="CL18" s="688">
        <v>2.1</v>
      </c>
      <c r="CM18" s="584">
        <f>ROUND(7.28*2.5*2.1,0)</f>
        <v>38</v>
      </c>
      <c r="CN18" s="688">
        <v>2</v>
      </c>
      <c r="CO18" s="584">
        <f>ROUND(7.28*2.5*2,0)</f>
        <v>36</v>
      </c>
      <c r="CP18" s="688">
        <v>1.8</v>
      </c>
      <c r="CQ18" s="584">
        <f>ROUND(7.28*2.5*1.8,0)</f>
        <v>33</v>
      </c>
      <c r="CR18" s="688">
        <v>1.5</v>
      </c>
      <c r="CS18" s="584">
        <f>ROUND(7.28*2.5*1.5,0)</f>
        <v>27</v>
      </c>
      <c r="CT18" s="688">
        <v>0</v>
      </c>
      <c r="CU18" s="584">
        <f>ROUND(7.28*2.5*0,0)</f>
        <v>0</v>
      </c>
      <c r="CV18" s="688">
        <v>0</v>
      </c>
      <c r="CW18" s="584">
        <f>ROUND(7.28*2.5*0,0)</f>
        <v>0</v>
      </c>
      <c r="CX18" s="688">
        <v>0</v>
      </c>
      <c r="CY18" s="584">
        <f>ROUND(7.28*2.5*0,0)</f>
        <v>0</v>
      </c>
      <c r="CZ18" s="688">
        <v>0</v>
      </c>
      <c r="DA18" s="584">
        <f>ROUND(7.28*2.5*0,0)</f>
        <v>0</v>
      </c>
      <c r="DB18" s="688">
        <v>0</v>
      </c>
      <c r="DC18" s="584">
        <f>ROUND(7.28*2.5*0,0)</f>
        <v>0</v>
      </c>
      <c r="DD18" s="688">
        <v>0</v>
      </c>
      <c r="DE18" s="586">
        <f>ROUND(7.28*2.5*0,0)</f>
        <v>0</v>
      </c>
      <c r="DF18" s="559"/>
      <c r="DG18" s="549"/>
      <c r="DH18" s="693" t="s">
        <v>258</v>
      </c>
      <c r="DI18" s="684"/>
      <c r="DJ18" s="580">
        <v>7.28</v>
      </c>
      <c r="DK18" s="685">
        <v>2.5</v>
      </c>
      <c r="DL18" s="686"/>
      <c r="DM18" s="687">
        <v>0</v>
      </c>
      <c r="DN18" s="584">
        <f>ROUND(7.28*2.5*0,0)</f>
        <v>0</v>
      </c>
      <c r="DO18" s="688">
        <v>0</v>
      </c>
      <c r="DP18" s="584">
        <f>ROUND(7.28*2.5*0,0)</f>
        <v>0</v>
      </c>
      <c r="DQ18" s="688">
        <v>0</v>
      </c>
      <c r="DR18" s="584">
        <f>ROUND(7.28*2.5*0,0)</f>
        <v>0</v>
      </c>
      <c r="DS18" s="688">
        <v>0</v>
      </c>
      <c r="DT18" s="584">
        <f>ROUND(7.28*2.5*0,0)</f>
        <v>0</v>
      </c>
      <c r="DU18" s="688">
        <v>0</v>
      </c>
      <c r="DV18" s="584">
        <f>ROUND(7.28*2.5*0,0)</f>
        <v>0</v>
      </c>
      <c r="DW18" s="688">
        <v>0</v>
      </c>
      <c r="DX18" s="584">
        <f>ROUND(7.28*2.5*0,0)</f>
        <v>0</v>
      </c>
      <c r="DY18" s="688">
        <v>0</v>
      </c>
      <c r="DZ18" s="584">
        <f>ROUND(7.28*2.5*0,0)</f>
        <v>0</v>
      </c>
      <c r="EA18" s="688">
        <v>0</v>
      </c>
      <c r="EB18" s="584">
        <f>ROUND(7.28*2.5*0,0)</f>
        <v>0</v>
      </c>
      <c r="EC18" s="688">
        <v>0.8</v>
      </c>
      <c r="ED18" s="584">
        <f>ROUND(7.28*2.5*0.8,0)</f>
        <v>15</v>
      </c>
      <c r="EE18" s="688">
        <v>1.2</v>
      </c>
      <c r="EF18" s="584">
        <f>ROUND(7.28*2.5*1.2,0)</f>
        <v>22</v>
      </c>
      <c r="EG18" s="688">
        <v>1.5</v>
      </c>
      <c r="EH18" s="584">
        <f>ROUND(7.28*2.5*1.5,0)</f>
        <v>27</v>
      </c>
      <c r="EI18" s="688">
        <v>1.7</v>
      </c>
      <c r="EJ18" s="584">
        <f>ROUND(7.28*2.5*1.7,0)</f>
        <v>31</v>
      </c>
      <c r="EK18" s="688">
        <v>1.7</v>
      </c>
      <c r="EL18" s="584">
        <f>ROUND(7.28*2.5*1.7,0)</f>
        <v>31</v>
      </c>
      <c r="EM18" s="688">
        <v>1.6</v>
      </c>
      <c r="EN18" s="584">
        <f>ROUND(7.28*2.5*1.6,0)</f>
        <v>29</v>
      </c>
      <c r="EO18" s="688">
        <v>1.5</v>
      </c>
      <c r="EP18" s="584">
        <f>ROUND(7.28*2.5*1.5,0)</f>
        <v>27</v>
      </c>
      <c r="EQ18" s="688">
        <v>1.4</v>
      </c>
      <c r="ER18" s="584">
        <f>ROUND(7.28*2.5*1.4,0)</f>
        <v>25</v>
      </c>
      <c r="ES18" s="688">
        <v>1.1000000000000001</v>
      </c>
      <c r="ET18" s="584">
        <f>ROUND(7.28*2.5*1.1,0)</f>
        <v>20</v>
      </c>
      <c r="EU18" s="688">
        <v>0.8</v>
      </c>
      <c r="EV18" s="584">
        <f>ROUND(7.28*2.5*0.8,0)</f>
        <v>15</v>
      </c>
      <c r="EW18" s="688">
        <v>0</v>
      </c>
      <c r="EX18" s="584">
        <f>ROUND(7.28*2.5*0,0)</f>
        <v>0</v>
      </c>
      <c r="EY18" s="688">
        <v>0</v>
      </c>
      <c r="EZ18" s="584">
        <f>ROUND(7.28*2.5*0,0)</f>
        <v>0</v>
      </c>
      <c r="FA18" s="688">
        <v>0</v>
      </c>
      <c r="FB18" s="584">
        <f>ROUND(7.28*2.5*0,0)</f>
        <v>0</v>
      </c>
      <c r="FC18" s="688">
        <v>0</v>
      </c>
      <c r="FD18" s="584">
        <f>ROUND(7.28*2.5*0,0)</f>
        <v>0</v>
      </c>
      <c r="FE18" s="688">
        <v>0</v>
      </c>
      <c r="FF18" s="584">
        <f>ROUND(7.28*2.5*0,0)</f>
        <v>0</v>
      </c>
      <c r="FG18" s="688">
        <v>0</v>
      </c>
      <c r="FH18" s="586">
        <f>ROUND(7.28*2.5*0,0)</f>
        <v>0</v>
      </c>
      <c r="FI18" s="560"/>
      <c r="FJ18" s="561"/>
      <c r="FK18" s="693" t="s">
        <v>258</v>
      </c>
      <c r="FL18" s="684"/>
      <c r="FM18" s="580">
        <v>7.28</v>
      </c>
      <c r="FN18" s="685">
        <v>2.5</v>
      </c>
      <c r="FO18" s="686"/>
      <c r="FP18" s="689">
        <v>9</v>
      </c>
      <c r="FQ18" s="690">
        <v>6</v>
      </c>
      <c r="FR18" s="584">
        <f>ROUND(7.28*2.5*6,0)</f>
        <v>109</v>
      </c>
      <c r="FS18" s="691">
        <v>9</v>
      </c>
      <c r="FT18" s="690">
        <v>6.1</v>
      </c>
      <c r="FU18" s="589">
        <f>ROUND(7.28*2.5*6.1,0)</f>
        <v>111</v>
      </c>
      <c r="FV18" s="590"/>
      <c r="FW18" s="591"/>
      <c r="FX18" s="592"/>
      <c r="FY18" s="593"/>
      <c r="FZ18" s="594"/>
      <c r="GA18" s="595"/>
      <c r="GB18" s="596"/>
      <c r="GC18" s="597"/>
      <c r="GD18" s="596"/>
      <c r="GE18" s="598"/>
      <c r="GF18" s="681"/>
      <c r="GG18" s="599"/>
      <c r="GH18" s="599"/>
      <c r="GI18" s="599"/>
      <c r="GJ18" s="410"/>
      <c r="GK18" s="625"/>
      <c r="GL18" s="626"/>
      <c r="GM18" s="627"/>
      <c r="GN18" s="628"/>
      <c r="GO18" s="629"/>
      <c r="GP18" s="653"/>
      <c r="GQ18" s="630">
        <v>0</v>
      </c>
      <c r="GR18" s="631">
        <v>0</v>
      </c>
      <c r="GS18" s="410"/>
      <c r="GT18" s="414"/>
      <c r="GU18" s="625"/>
      <c r="GV18" s="626"/>
      <c r="GW18" s="632"/>
      <c r="GX18" s="633"/>
      <c r="GY18" s="634"/>
      <c r="GZ18" s="635"/>
      <c r="HA18" s="636">
        <v>0</v>
      </c>
      <c r="HB18" s="637"/>
      <c r="HC18" s="576"/>
      <c r="HD18" s="559"/>
      <c r="HE18" s="416"/>
      <c r="HF18" s="416"/>
      <c r="HG18" s="416"/>
    </row>
    <row r="19" spans="1:218" ht="20.100000000000001" customHeight="1">
      <c r="A19" s="549"/>
      <c r="B19" s="693" t="s">
        <v>258</v>
      </c>
      <c r="C19" s="684"/>
      <c r="D19" s="580">
        <v>19.88</v>
      </c>
      <c r="E19" s="685">
        <v>2.5</v>
      </c>
      <c r="F19" s="686"/>
      <c r="G19" s="687">
        <v>0</v>
      </c>
      <c r="H19" s="584">
        <f>ROUND(19.88*2.5*0,0)</f>
        <v>0</v>
      </c>
      <c r="I19" s="688">
        <v>0</v>
      </c>
      <c r="J19" s="584">
        <f>ROUND(19.88*2.5*0,0)</f>
        <v>0</v>
      </c>
      <c r="K19" s="688">
        <v>0</v>
      </c>
      <c r="L19" s="584">
        <f>ROUND(19.88*2.5*0,0)</f>
        <v>0</v>
      </c>
      <c r="M19" s="688">
        <v>0</v>
      </c>
      <c r="N19" s="584">
        <f>ROUND(19.88*2.5*0,0)</f>
        <v>0</v>
      </c>
      <c r="O19" s="688">
        <v>0</v>
      </c>
      <c r="P19" s="584">
        <f>ROUND(19.88*2.5*0,0)</f>
        <v>0</v>
      </c>
      <c r="Q19" s="688">
        <v>0</v>
      </c>
      <c r="R19" s="584">
        <f>ROUND(19.88*2.5*0,0)</f>
        <v>0</v>
      </c>
      <c r="S19" s="688">
        <v>0</v>
      </c>
      <c r="T19" s="584">
        <f>ROUND(19.88*2.5*0,0)</f>
        <v>0</v>
      </c>
      <c r="U19" s="688">
        <v>0</v>
      </c>
      <c r="V19" s="584">
        <f>ROUND(19.88*2.5*0,0)</f>
        <v>0</v>
      </c>
      <c r="W19" s="688">
        <v>2.1</v>
      </c>
      <c r="X19" s="584">
        <f>ROUND(19.88*2.5*2.1,0)</f>
        <v>104</v>
      </c>
      <c r="Y19" s="688">
        <v>2.6</v>
      </c>
      <c r="Z19" s="584">
        <f>ROUND(19.88*2.5*2.6,0)</f>
        <v>129</v>
      </c>
      <c r="AA19" s="688">
        <v>2.9</v>
      </c>
      <c r="AB19" s="584">
        <f>ROUND(19.88*2.5*2.9,0)</f>
        <v>144</v>
      </c>
      <c r="AC19" s="688">
        <v>3.1</v>
      </c>
      <c r="AD19" s="584">
        <f>ROUND(19.88*2.5*3.1,0)</f>
        <v>154</v>
      </c>
      <c r="AE19" s="688">
        <v>3.2</v>
      </c>
      <c r="AF19" s="584">
        <f>ROUND(19.88*2.5*3.2,0)</f>
        <v>159</v>
      </c>
      <c r="AG19" s="688">
        <v>3.2</v>
      </c>
      <c r="AH19" s="584">
        <f>ROUND(19.88*2.5*3.2,0)</f>
        <v>159</v>
      </c>
      <c r="AI19" s="688">
        <v>3</v>
      </c>
      <c r="AJ19" s="584">
        <f>ROUND(19.88*2.5*3,0)</f>
        <v>149</v>
      </c>
      <c r="AK19" s="688">
        <v>2.8</v>
      </c>
      <c r="AL19" s="584">
        <f>ROUND(19.88*2.5*2.8,0)</f>
        <v>139</v>
      </c>
      <c r="AM19" s="688">
        <v>2.4</v>
      </c>
      <c r="AN19" s="584">
        <f>ROUND(19.88*2.5*2.4,0)</f>
        <v>119</v>
      </c>
      <c r="AO19" s="688">
        <v>2.1</v>
      </c>
      <c r="AP19" s="584">
        <f>ROUND(19.88*2.5*2.1,0)</f>
        <v>104</v>
      </c>
      <c r="AQ19" s="688">
        <v>0</v>
      </c>
      <c r="AR19" s="584">
        <f>ROUND(19.88*2.5*0,0)</f>
        <v>0</v>
      </c>
      <c r="AS19" s="688">
        <v>0</v>
      </c>
      <c r="AT19" s="584">
        <f>ROUND(19.88*2.5*0,0)</f>
        <v>0</v>
      </c>
      <c r="AU19" s="688">
        <v>0</v>
      </c>
      <c r="AV19" s="584">
        <f>ROUND(19.88*2.5*0,0)</f>
        <v>0</v>
      </c>
      <c r="AW19" s="688">
        <v>0</v>
      </c>
      <c r="AX19" s="584">
        <f>ROUND(19.88*2.5*0,0)</f>
        <v>0</v>
      </c>
      <c r="AY19" s="688">
        <v>0</v>
      </c>
      <c r="AZ19" s="584">
        <f>ROUND(19.88*2.5*0,0)</f>
        <v>0</v>
      </c>
      <c r="BA19" s="688">
        <v>0</v>
      </c>
      <c r="BB19" s="586">
        <f>ROUND(19.88*2.5*0,0)</f>
        <v>0</v>
      </c>
      <c r="BC19" s="559"/>
      <c r="BD19" s="549"/>
      <c r="BE19" s="693" t="s">
        <v>258</v>
      </c>
      <c r="BF19" s="684"/>
      <c r="BG19" s="580">
        <v>19.88</v>
      </c>
      <c r="BH19" s="685">
        <v>2.5</v>
      </c>
      <c r="BI19" s="686"/>
      <c r="BJ19" s="687">
        <v>0</v>
      </c>
      <c r="BK19" s="584">
        <f>ROUND(19.88*2.5*0,0)</f>
        <v>0</v>
      </c>
      <c r="BL19" s="688">
        <v>0</v>
      </c>
      <c r="BM19" s="584">
        <f>ROUND(19.88*2.5*0,0)</f>
        <v>0</v>
      </c>
      <c r="BN19" s="688">
        <v>0</v>
      </c>
      <c r="BO19" s="584">
        <f>ROUND(19.88*2.5*0,0)</f>
        <v>0</v>
      </c>
      <c r="BP19" s="688">
        <v>0</v>
      </c>
      <c r="BQ19" s="584">
        <f>ROUND(19.88*2.5*0,0)</f>
        <v>0</v>
      </c>
      <c r="BR19" s="688">
        <v>0</v>
      </c>
      <c r="BS19" s="584">
        <f>ROUND(19.88*2.5*0,0)</f>
        <v>0</v>
      </c>
      <c r="BT19" s="688">
        <v>0</v>
      </c>
      <c r="BU19" s="584">
        <f>ROUND(19.88*2.5*0,0)</f>
        <v>0</v>
      </c>
      <c r="BV19" s="688">
        <v>0</v>
      </c>
      <c r="BW19" s="584">
        <f>ROUND(19.88*2.5*0,0)</f>
        <v>0</v>
      </c>
      <c r="BX19" s="688">
        <v>0</v>
      </c>
      <c r="BY19" s="584">
        <f>ROUND(19.88*2.5*0,0)</f>
        <v>0</v>
      </c>
      <c r="BZ19" s="688">
        <v>2</v>
      </c>
      <c r="CA19" s="584">
        <f>ROUND(19.88*2.5*2,0)</f>
        <v>99</v>
      </c>
      <c r="CB19" s="688">
        <v>2.4</v>
      </c>
      <c r="CC19" s="584">
        <f>ROUND(19.88*2.5*2.4,0)</f>
        <v>119</v>
      </c>
      <c r="CD19" s="688">
        <v>2.8</v>
      </c>
      <c r="CE19" s="584">
        <f>ROUND(19.88*2.5*2.8,0)</f>
        <v>139</v>
      </c>
      <c r="CF19" s="688">
        <v>3</v>
      </c>
      <c r="CG19" s="584">
        <f>ROUND(19.88*2.5*3,0)</f>
        <v>149</v>
      </c>
      <c r="CH19" s="688">
        <v>3</v>
      </c>
      <c r="CI19" s="584">
        <f>ROUND(19.88*2.5*3,0)</f>
        <v>149</v>
      </c>
      <c r="CJ19" s="688">
        <v>3</v>
      </c>
      <c r="CK19" s="584">
        <f>ROUND(19.88*2.5*3,0)</f>
        <v>149</v>
      </c>
      <c r="CL19" s="688">
        <v>2.8</v>
      </c>
      <c r="CM19" s="584">
        <f>ROUND(19.88*2.5*2.8,0)</f>
        <v>139</v>
      </c>
      <c r="CN19" s="688">
        <v>2.6</v>
      </c>
      <c r="CO19" s="584">
        <f>ROUND(19.88*2.5*2.6,0)</f>
        <v>129</v>
      </c>
      <c r="CP19" s="688">
        <v>2.4</v>
      </c>
      <c r="CQ19" s="584">
        <f>ROUND(19.88*2.5*2.4,0)</f>
        <v>119</v>
      </c>
      <c r="CR19" s="688">
        <v>2</v>
      </c>
      <c r="CS19" s="584">
        <f>ROUND(19.88*2.5*2,0)</f>
        <v>99</v>
      </c>
      <c r="CT19" s="688">
        <v>0</v>
      </c>
      <c r="CU19" s="584">
        <f>ROUND(19.88*2.5*0,0)</f>
        <v>0</v>
      </c>
      <c r="CV19" s="688">
        <v>0</v>
      </c>
      <c r="CW19" s="584">
        <f>ROUND(19.88*2.5*0,0)</f>
        <v>0</v>
      </c>
      <c r="CX19" s="688">
        <v>0</v>
      </c>
      <c r="CY19" s="584">
        <f>ROUND(19.88*2.5*0,0)</f>
        <v>0</v>
      </c>
      <c r="CZ19" s="688">
        <v>0</v>
      </c>
      <c r="DA19" s="584">
        <f>ROUND(19.88*2.5*0,0)</f>
        <v>0</v>
      </c>
      <c r="DB19" s="688">
        <v>0</v>
      </c>
      <c r="DC19" s="584">
        <f>ROUND(19.88*2.5*0,0)</f>
        <v>0</v>
      </c>
      <c r="DD19" s="688">
        <v>0</v>
      </c>
      <c r="DE19" s="586">
        <f>ROUND(19.88*2.5*0,0)</f>
        <v>0</v>
      </c>
      <c r="DF19" s="559"/>
      <c r="DG19" s="549"/>
      <c r="DH19" s="693" t="s">
        <v>258</v>
      </c>
      <c r="DI19" s="684"/>
      <c r="DJ19" s="580">
        <v>19.88</v>
      </c>
      <c r="DK19" s="685">
        <v>2.5</v>
      </c>
      <c r="DL19" s="686"/>
      <c r="DM19" s="687">
        <v>0</v>
      </c>
      <c r="DN19" s="584">
        <f>ROUND(19.88*2.5*0,0)</f>
        <v>0</v>
      </c>
      <c r="DO19" s="688">
        <v>0</v>
      </c>
      <c r="DP19" s="584">
        <f>ROUND(19.88*2.5*0,0)</f>
        <v>0</v>
      </c>
      <c r="DQ19" s="688">
        <v>0</v>
      </c>
      <c r="DR19" s="584">
        <f>ROUND(19.88*2.5*0,0)</f>
        <v>0</v>
      </c>
      <c r="DS19" s="688">
        <v>0</v>
      </c>
      <c r="DT19" s="584">
        <f>ROUND(19.88*2.5*0,0)</f>
        <v>0</v>
      </c>
      <c r="DU19" s="688">
        <v>0</v>
      </c>
      <c r="DV19" s="584">
        <f>ROUND(19.88*2.5*0,0)</f>
        <v>0</v>
      </c>
      <c r="DW19" s="688">
        <v>0</v>
      </c>
      <c r="DX19" s="584">
        <f>ROUND(19.88*2.5*0,0)</f>
        <v>0</v>
      </c>
      <c r="DY19" s="688">
        <v>0</v>
      </c>
      <c r="DZ19" s="584">
        <f>ROUND(19.88*2.5*0,0)</f>
        <v>0</v>
      </c>
      <c r="EA19" s="688">
        <v>0</v>
      </c>
      <c r="EB19" s="584">
        <f>ROUND(19.88*2.5*0,0)</f>
        <v>0</v>
      </c>
      <c r="EC19" s="688">
        <v>1.1000000000000001</v>
      </c>
      <c r="ED19" s="584">
        <f>ROUND(19.88*2.5*1.1,0)</f>
        <v>55</v>
      </c>
      <c r="EE19" s="688">
        <v>1.6</v>
      </c>
      <c r="EF19" s="584">
        <f>ROUND(19.88*2.5*1.6,0)</f>
        <v>80</v>
      </c>
      <c r="EG19" s="688">
        <v>2</v>
      </c>
      <c r="EH19" s="584">
        <f>ROUND(19.88*2.5*2,0)</f>
        <v>99</v>
      </c>
      <c r="EI19" s="688">
        <v>2.2000000000000002</v>
      </c>
      <c r="EJ19" s="584">
        <f>ROUND(19.88*2.5*2.2,0)</f>
        <v>109</v>
      </c>
      <c r="EK19" s="688">
        <v>2.2999999999999998</v>
      </c>
      <c r="EL19" s="584">
        <f>ROUND(19.88*2.5*2.3,0)</f>
        <v>114</v>
      </c>
      <c r="EM19" s="688">
        <v>2.2000000000000002</v>
      </c>
      <c r="EN19" s="584">
        <f>ROUND(19.88*2.5*2.2,0)</f>
        <v>109</v>
      </c>
      <c r="EO19" s="688">
        <v>2</v>
      </c>
      <c r="EP19" s="584">
        <f>ROUND(19.88*2.5*2,0)</f>
        <v>99</v>
      </c>
      <c r="EQ19" s="688">
        <v>1.9</v>
      </c>
      <c r="ER19" s="584">
        <f>ROUND(19.88*2.5*1.9,0)</f>
        <v>94</v>
      </c>
      <c r="ES19" s="688">
        <v>1.5</v>
      </c>
      <c r="ET19" s="584">
        <f>ROUND(19.88*2.5*1.5,0)</f>
        <v>75</v>
      </c>
      <c r="EU19" s="688">
        <v>1.1000000000000001</v>
      </c>
      <c r="EV19" s="584">
        <f>ROUND(19.88*2.5*1.1,0)</f>
        <v>55</v>
      </c>
      <c r="EW19" s="688">
        <v>0</v>
      </c>
      <c r="EX19" s="584">
        <f>ROUND(19.88*2.5*0,0)</f>
        <v>0</v>
      </c>
      <c r="EY19" s="688">
        <v>0</v>
      </c>
      <c r="EZ19" s="584">
        <f>ROUND(19.88*2.5*0,0)</f>
        <v>0</v>
      </c>
      <c r="FA19" s="688">
        <v>0</v>
      </c>
      <c r="FB19" s="584">
        <f>ROUND(19.88*2.5*0,0)</f>
        <v>0</v>
      </c>
      <c r="FC19" s="688">
        <v>0</v>
      </c>
      <c r="FD19" s="584">
        <f>ROUND(19.88*2.5*0,0)</f>
        <v>0</v>
      </c>
      <c r="FE19" s="688">
        <v>0</v>
      </c>
      <c r="FF19" s="584">
        <f>ROUND(19.88*2.5*0,0)</f>
        <v>0</v>
      </c>
      <c r="FG19" s="688">
        <v>0</v>
      </c>
      <c r="FH19" s="586">
        <f>ROUND(19.88*2.5*0,0)</f>
        <v>0</v>
      </c>
      <c r="FI19" s="560"/>
      <c r="FJ19" s="561"/>
      <c r="FK19" s="693" t="s">
        <v>258</v>
      </c>
      <c r="FL19" s="684"/>
      <c r="FM19" s="580">
        <v>19.88</v>
      </c>
      <c r="FN19" s="685">
        <v>2.5</v>
      </c>
      <c r="FO19" s="686"/>
      <c r="FP19" s="689">
        <v>9</v>
      </c>
      <c r="FQ19" s="690">
        <v>8</v>
      </c>
      <c r="FR19" s="584">
        <f>ROUND(19.88*2.5*8,0)</f>
        <v>398</v>
      </c>
      <c r="FS19" s="691">
        <v>9</v>
      </c>
      <c r="FT19" s="690">
        <v>8.1999999999999993</v>
      </c>
      <c r="FU19" s="589">
        <f>ROUND(19.88*2.5*8.2,0)</f>
        <v>408</v>
      </c>
      <c r="FV19" s="590"/>
      <c r="FW19" s="591"/>
      <c r="FX19" s="592"/>
      <c r="FY19" s="593"/>
      <c r="FZ19" s="594"/>
      <c r="GA19" s="595"/>
      <c r="GB19" s="596"/>
      <c r="GC19" s="597"/>
      <c r="GD19" s="596"/>
      <c r="GE19" s="598"/>
      <c r="GF19" s="681"/>
      <c r="GG19" s="599"/>
      <c r="GH19" s="599"/>
      <c r="GI19" s="599"/>
      <c r="GJ19" s="410"/>
      <c r="GK19" s="625"/>
      <c r="GL19" s="626"/>
      <c r="GM19" s="627"/>
      <c r="GN19" s="628"/>
      <c r="GO19" s="629"/>
      <c r="GP19" s="653"/>
      <c r="GQ19" s="630">
        <v>0</v>
      </c>
      <c r="GR19" s="631">
        <v>0</v>
      </c>
      <c r="GS19" s="410"/>
      <c r="GT19" s="654"/>
      <c r="GU19" s="625"/>
      <c r="GV19" s="626"/>
      <c r="GW19" s="632"/>
      <c r="GX19" s="633"/>
      <c r="GY19" s="634"/>
      <c r="GZ19" s="635"/>
      <c r="HA19" s="636">
        <v>0</v>
      </c>
      <c r="HB19" s="637"/>
      <c r="HC19" s="526"/>
      <c r="HD19" s="559"/>
      <c r="HE19" s="416"/>
      <c r="HF19" s="416"/>
      <c r="HG19" s="416"/>
    </row>
    <row r="20" spans="1:218" ht="20.100000000000001" customHeight="1">
      <c r="A20" s="549"/>
      <c r="B20" s="693" t="s">
        <v>258</v>
      </c>
      <c r="C20" s="684"/>
      <c r="D20" s="580">
        <v>14.42</v>
      </c>
      <c r="E20" s="685">
        <v>2.5</v>
      </c>
      <c r="F20" s="686"/>
      <c r="G20" s="687">
        <v>0</v>
      </c>
      <c r="H20" s="584">
        <f>ROUND(14.42*2.5*0,0)</f>
        <v>0</v>
      </c>
      <c r="I20" s="688">
        <v>0</v>
      </c>
      <c r="J20" s="584">
        <f>ROUND(14.42*2.5*0,0)</f>
        <v>0</v>
      </c>
      <c r="K20" s="688">
        <v>0</v>
      </c>
      <c r="L20" s="584">
        <f>ROUND(14.42*2.5*0,0)</f>
        <v>0</v>
      </c>
      <c r="M20" s="688">
        <v>0</v>
      </c>
      <c r="N20" s="584">
        <f>ROUND(14.42*2.5*0,0)</f>
        <v>0</v>
      </c>
      <c r="O20" s="688">
        <v>0</v>
      </c>
      <c r="P20" s="584">
        <f>ROUND(14.42*2.5*0,0)</f>
        <v>0</v>
      </c>
      <c r="Q20" s="688">
        <v>0</v>
      </c>
      <c r="R20" s="584">
        <f>ROUND(14.42*2.5*0,0)</f>
        <v>0</v>
      </c>
      <c r="S20" s="688">
        <v>0</v>
      </c>
      <c r="T20" s="584">
        <f>ROUND(14.42*2.5*0,0)</f>
        <v>0</v>
      </c>
      <c r="U20" s="688">
        <v>0</v>
      </c>
      <c r="V20" s="584">
        <f>ROUND(14.42*2.5*0,0)</f>
        <v>0</v>
      </c>
      <c r="W20" s="688">
        <v>2.1</v>
      </c>
      <c r="X20" s="584">
        <f>ROUND(14.42*2.5*2.1,0)</f>
        <v>76</v>
      </c>
      <c r="Y20" s="688">
        <v>2.6</v>
      </c>
      <c r="Z20" s="584">
        <f>ROUND(14.42*2.5*2.6,0)</f>
        <v>94</v>
      </c>
      <c r="AA20" s="688">
        <v>2.9</v>
      </c>
      <c r="AB20" s="584">
        <f>ROUND(14.42*2.5*2.9,0)</f>
        <v>105</v>
      </c>
      <c r="AC20" s="688">
        <v>3.1</v>
      </c>
      <c r="AD20" s="584">
        <f>ROUND(14.42*2.5*3.1,0)</f>
        <v>112</v>
      </c>
      <c r="AE20" s="688">
        <v>3.2</v>
      </c>
      <c r="AF20" s="584">
        <f>ROUND(14.42*2.5*3.2,0)</f>
        <v>115</v>
      </c>
      <c r="AG20" s="688">
        <v>3.2</v>
      </c>
      <c r="AH20" s="584">
        <f>ROUND(14.42*2.5*3.2,0)</f>
        <v>115</v>
      </c>
      <c r="AI20" s="688">
        <v>3</v>
      </c>
      <c r="AJ20" s="584">
        <f>ROUND(14.42*2.5*3,0)</f>
        <v>108</v>
      </c>
      <c r="AK20" s="688">
        <v>2.8</v>
      </c>
      <c r="AL20" s="584">
        <f>ROUND(14.42*2.5*2.8,0)</f>
        <v>101</v>
      </c>
      <c r="AM20" s="688">
        <v>2.4</v>
      </c>
      <c r="AN20" s="584">
        <f>ROUND(14.42*2.5*2.4,0)</f>
        <v>87</v>
      </c>
      <c r="AO20" s="688">
        <v>2.1</v>
      </c>
      <c r="AP20" s="584">
        <f>ROUND(14.42*2.5*2.1,0)</f>
        <v>76</v>
      </c>
      <c r="AQ20" s="688">
        <v>0</v>
      </c>
      <c r="AR20" s="584">
        <f>ROUND(14.42*2.5*0,0)</f>
        <v>0</v>
      </c>
      <c r="AS20" s="688">
        <v>0</v>
      </c>
      <c r="AT20" s="584">
        <f>ROUND(14.42*2.5*0,0)</f>
        <v>0</v>
      </c>
      <c r="AU20" s="688">
        <v>0</v>
      </c>
      <c r="AV20" s="584">
        <f>ROUND(14.42*2.5*0,0)</f>
        <v>0</v>
      </c>
      <c r="AW20" s="688">
        <v>0</v>
      </c>
      <c r="AX20" s="584">
        <f>ROUND(14.42*2.5*0,0)</f>
        <v>0</v>
      </c>
      <c r="AY20" s="688">
        <v>0</v>
      </c>
      <c r="AZ20" s="584">
        <f>ROUND(14.42*2.5*0,0)</f>
        <v>0</v>
      </c>
      <c r="BA20" s="688">
        <v>0</v>
      </c>
      <c r="BB20" s="586">
        <f>ROUND(14.42*2.5*0,0)</f>
        <v>0</v>
      </c>
      <c r="BC20" s="559"/>
      <c r="BD20" s="549"/>
      <c r="BE20" s="693" t="s">
        <v>258</v>
      </c>
      <c r="BF20" s="684"/>
      <c r="BG20" s="580">
        <v>14.42</v>
      </c>
      <c r="BH20" s="685">
        <v>2.5</v>
      </c>
      <c r="BI20" s="686"/>
      <c r="BJ20" s="687">
        <v>0</v>
      </c>
      <c r="BK20" s="584">
        <f>ROUND(14.42*2.5*0,0)</f>
        <v>0</v>
      </c>
      <c r="BL20" s="688">
        <v>0</v>
      </c>
      <c r="BM20" s="584">
        <f>ROUND(14.42*2.5*0,0)</f>
        <v>0</v>
      </c>
      <c r="BN20" s="688">
        <v>0</v>
      </c>
      <c r="BO20" s="584">
        <f>ROUND(14.42*2.5*0,0)</f>
        <v>0</v>
      </c>
      <c r="BP20" s="688">
        <v>0</v>
      </c>
      <c r="BQ20" s="584">
        <f>ROUND(14.42*2.5*0,0)</f>
        <v>0</v>
      </c>
      <c r="BR20" s="688">
        <v>0</v>
      </c>
      <c r="BS20" s="584">
        <f>ROUND(14.42*2.5*0,0)</f>
        <v>0</v>
      </c>
      <c r="BT20" s="688">
        <v>0</v>
      </c>
      <c r="BU20" s="584">
        <f>ROUND(14.42*2.5*0,0)</f>
        <v>0</v>
      </c>
      <c r="BV20" s="688">
        <v>0</v>
      </c>
      <c r="BW20" s="584">
        <f>ROUND(14.42*2.5*0,0)</f>
        <v>0</v>
      </c>
      <c r="BX20" s="688">
        <v>0</v>
      </c>
      <c r="BY20" s="584">
        <f>ROUND(14.42*2.5*0,0)</f>
        <v>0</v>
      </c>
      <c r="BZ20" s="688">
        <v>2</v>
      </c>
      <c r="CA20" s="584">
        <f>ROUND(14.42*2.5*2,0)</f>
        <v>72</v>
      </c>
      <c r="CB20" s="688">
        <v>2.4</v>
      </c>
      <c r="CC20" s="584">
        <f>ROUND(14.42*2.5*2.4,0)</f>
        <v>87</v>
      </c>
      <c r="CD20" s="688">
        <v>2.8</v>
      </c>
      <c r="CE20" s="584">
        <f>ROUND(14.42*2.5*2.8,0)</f>
        <v>101</v>
      </c>
      <c r="CF20" s="688">
        <v>3</v>
      </c>
      <c r="CG20" s="584">
        <f>ROUND(14.42*2.5*3,0)</f>
        <v>108</v>
      </c>
      <c r="CH20" s="688">
        <v>3</v>
      </c>
      <c r="CI20" s="584">
        <f>ROUND(14.42*2.5*3,0)</f>
        <v>108</v>
      </c>
      <c r="CJ20" s="688">
        <v>3</v>
      </c>
      <c r="CK20" s="584">
        <f>ROUND(14.42*2.5*3,0)</f>
        <v>108</v>
      </c>
      <c r="CL20" s="688">
        <v>2.8</v>
      </c>
      <c r="CM20" s="584">
        <f>ROUND(14.42*2.5*2.8,0)</f>
        <v>101</v>
      </c>
      <c r="CN20" s="688">
        <v>2.6</v>
      </c>
      <c r="CO20" s="584">
        <f>ROUND(14.42*2.5*2.6,0)</f>
        <v>94</v>
      </c>
      <c r="CP20" s="688">
        <v>2.4</v>
      </c>
      <c r="CQ20" s="584">
        <f>ROUND(14.42*2.5*2.4,0)</f>
        <v>87</v>
      </c>
      <c r="CR20" s="688">
        <v>2</v>
      </c>
      <c r="CS20" s="584">
        <f>ROUND(14.42*2.5*2,0)</f>
        <v>72</v>
      </c>
      <c r="CT20" s="688">
        <v>0</v>
      </c>
      <c r="CU20" s="584">
        <f>ROUND(14.42*2.5*0,0)</f>
        <v>0</v>
      </c>
      <c r="CV20" s="688">
        <v>0</v>
      </c>
      <c r="CW20" s="584">
        <f>ROUND(14.42*2.5*0,0)</f>
        <v>0</v>
      </c>
      <c r="CX20" s="688">
        <v>0</v>
      </c>
      <c r="CY20" s="584">
        <f>ROUND(14.42*2.5*0,0)</f>
        <v>0</v>
      </c>
      <c r="CZ20" s="688">
        <v>0</v>
      </c>
      <c r="DA20" s="584">
        <f>ROUND(14.42*2.5*0,0)</f>
        <v>0</v>
      </c>
      <c r="DB20" s="688">
        <v>0</v>
      </c>
      <c r="DC20" s="584">
        <f>ROUND(14.42*2.5*0,0)</f>
        <v>0</v>
      </c>
      <c r="DD20" s="688">
        <v>0</v>
      </c>
      <c r="DE20" s="586">
        <f>ROUND(14.42*2.5*0,0)</f>
        <v>0</v>
      </c>
      <c r="DF20" s="559"/>
      <c r="DG20" s="549"/>
      <c r="DH20" s="693" t="s">
        <v>258</v>
      </c>
      <c r="DI20" s="684"/>
      <c r="DJ20" s="580">
        <v>14.42</v>
      </c>
      <c r="DK20" s="685">
        <v>2.5</v>
      </c>
      <c r="DL20" s="686"/>
      <c r="DM20" s="687">
        <v>0</v>
      </c>
      <c r="DN20" s="584">
        <f>ROUND(14.42*2.5*0,0)</f>
        <v>0</v>
      </c>
      <c r="DO20" s="688">
        <v>0</v>
      </c>
      <c r="DP20" s="584">
        <f>ROUND(14.42*2.5*0,0)</f>
        <v>0</v>
      </c>
      <c r="DQ20" s="688">
        <v>0</v>
      </c>
      <c r="DR20" s="584">
        <f>ROUND(14.42*2.5*0,0)</f>
        <v>0</v>
      </c>
      <c r="DS20" s="688">
        <v>0</v>
      </c>
      <c r="DT20" s="584">
        <f>ROUND(14.42*2.5*0,0)</f>
        <v>0</v>
      </c>
      <c r="DU20" s="688">
        <v>0</v>
      </c>
      <c r="DV20" s="584">
        <f>ROUND(14.42*2.5*0,0)</f>
        <v>0</v>
      </c>
      <c r="DW20" s="688">
        <v>0</v>
      </c>
      <c r="DX20" s="584">
        <f>ROUND(14.42*2.5*0,0)</f>
        <v>0</v>
      </c>
      <c r="DY20" s="688">
        <v>0</v>
      </c>
      <c r="DZ20" s="584">
        <f>ROUND(14.42*2.5*0,0)</f>
        <v>0</v>
      </c>
      <c r="EA20" s="688">
        <v>0</v>
      </c>
      <c r="EB20" s="584">
        <f>ROUND(14.42*2.5*0,0)</f>
        <v>0</v>
      </c>
      <c r="EC20" s="688">
        <v>1.1000000000000001</v>
      </c>
      <c r="ED20" s="584">
        <f>ROUND(14.42*2.5*1.1,0)</f>
        <v>40</v>
      </c>
      <c r="EE20" s="688">
        <v>1.6</v>
      </c>
      <c r="EF20" s="584">
        <f>ROUND(14.42*2.5*1.6,0)</f>
        <v>58</v>
      </c>
      <c r="EG20" s="688">
        <v>2</v>
      </c>
      <c r="EH20" s="584">
        <f>ROUND(14.42*2.5*2,0)</f>
        <v>72</v>
      </c>
      <c r="EI20" s="688">
        <v>2.2000000000000002</v>
      </c>
      <c r="EJ20" s="584">
        <f>ROUND(14.42*2.5*2.2,0)</f>
        <v>79</v>
      </c>
      <c r="EK20" s="688">
        <v>2.2999999999999998</v>
      </c>
      <c r="EL20" s="584">
        <f>ROUND(14.42*2.5*2.3,0)</f>
        <v>83</v>
      </c>
      <c r="EM20" s="688">
        <v>2.2000000000000002</v>
      </c>
      <c r="EN20" s="584">
        <f>ROUND(14.42*2.5*2.2,0)</f>
        <v>79</v>
      </c>
      <c r="EO20" s="688">
        <v>2</v>
      </c>
      <c r="EP20" s="584">
        <f>ROUND(14.42*2.5*2,0)</f>
        <v>72</v>
      </c>
      <c r="EQ20" s="688">
        <v>1.9</v>
      </c>
      <c r="ER20" s="584">
        <f>ROUND(14.42*2.5*1.9,0)</f>
        <v>68</v>
      </c>
      <c r="ES20" s="688">
        <v>1.5</v>
      </c>
      <c r="ET20" s="584">
        <f>ROUND(14.42*2.5*1.5,0)</f>
        <v>54</v>
      </c>
      <c r="EU20" s="688">
        <v>1.1000000000000001</v>
      </c>
      <c r="EV20" s="584">
        <f>ROUND(14.42*2.5*1.1,0)</f>
        <v>40</v>
      </c>
      <c r="EW20" s="688">
        <v>0</v>
      </c>
      <c r="EX20" s="584">
        <f>ROUND(14.42*2.5*0,0)</f>
        <v>0</v>
      </c>
      <c r="EY20" s="688">
        <v>0</v>
      </c>
      <c r="EZ20" s="584">
        <f>ROUND(14.42*2.5*0,0)</f>
        <v>0</v>
      </c>
      <c r="FA20" s="688">
        <v>0</v>
      </c>
      <c r="FB20" s="584">
        <f>ROUND(14.42*2.5*0,0)</f>
        <v>0</v>
      </c>
      <c r="FC20" s="688">
        <v>0</v>
      </c>
      <c r="FD20" s="584">
        <f>ROUND(14.42*2.5*0,0)</f>
        <v>0</v>
      </c>
      <c r="FE20" s="688">
        <v>0</v>
      </c>
      <c r="FF20" s="584">
        <f>ROUND(14.42*2.5*0,0)</f>
        <v>0</v>
      </c>
      <c r="FG20" s="688">
        <v>0</v>
      </c>
      <c r="FH20" s="586">
        <f>ROUND(14.42*2.5*0,0)</f>
        <v>0</v>
      </c>
      <c r="FI20" s="560"/>
      <c r="FJ20" s="561"/>
      <c r="FK20" s="693" t="s">
        <v>258</v>
      </c>
      <c r="FL20" s="684"/>
      <c r="FM20" s="580">
        <v>14.42</v>
      </c>
      <c r="FN20" s="685">
        <v>2.5</v>
      </c>
      <c r="FO20" s="686"/>
      <c r="FP20" s="689">
        <v>9</v>
      </c>
      <c r="FQ20" s="690">
        <v>8</v>
      </c>
      <c r="FR20" s="584">
        <f>ROUND(14.42*2.5*8,0)</f>
        <v>288</v>
      </c>
      <c r="FS20" s="691">
        <v>9</v>
      </c>
      <c r="FT20" s="690">
        <v>8.1999999999999993</v>
      </c>
      <c r="FU20" s="589">
        <f>ROUND(14.42*2.5*8.2,0)</f>
        <v>296</v>
      </c>
      <c r="FV20" s="590"/>
      <c r="FW20" s="591"/>
      <c r="FX20" s="592"/>
      <c r="FY20" s="593"/>
      <c r="FZ20" s="594"/>
      <c r="GA20" s="595"/>
      <c r="GB20" s="596"/>
      <c r="GC20" s="597"/>
      <c r="GD20" s="596"/>
      <c r="GE20" s="598"/>
      <c r="GF20" s="681"/>
      <c r="GG20" s="599"/>
      <c r="GH20" s="599"/>
      <c r="GI20" s="599"/>
      <c r="GJ20" s="410"/>
      <c r="GK20" s="625"/>
      <c r="GL20" s="626"/>
      <c r="GM20" s="627"/>
      <c r="GN20" s="628"/>
      <c r="GO20" s="629"/>
      <c r="GP20" s="653"/>
      <c r="GQ20" s="630">
        <v>0</v>
      </c>
      <c r="GR20" s="631">
        <v>0</v>
      </c>
      <c r="GS20" s="414"/>
      <c r="GT20" s="654"/>
      <c r="GU20" s="625"/>
      <c r="GV20" s="626"/>
      <c r="GW20" s="632"/>
      <c r="GX20" s="633"/>
      <c r="GY20" s="634"/>
      <c r="GZ20" s="635"/>
      <c r="HA20" s="636">
        <v>0</v>
      </c>
      <c r="HB20" s="637"/>
      <c r="HC20" s="410"/>
      <c r="HD20" s="559"/>
      <c r="HE20" s="416"/>
      <c r="HF20" s="416"/>
      <c r="HG20" s="416"/>
    </row>
    <row r="21" spans="1:218" ht="20.100000000000001" customHeight="1">
      <c r="A21" s="549"/>
      <c r="B21" s="693" t="s">
        <v>246</v>
      </c>
      <c r="C21" s="684"/>
      <c r="D21" s="580">
        <v>54.8</v>
      </c>
      <c r="E21" s="685">
        <v>0.5</v>
      </c>
      <c r="F21" s="686"/>
      <c r="G21" s="687">
        <v>0</v>
      </c>
      <c r="H21" s="584">
        <f>ROUND(54.8*0.5*0,0)</f>
        <v>0</v>
      </c>
      <c r="I21" s="688">
        <v>0</v>
      </c>
      <c r="J21" s="584">
        <f>ROUND(54.8*0.5*0,0)</f>
        <v>0</v>
      </c>
      <c r="K21" s="688">
        <v>0</v>
      </c>
      <c r="L21" s="584">
        <f>ROUND(54.8*0.5*0,0)</f>
        <v>0</v>
      </c>
      <c r="M21" s="688">
        <v>0</v>
      </c>
      <c r="N21" s="584">
        <f>ROUND(54.8*0.5*0,0)</f>
        <v>0</v>
      </c>
      <c r="O21" s="688">
        <v>0</v>
      </c>
      <c r="P21" s="584">
        <f>ROUND(54.8*0.5*0,0)</f>
        <v>0</v>
      </c>
      <c r="Q21" s="688">
        <v>0</v>
      </c>
      <c r="R21" s="584">
        <f>ROUND(54.8*0.5*0,0)</f>
        <v>0</v>
      </c>
      <c r="S21" s="688">
        <v>0</v>
      </c>
      <c r="T21" s="584">
        <f>ROUND(54.8*0.5*0,0)</f>
        <v>0</v>
      </c>
      <c r="U21" s="688">
        <v>0</v>
      </c>
      <c r="V21" s="584">
        <f>ROUND(54.8*0.5*0,0)</f>
        <v>0</v>
      </c>
      <c r="W21" s="688">
        <v>5.3</v>
      </c>
      <c r="X21" s="584">
        <f>ROUND(54.8*0.5*5.3,0)</f>
        <v>145</v>
      </c>
      <c r="Y21" s="688">
        <v>5.2</v>
      </c>
      <c r="Z21" s="584">
        <f>ROUND(54.8*0.5*5.2,0)</f>
        <v>142</v>
      </c>
      <c r="AA21" s="688">
        <v>5.2</v>
      </c>
      <c r="AB21" s="584">
        <f>ROUND(54.8*0.5*5.2,0)</f>
        <v>142</v>
      </c>
      <c r="AC21" s="688">
        <v>5.3</v>
      </c>
      <c r="AD21" s="584">
        <f>ROUND(54.8*0.5*5.3,0)</f>
        <v>145</v>
      </c>
      <c r="AE21" s="688">
        <v>5.7</v>
      </c>
      <c r="AF21" s="584">
        <f>ROUND(54.8*0.5*5.7,0)</f>
        <v>156</v>
      </c>
      <c r="AG21" s="688">
        <v>6.3</v>
      </c>
      <c r="AH21" s="584">
        <f>ROUND(54.8*0.5*6.3,0)</f>
        <v>173</v>
      </c>
      <c r="AI21" s="688">
        <v>7</v>
      </c>
      <c r="AJ21" s="584">
        <f>ROUND(54.8*0.5*7,0)</f>
        <v>192</v>
      </c>
      <c r="AK21" s="688">
        <v>7.8</v>
      </c>
      <c r="AL21" s="584">
        <f>ROUND(54.8*0.5*7.8,0)</f>
        <v>214</v>
      </c>
      <c r="AM21" s="688">
        <v>8.6</v>
      </c>
      <c r="AN21" s="584">
        <f>ROUND(54.8*0.5*8.6,0)</f>
        <v>236</v>
      </c>
      <c r="AO21" s="688">
        <v>9.4</v>
      </c>
      <c r="AP21" s="584">
        <f>ROUND(54.8*0.5*9.4,0)</f>
        <v>258</v>
      </c>
      <c r="AQ21" s="688">
        <v>0</v>
      </c>
      <c r="AR21" s="584">
        <f>ROUND(54.8*0.5*0,0)</f>
        <v>0</v>
      </c>
      <c r="AS21" s="688">
        <v>0</v>
      </c>
      <c r="AT21" s="584">
        <f>ROUND(54.8*0.5*0,0)</f>
        <v>0</v>
      </c>
      <c r="AU21" s="688">
        <v>0</v>
      </c>
      <c r="AV21" s="584">
        <f>ROUND(54.8*0.5*0,0)</f>
        <v>0</v>
      </c>
      <c r="AW21" s="688">
        <v>0</v>
      </c>
      <c r="AX21" s="584">
        <f>ROUND(54.8*0.5*0,0)</f>
        <v>0</v>
      </c>
      <c r="AY21" s="688">
        <v>0</v>
      </c>
      <c r="AZ21" s="584">
        <f>ROUND(54.8*0.5*0,0)</f>
        <v>0</v>
      </c>
      <c r="BA21" s="688">
        <v>0</v>
      </c>
      <c r="BB21" s="586">
        <f>ROUND(54.8*0.5*0,0)</f>
        <v>0</v>
      </c>
      <c r="BC21" s="559"/>
      <c r="BD21" s="549"/>
      <c r="BE21" s="693" t="s">
        <v>246</v>
      </c>
      <c r="BF21" s="684"/>
      <c r="BG21" s="580">
        <v>54.8</v>
      </c>
      <c r="BH21" s="685">
        <v>0.5</v>
      </c>
      <c r="BI21" s="686"/>
      <c r="BJ21" s="687">
        <v>0</v>
      </c>
      <c r="BK21" s="584">
        <f>ROUND(54.8*0.5*0,0)</f>
        <v>0</v>
      </c>
      <c r="BL21" s="688">
        <v>0</v>
      </c>
      <c r="BM21" s="584">
        <f>ROUND(54.8*0.5*0,0)</f>
        <v>0</v>
      </c>
      <c r="BN21" s="688">
        <v>0</v>
      </c>
      <c r="BO21" s="584">
        <f>ROUND(54.8*0.5*0,0)</f>
        <v>0</v>
      </c>
      <c r="BP21" s="688">
        <v>0</v>
      </c>
      <c r="BQ21" s="584">
        <f>ROUND(54.8*0.5*0,0)</f>
        <v>0</v>
      </c>
      <c r="BR21" s="688">
        <v>0</v>
      </c>
      <c r="BS21" s="584">
        <f>ROUND(54.8*0.5*0,0)</f>
        <v>0</v>
      </c>
      <c r="BT21" s="688">
        <v>0</v>
      </c>
      <c r="BU21" s="584">
        <f>ROUND(54.8*0.5*0,0)</f>
        <v>0</v>
      </c>
      <c r="BV21" s="688">
        <v>0</v>
      </c>
      <c r="BW21" s="584">
        <f>ROUND(54.8*0.5*0,0)</f>
        <v>0</v>
      </c>
      <c r="BX21" s="688">
        <v>0</v>
      </c>
      <c r="BY21" s="584">
        <f>ROUND(54.8*0.5*0,0)</f>
        <v>0</v>
      </c>
      <c r="BZ21" s="688">
        <v>5.2</v>
      </c>
      <c r="CA21" s="584">
        <f>ROUND(54.8*0.5*5.2,0)</f>
        <v>142</v>
      </c>
      <c r="CB21" s="688">
        <v>5</v>
      </c>
      <c r="CC21" s="584">
        <f>ROUND(54.8*0.5*5,0)</f>
        <v>137</v>
      </c>
      <c r="CD21" s="688">
        <v>5</v>
      </c>
      <c r="CE21" s="584">
        <f>ROUND(54.8*0.5*5,0)</f>
        <v>137</v>
      </c>
      <c r="CF21" s="688">
        <v>5.0999999999999996</v>
      </c>
      <c r="CG21" s="584">
        <f>ROUND(54.8*0.5*5.1,0)</f>
        <v>140</v>
      </c>
      <c r="CH21" s="688">
        <v>5.4</v>
      </c>
      <c r="CI21" s="584">
        <f>ROUND(54.8*0.5*5.4,0)</f>
        <v>148</v>
      </c>
      <c r="CJ21" s="688">
        <v>6</v>
      </c>
      <c r="CK21" s="584">
        <f>ROUND(54.8*0.5*6,0)</f>
        <v>164</v>
      </c>
      <c r="CL21" s="688">
        <v>6.8</v>
      </c>
      <c r="CM21" s="584">
        <f>ROUND(54.8*0.5*6.8,0)</f>
        <v>186</v>
      </c>
      <c r="CN21" s="688">
        <v>7.8</v>
      </c>
      <c r="CO21" s="584">
        <f>ROUND(54.8*0.5*7.8,0)</f>
        <v>214</v>
      </c>
      <c r="CP21" s="688">
        <v>8.6999999999999993</v>
      </c>
      <c r="CQ21" s="584">
        <f>ROUND(54.8*0.5*8.7,0)</f>
        <v>238</v>
      </c>
      <c r="CR21" s="688">
        <v>9.6</v>
      </c>
      <c r="CS21" s="584">
        <f>ROUND(54.8*0.5*9.6,0)</f>
        <v>263</v>
      </c>
      <c r="CT21" s="688">
        <v>0</v>
      </c>
      <c r="CU21" s="584">
        <f>ROUND(54.8*0.5*0,0)</f>
        <v>0</v>
      </c>
      <c r="CV21" s="688">
        <v>0</v>
      </c>
      <c r="CW21" s="584">
        <f>ROUND(54.8*0.5*0,0)</f>
        <v>0</v>
      </c>
      <c r="CX21" s="688">
        <v>0</v>
      </c>
      <c r="CY21" s="584">
        <f>ROUND(54.8*0.5*0,0)</f>
        <v>0</v>
      </c>
      <c r="CZ21" s="688">
        <v>0</v>
      </c>
      <c r="DA21" s="584">
        <f>ROUND(54.8*0.5*0,0)</f>
        <v>0</v>
      </c>
      <c r="DB21" s="688">
        <v>0</v>
      </c>
      <c r="DC21" s="584">
        <f>ROUND(54.8*0.5*0,0)</f>
        <v>0</v>
      </c>
      <c r="DD21" s="688">
        <v>0</v>
      </c>
      <c r="DE21" s="586">
        <f>ROUND(54.8*0.5*0,0)</f>
        <v>0</v>
      </c>
      <c r="DF21" s="559"/>
      <c r="DG21" s="549"/>
      <c r="DH21" s="693" t="s">
        <v>246</v>
      </c>
      <c r="DI21" s="684"/>
      <c r="DJ21" s="580">
        <v>54.8</v>
      </c>
      <c r="DK21" s="685">
        <v>0.5</v>
      </c>
      <c r="DL21" s="686"/>
      <c r="DM21" s="687">
        <v>0</v>
      </c>
      <c r="DN21" s="584">
        <f>ROUND(54.8*0.5*0,0)</f>
        <v>0</v>
      </c>
      <c r="DO21" s="688">
        <v>0</v>
      </c>
      <c r="DP21" s="584">
        <f>ROUND(54.8*0.5*0,0)</f>
        <v>0</v>
      </c>
      <c r="DQ21" s="688">
        <v>0</v>
      </c>
      <c r="DR21" s="584">
        <f>ROUND(54.8*0.5*0,0)</f>
        <v>0</v>
      </c>
      <c r="DS21" s="688">
        <v>0</v>
      </c>
      <c r="DT21" s="584">
        <f>ROUND(54.8*0.5*0,0)</f>
        <v>0</v>
      </c>
      <c r="DU21" s="688">
        <v>0</v>
      </c>
      <c r="DV21" s="584">
        <f>ROUND(54.8*0.5*0,0)</f>
        <v>0</v>
      </c>
      <c r="DW21" s="688">
        <v>0</v>
      </c>
      <c r="DX21" s="584">
        <f>ROUND(54.8*0.5*0,0)</f>
        <v>0</v>
      </c>
      <c r="DY21" s="688">
        <v>0</v>
      </c>
      <c r="DZ21" s="584">
        <f>ROUND(54.8*0.5*0,0)</f>
        <v>0</v>
      </c>
      <c r="EA21" s="688">
        <v>0</v>
      </c>
      <c r="EB21" s="584">
        <f>ROUND(54.8*0.5*0,0)</f>
        <v>0</v>
      </c>
      <c r="EC21" s="688">
        <v>3.8</v>
      </c>
      <c r="ED21" s="584">
        <f>ROUND(54.8*0.5*3.8,0)</f>
        <v>104</v>
      </c>
      <c r="EE21" s="688">
        <v>3.5</v>
      </c>
      <c r="EF21" s="584">
        <f>ROUND(54.8*0.5*3.5,0)</f>
        <v>96</v>
      </c>
      <c r="EG21" s="688">
        <v>3.4</v>
      </c>
      <c r="EH21" s="584">
        <f>ROUND(54.8*0.5*3.4,0)</f>
        <v>93</v>
      </c>
      <c r="EI21" s="688">
        <v>3.6</v>
      </c>
      <c r="EJ21" s="584">
        <f>ROUND(54.8*0.5*3.6,0)</f>
        <v>99</v>
      </c>
      <c r="EK21" s="688">
        <v>4.0999999999999996</v>
      </c>
      <c r="EL21" s="584">
        <f>ROUND(54.8*0.5*4.1,0)</f>
        <v>112</v>
      </c>
      <c r="EM21" s="688">
        <v>4.9000000000000004</v>
      </c>
      <c r="EN21" s="584">
        <f>ROUND(54.8*0.5*4.9,0)</f>
        <v>134</v>
      </c>
      <c r="EO21" s="688">
        <v>6</v>
      </c>
      <c r="EP21" s="584">
        <f>ROUND(54.8*0.5*6,0)</f>
        <v>164</v>
      </c>
      <c r="EQ21" s="688">
        <v>7.3</v>
      </c>
      <c r="ER21" s="584">
        <f>ROUND(54.8*0.5*7.3,0)</f>
        <v>200</v>
      </c>
      <c r="ES21" s="688">
        <v>8.5</v>
      </c>
      <c r="ET21" s="584">
        <f>ROUND(54.8*0.5*8.5,0)</f>
        <v>233</v>
      </c>
      <c r="EU21" s="688">
        <v>9.6</v>
      </c>
      <c r="EV21" s="584">
        <f>ROUND(54.8*0.5*9.6,0)</f>
        <v>263</v>
      </c>
      <c r="EW21" s="688">
        <v>0</v>
      </c>
      <c r="EX21" s="584">
        <f>ROUND(54.8*0.5*0,0)</f>
        <v>0</v>
      </c>
      <c r="EY21" s="688">
        <v>0</v>
      </c>
      <c r="EZ21" s="584">
        <f>ROUND(54.8*0.5*0,0)</f>
        <v>0</v>
      </c>
      <c r="FA21" s="688">
        <v>0</v>
      </c>
      <c r="FB21" s="584">
        <f>ROUND(54.8*0.5*0,0)</f>
        <v>0</v>
      </c>
      <c r="FC21" s="688">
        <v>0</v>
      </c>
      <c r="FD21" s="584">
        <f>ROUND(54.8*0.5*0,0)</f>
        <v>0</v>
      </c>
      <c r="FE21" s="688">
        <v>0</v>
      </c>
      <c r="FF21" s="584">
        <f>ROUND(54.8*0.5*0,0)</f>
        <v>0</v>
      </c>
      <c r="FG21" s="688">
        <v>0</v>
      </c>
      <c r="FH21" s="586">
        <f>ROUND(54.8*0.5*0,0)</f>
        <v>0</v>
      </c>
      <c r="FI21" s="560"/>
      <c r="FJ21" s="561"/>
      <c r="FK21" s="693" t="s">
        <v>246</v>
      </c>
      <c r="FL21" s="684"/>
      <c r="FM21" s="580">
        <v>54.8</v>
      </c>
      <c r="FN21" s="685">
        <v>0.5</v>
      </c>
      <c r="FO21" s="686"/>
      <c r="FP21" s="689">
        <v>9</v>
      </c>
      <c r="FQ21" s="690">
        <v>20</v>
      </c>
      <c r="FR21" s="584">
        <f>ROUND(54.8*0.5*20,0)</f>
        <v>548</v>
      </c>
      <c r="FS21" s="691">
        <v>9</v>
      </c>
      <c r="FT21" s="690">
        <v>20.5</v>
      </c>
      <c r="FU21" s="589">
        <f>ROUND(54.8*0.5*20.5,0)</f>
        <v>562</v>
      </c>
      <c r="FV21" s="590"/>
      <c r="FW21" s="591"/>
      <c r="FX21" s="592"/>
      <c r="FY21" s="593"/>
      <c r="FZ21" s="594"/>
      <c r="GA21" s="595"/>
      <c r="GB21" s="596"/>
      <c r="GC21" s="597"/>
      <c r="GD21" s="596"/>
      <c r="GE21" s="598"/>
      <c r="GF21" s="681"/>
      <c r="GG21" s="599"/>
      <c r="GH21" s="599"/>
      <c r="GI21" s="599"/>
      <c r="GJ21" s="410"/>
      <c r="GK21" s="694" t="s">
        <v>463</v>
      </c>
      <c r="GL21" s="695"/>
      <c r="GM21" s="696"/>
      <c r="GN21" s="635">
        <v>10.8</v>
      </c>
      <c r="GO21" s="697"/>
      <c r="GP21" s="698"/>
      <c r="GQ21" s="630">
        <v>0</v>
      </c>
      <c r="GR21" s="631">
        <v>10.8</v>
      </c>
      <c r="GS21" s="575"/>
      <c r="GT21" s="670"/>
      <c r="GU21" s="694" t="s">
        <v>463</v>
      </c>
      <c r="GV21" s="695"/>
      <c r="GW21" s="696"/>
      <c r="GX21" s="699">
        <v>10.8</v>
      </c>
      <c r="GY21" s="700"/>
      <c r="GZ21" s="697"/>
      <c r="HA21" s="701">
        <v>7.02</v>
      </c>
      <c r="HB21" s="702"/>
      <c r="HC21" s="703"/>
      <c r="HD21" s="559"/>
      <c r="HE21" s="612"/>
      <c r="HF21" s="612"/>
      <c r="HG21" s="416"/>
    </row>
    <row r="22" spans="1:218" ht="20.100000000000001" customHeight="1">
      <c r="A22" s="549"/>
      <c r="B22" s="693" t="s">
        <v>269</v>
      </c>
      <c r="C22" s="684"/>
      <c r="D22" s="580">
        <v>54.8</v>
      </c>
      <c r="E22" s="685">
        <v>2.8</v>
      </c>
      <c r="F22" s="686"/>
      <c r="G22" s="687">
        <v>0</v>
      </c>
      <c r="H22" s="584">
        <f>ROUND(54.8*2.8*0,0)</f>
        <v>0</v>
      </c>
      <c r="I22" s="688">
        <v>0</v>
      </c>
      <c r="J22" s="584">
        <f>ROUND(54.8*2.8*0,0)</f>
        <v>0</v>
      </c>
      <c r="K22" s="688">
        <v>0</v>
      </c>
      <c r="L22" s="584">
        <f>ROUND(54.8*2.8*0,0)</f>
        <v>0</v>
      </c>
      <c r="M22" s="688">
        <v>0</v>
      </c>
      <c r="N22" s="584">
        <f>ROUND(54.8*2.8*0,0)</f>
        <v>0</v>
      </c>
      <c r="O22" s="688">
        <v>0</v>
      </c>
      <c r="P22" s="584">
        <f>ROUND(54.8*2.8*0,0)</f>
        <v>0</v>
      </c>
      <c r="Q22" s="688">
        <v>0</v>
      </c>
      <c r="R22" s="584">
        <f>ROUND(54.8*2.8*0,0)</f>
        <v>0</v>
      </c>
      <c r="S22" s="688">
        <v>0</v>
      </c>
      <c r="T22" s="584">
        <f>ROUND(54.8*2.8*0,0)</f>
        <v>0</v>
      </c>
      <c r="U22" s="688">
        <v>0</v>
      </c>
      <c r="V22" s="584">
        <f>ROUND(54.8*2.8*0,0)</f>
        <v>0</v>
      </c>
      <c r="W22" s="688">
        <v>1.6</v>
      </c>
      <c r="X22" s="584">
        <f>ROUND(54.8*2.8*1.6,0)</f>
        <v>246</v>
      </c>
      <c r="Y22" s="688">
        <v>2</v>
      </c>
      <c r="Z22" s="584">
        <f>ROUND(54.8*2.8*2,0)</f>
        <v>307</v>
      </c>
      <c r="AA22" s="688">
        <v>2.2000000000000002</v>
      </c>
      <c r="AB22" s="584">
        <f>ROUND(54.8*2.8*2.2,0)</f>
        <v>338</v>
      </c>
      <c r="AC22" s="688">
        <v>2.2999999999999998</v>
      </c>
      <c r="AD22" s="584">
        <f>ROUND(54.8*2.8*2.3,0)</f>
        <v>353</v>
      </c>
      <c r="AE22" s="688">
        <v>2.4</v>
      </c>
      <c r="AF22" s="584">
        <f>ROUND(54.8*2.8*2.4,0)</f>
        <v>368</v>
      </c>
      <c r="AG22" s="688">
        <v>2.4</v>
      </c>
      <c r="AH22" s="584">
        <f>ROUND(54.8*2.8*2.4,0)</f>
        <v>368</v>
      </c>
      <c r="AI22" s="688">
        <v>2.2000000000000002</v>
      </c>
      <c r="AJ22" s="584">
        <f>ROUND(54.8*2.8*2.2,0)</f>
        <v>338</v>
      </c>
      <c r="AK22" s="688">
        <v>2.1</v>
      </c>
      <c r="AL22" s="584">
        <f>ROUND(54.8*2.8*2.1,0)</f>
        <v>322</v>
      </c>
      <c r="AM22" s="688">
        <v>1.8</v>
      </c>
      <c r="AN22" s="584">
        <f>ROUND(54.8*2.8*1.8,0)</f>
        <v>276</v>
      </c>
      <c r="AO22" s="688">
        <v>1.6</v>
      </c>
      <c r="AP22" s="584">
        <f>ROUND(54.8*2.8*1.6,0)</f>
        <v>246</v>
      </c>
      <c r="AQ22" s="688">
        <v>0</v>
      </c>
      <c r="AR22" s="584">
        <f>ROUND(54.8*2.8*0,0)</f>
        <v>0</v>
      </c>
      <c r="AS22" s="688">
        <v>0</v>
      </c>
      <c r="AT22" s="584">
        <f>ROUND(54.8*2.8*0,0)</f>
        <v>0</v>
      </c>
      <c r="AU22" s="688">
        <v>0</v>
      </c>
      <c r="AV22" s="584">
        <f>ROUND(54.8*2.8*0,0)</f>
        <v>0</v>
      </c>
      <c r="AW22" s="688">
        <v>0</v>
      </c>
      <c r="AX22" s="584">
        <f>ROUND(54.8*2.8*0,0)</f>
        <v>0</v>
      </c>
      <c r="AY22" s="688">
        <v>0</v>
      </c>
      <c r="AZ22" s="584">
        <f>ROUND(54.8*2.8*0,0)</f>
        <v>0</v>
      </c>
      <c r="BA22" s="688">
        <v>0</v>
      </c>
      <c r="BB22" s="586">
        <f>ROUND(54.8*2.8*0,0)</f>
        <v>0</v>
      </c>
      <c r="BC22" s="559"/>
      <c r="BD22" s="549"/>
      <c r="BE22" s="693" t="s">
        <v>269</v>
      </c>
      <c r="BF22" s="684"/>
      <c r="BG22" s="580">
        <v>54.8</v>
      </c>
      <c r="BH22" s="685">
        <v>2.8</v>
      </c>
      <c r="BI22" s="686"/>
      <c r="BJ22" s="687">
        <v>0</v>
      </c>
      <c r="BK22" s="584">
        <f>ROUND(54.8*2.8*0,0)</f>
        <v>0</v>
      </c>
      <c r="BL22" s="688">
        <v>0</v>
      </c>
      <c r="BM22" s="584">
        <f>ROUND(54.8*2.8*0,0)</f>
        <v>0</v>
      </c>
      <c r="BN22" s="688">
        <v>0</v>
      </c>
      <c r="BO22" s="584">
        <f>ROUND(54.8*2.8*0,0)</f>
        <v>0</v>
      </c>
      <c r="BP22" s="688">
        <v>0</v>
      </c>
      <c r="BQ22" s="584">
        <f>ROUND(54.8*2.8*0,0)</f>
        <v>0</v>
      </c>
      <c r="BR22" s="688">
        <v>0</v>
      </c>
      <c r="BS22" s="584">
        <f>ROUND(54.8*2.8*0,0)</f>
        <v>0</v>
      </c>
      <c r="BT22" s="688">
        <v>0</v>
      </c>
      <c r="BU22" s="584">
        <f>ROUND(54.8*2.8*0,0)</f>
        <v>0</v>
      </c>
      <c r="BV22" s="688">
        <v>0</v>
      </c>
      <c r="BW22" s="584">
        <f>ROUND(54.8*2.8*0,0)</f>
        <v>0</v>
      </c>
      <c r="BX22" s="688">
        <v>0</v>
      </c>
      <c r="BY22" s="584">
        <f>ROUND(54.8*2.8*0,0)</f>
        <v>0</v>
      </c>
      <c r="BZ22" s="688">
        <v>1.5</v>
      </c>
      <c r="CA22" s="584">
        <f>ROUND(54.8*2.8*1.5,0)</f>
        <v>230</v>
      </c>
      <c r="CB22" s="688">
        <v>1.8</v>
      </c>
      <c r="CC22" s="584">
        <f>ROUND(54.8*2.8*1.8,0)</f>
        <v>276</v>
      </c>
      <c r="CD22" s="688">
        <v>2.1</v>
      </c>
      <c r="CE22" s="584">
        <f>ROUND(54.8*2.8*2.1,0)</f>
        <v>322</v>
      </c>
      <c r="CF22" s="688">
        <v>2.2000000000000002</v>
      </c>
      <c r="CG22" s="584">
        <f>ROUND(54.8*2.8*2.2,0)</f>
        <v>338</v>
      </c>
      <c r="CH22" s="688">
        <v>2.2999999999999998</v>
      </c>
      <c r="CI22" s="584">
        <f>ROUND(54.8*2.8*2.3,0)</f>
        <v>353</v>
      </c>
      <c r="CJ22" s="688">
        <v>2.2000000000000002</v>
      </c>
      <c r="CK22" s="584">
        <f>ROUND(54.8*2.8*2.2,0)</f>
        <v>338</v>
      </c>
      <c r="CL22" s="688">
        <v>2.1</v>
      </c>
      <c r="CM22" s="584">
        <f>ROUND(54.8*2.8*2.1,0)</f>
        <v>322</v>
      </c>
      <c r="CN22" s="688">
        <v>2</v>
      </c>
      <c r="CO22" s="584">
        <f>ROUND(54.8*2.8*2,0)</f>
        <v>307</v>
      </c>
      <c r="CP22" s="688">
        <v>1.8</v>
      </c>
      <c r="CQ22" s="584">
        <f>ROUND(54.8*2.8*1.8,0)</f>
        <v>276</v>
      </c>
      <c r="CR22" s="688">
        <v>1.5</v>
      </c>
      <c r="CS22" s="584">
        <f>ROUND(54.8*2.8*1.5,0)</f>
        <v>230</v>
      </c>
      <c r="CT22" s="688">
        <v>0</v>
      </c>
      <c r="CU22" s="584">
        <f>ROUND(54.8*2.8*0,0)</f>
        <v>0</v>
      </c>
      <c r="CV22" s="688">
        <v>0</v>
      </c>
      <c r="CW22" s="584">
        <f>ROUND(54.8*2.8*0,0)</f>
        <v>0</v>
      </c>
      <c r="CX22" s="688">
        <v>0</v>
      </c>
      <c r="CY22" s="584">
        <f>ROUND(54.8*2.8*0,0)</f>
        <v>0</v>
      </c>
      <c r="CZ22" s="688">
        <v>0</v>
      </c>
      <c r="DA22" s="584">
        <f>ROUND(54.8*2.8*0,0)</f>
        <v>0</v>
      </c>
      <c r="DB22" s="688">
        <v>0</v>
      </c>
      <c r="DC22" s="584">
        <f>ROUND(54.8*2.8*0,0)</f>
        <v>0</v>
      </c>
      <c r="DD22" s="688">
        <v>0</v>
      </c>
      <c r="DE22" s="586">
        <f>ROUND(54.8*2.8*0,0)</f>
        <v>0</v>
      </c>
      <c r="DF22" s="559"/>
      <c r="DG22" s="549"/>
      <c r="DH22" s="693" t="s">
        <v>269</v>
      </c>
      <c r="DI22" s="684"/>
      <c r="DJ22" s="580">
        <v>54.8</v>
      </c>
      <c r="DK22" s="685">
        <v>2.8</v>
      </c>
      <c r="DL22" s="686"/>
      <c r="DM22" s="687">
        <v>0</v>
      </c>
      <c r="DN22" s="584">
        <f>ROUND(54.8*2.8*0,0)</f>
        <v>0</v>
      </c>
      <c r="DO22" s="688">
        <v>0</v>
      </c>
      <c r="DP22" s="584">
        <f>ROUND(54.8*2.8*0,0)</f>
        <v>0</v>
      </c>
      <c r="DQ22" s="688">
        <v>0</v>
      </c>
      <c r="DR22" s="584">
        <f>ROUND(54.8*2.8*0,0)</f>
        <v>0</v>
      </c>
      <c r="DS22" s="688">
        <v>0</v>
      </c>
      <c r="DT22" s="584">
        <f>ROUND(54.8*2.8*0,0)</f>
        <v>0</v>
      </c>
      <c r="DU22" s="688">
        <v>0</v>
      </c>
      <c r="DV22" s="584">
        <f>ROUND(54.8*2.8*0,0)</f>
        <v>0</v>
      </c>
      <c r="DW22" s="688">
        <v>0</v>
      </c>
      <c r="DX22" s="584">
        <f>ROUND(54.8*2.8*0,0)</f>
        <v>0</v>
      </c>
      <c r="DY22" s="688">
        <v>0</v>
      </c>
      <c r="DZ22" s="584">
        <f>ROUND(54.8*2.8*0,0)</f>
        <v>0</v>
      </c>
      <c r="EA22" s="688">
        <v>0</v>
      </c>
      <c r="EB22" s="584">
        <f>ROUND(54.8*2.8*0,0)</f>
        <v>0</v>
      </c>
      <c r="EC22" s="688">
        <v>0.8</v>
      </c>
      <c r="ED22" s="584">
        <f>ROUND(54.8*2.8*0.8,0)</f>
        <v>123</v>
      </c>
      <c r="EE22" s="688">
        <v>1.2</v>
      </c>
      <c r="EF22" s="584">
        <f>ROUND(54.8*2.8*1.2,0)</f>
        <v>184</v>
      </c>
      <c r="EG22" s="688">
        <v>1.5</v>
      </c>
      <c r="EH22" s="584">
        <f>ROUND(54.8*2.8*1.5,0)</f>
        <v>230</v>
      </c>
      <c r="EI22" s="688">
        <v>1.7</v>
      </c>
      <c r="EJ22" s="584">
        <f>ROUND(54.8*2.8*1.7,0)</f>
        <v>261</v>
      </c>
      <c r="EK22" s="688">
        <v>1.7</v>
      </c>
      <c r="EL22" s="584">
        <f>ROUND(54.8*2.8*1.7,0)</f>
        <v>261</v>
      </c>
      <c r="EM22" s="688">
        <v>1.6</v>
      </c>
      <c r="EN22" s="584">
        <f>ROUND(54.8*2.8*1.6,0)</f>
        <v>246</v>
      </c>
      <c r="EO22" s="688">
        <v>1.5</v>
      </c>
      <c r="EP22" s="584">
        <f>ROUND(54.8*2.8*1.5,0)</f>
        <v>230</v>
      </c>
      <c r="EQ22" s="688">
        <v>1.4</v>
      </c>
      <c r="ER22" s="584">
        <f>ROUND(54.8*2.8*1.4,0)</f>
        <v>215</v>
      </c>
      <c r="ES22" s="688">
        <v>1.1000000000000001</v>
      </c>
      <c r="ET22" s="584">
        <f>ROUND(54.8*2.8*1.1,0)</f>
        <v>169</v>
      </c>
      <c r="EU22" s="688">
        <v>0.8</v>
      </c>
      <c r="EV22" s="584">
        <f>ROUND(54.8*2.8*0.8,0)</f>
        <v>123</v>
      </c>
      <c r="EW22" s="688">
        <v>0</v>
      </c>
      <c r="EX22" s="584">
        <f>ROUND(54.8*2.8*0,0)</f>
        <v>0</v>
      </c>
      <c r="EY22" s="688">
        <v>0</v>
      </c>
      <c r="EZ22" s="584">
        <f>ROUND(54.8*2.8*0,0)</f>
        <v>0</v>
      </c>
      <c r="FA22" s="688">
        <v>0</v>
      </c>
      <c r="FB22" s="584">
        <f>ROUND(54.8*2.8*0,0)</f>
        <v>0</v>
      </c>
      <c r="FC22" s="688">
        <v>0</v>
      </c>
      <c r="FD22" s="584">
        <f>ROUND(54.8*2.8*0,0)</f>
        <v>0</v>
      </c>
      <c r="FE22" s="688">
        <v>0</v>
      </c>
      <c r="FF22" s="584">
        <f>ROUND(54.8*2.8*0,0)</f>
        <v>0</v>
      </c>
      <c r="FG22" s="688">
        <v>0</v>
      </c>
      <c r="FH22" s="586">
        <f>ROUND(54.8*2.8*0,0)</f>
        <v>0</v>
      </c>
      <c r="FI22" s="560"/>
      <c r="FJ22" s="561"/>
      <c r="FK22" s="693" t="s">
        <v>269</v>
      </c>
      <c r="FL22" s="684"/>
      <c r="FM22" s="580">
        <v>54.8</v>
      </c>
      <c r="FN22" s="685">
        <v>2.8</v>
      </c>
      <c r="FO22" s="686"/>
      <c r="FP22" s="689">
        <v>9</v>
      </c>
      <c r="FQ22" s="690">
        <v>6</v>
      </c>
      <c r="FR22" s="584">
        <f>ROUND(54.8*2.8*6,0)</f>
        <v>921</v>
      </c>
      <c r="FS22" s="691">
        <v>9</v>
      </c>
      <c r="FT22" s="690">
        <v>6.1</v>
      </c>
      <c r="FU22" s="589">
        <f>ROUND(54.8*2.8*6.1,0)</f>
        <v>936</v>
      </c>
      <c r="FV22" s="590"/>
      <c r="FW22" s="591"/>
      <c r="FX22" s="592"/>
      <c r="FY22" s="593"/>
      <c r="FZ22" s="594"/>
      <c r="GA22" s="595"/>
      <c r="GB22" s="596"/>
      <c r="GC22" s="597"/>
      <c r="GD22" s="596"/>
      <c r="GE22" s="598"/>
      <c r="GF22" s="681"/>
      <c r="GG22" s="599"/>
      <c r="GH22" s="599"/>
      <c r="GI22" s="599"/>
      <c r="GJ22" s="527"/>
      <c r="GK22" s="704" t="s">
        <v>464</v>
      </c>
      <c r="GL22" s="705"/>
      <c r="GM22" s="705"/>
      <c r="GN22" s="706"/>
      <c r="GO22" s="630">
        <v>0</v>
      </c>
      <c r="GP22" s="630">
        <v>1</v>
      </c>
      <c r="GQ22" s="707"/>
      <c r="GR22" s="708"/>
      <c r="GS22" s="575"/>
      <c r="GT22" s="670"/>
      <c r="GU22" s="704" t="s">
        <v>464</v>
      </c>
      <c r="GV22" s="705"/>
      <c r="GW22" s="705"/>
      <c r="GX22" s="705"/>
      <c r="GY22" s="706"/>
      <c r="GZ22" s="630">
        <v>0.65</v>
      </c>
      <c r="HA22" s="709"/>
      <c r="HB22" s="710"/>
      <c r="HC22" s="414"/>
      <c r="HD22" s="559"/>
      <c r="HE22" s="416"/>
      <c r="HF22" s="416"/>
      <c r="HG22" s="416"/>
    </row>
    <row r="23" spans="1:218" ht="20.100000000000001" customHeight="1">
      <c r="A23" s="549"/>
      <c r="B23" s="693"/>
      <c r="C23" s="684"/>
      <c r="D23" s="580"/>
      <c r="E23" s="685"/>
      <c r="F23" s="686"/>
      <c r="G23" s="687"/>
      <c r="H23" s="584"/>
      <c r="I23" s="688"/>
      <c r="J23" s="584"/>
      <c r="K23" s="688"/>
      <c r="L23" s="584"/>
      <c r="M23" s="688"/>
      <c r="N23" s="584"/>
      <c r="O23" s="688"/>
      <c r="P23" s="584"/>
      <c r="Q23" s="688"/>
      <c r="R23" s="584"/>
      <c r="S23" s="688"/>
      <c r="T23" s="584"/>
      <c r="U23" s="688"/>
      <c r="V23" s="584"/>
      <c r="W23" s="688"/>
      <c r="X23" s="584"/>
      <c r="Y23" s="688"/>
      <c r="Z23" s="584"/>
      <c r="AA23" s="688"/>
      <c r="AB23" s="584"/>
      <c r="AC23" s="688"/>
      <c r="AD23" s="584"/>
      <c r="AE23" s="688"/>
      <c r="AF23" s="584"/>
      <c r="AG23" s="688"/>
      <c r="AH23" s="584"/>
      <c r="AI23" s="688"/>
      <c r="AJ23" s="584"/>
      <c r="AK23" s="688"/>
      <c r="AL23" s="584"/>
      <c r="AM23" s="688"/>
      <c r="AN23" s="584"/>
      <c r="AO23" s="688"/>
      <c r="AP23" s="584"/>
      <c r="AQ23" s="688"/>
      <c r="AR23" s="584"/>
      <c r="AS23" s="688"/>
      <c r="AT23" s="584"/>
      <c r="AU23" s="688"/>
      <c r="AV23" s="584"/>
      <c r="AW23" s="688"/>
      <c r="AX23" s="584"/>
      <c r="AY23" s="688"/>
      <c r="AZ23" s="584"/>
      <c r="BA23" s="688"/>
      <c r="BB23" s="586"/>
      <c r="BC23" s="559"/>
      <c r="BD23" s="549"/>
      <c r="BE23" s="693"/>
      <c r="BF23" s="684"/>
      <c r="BG23" s="580"/>
      <c r="BH23" s="685"/>
      <c r="BI23" s="686"/>
      <c r="BJ23" s="687"/>
      <c r="BK23" s="584"/>
      <c r="BL23" s="688"/>
      <c r="BM23" s="584"/>
      <c r="BN23" s="688"/>
      <c r="BO23" s="584"/>
      <c r="BP23" s="688"/>
      <c r="BQ23" s="584"/>
      <c r="BR23" s="688"/>
      <c r="BS23" s="584"/>
      <c r="BT23" s="688"/>
      <c r="BU23" s="584"/>
      <c r="BV23" s="688"/>
      <c r="BW23" s="584"/>
      <c r="BX23" s="688"/>
      <c r="BY23" s="584"/>
      <c r="BZ23" s="688"/>
      <c r="CA23" s="584"/>
      <c r="CB23" s="688"/>
      <c r="CC23" s="584"/>
      <c r="CD23" s="688"/>
      <c r="CE23" s="584"/>
      <c r="CF23" s="688"/>
      <c r="CG23" s="584"/>
      <c r="CH23" s="688"/>
      <c r="CI23" s="584"/>
      <c r="CJ23" s="688"/>
      <c r="CK23" s="584"/>
      <c r="CL23" s="688"/>
      <c r="CM23" s="584"/>
      <c r="CN23" s="688"/>
      <c r="CO23" s="584"/>
      <c r="CP23" s="688"/>
      <c r="CQ23" s="584"/>
      <c r="CR23" s="688"/>
      <c r="CS23" s="584"/>
      <c r="CT23" s="688"/>
      <c r="CU23" s="584"/>
      <c r="CV23" s="688"/>
      <c r="CW23" s="584"/>
      <c r="CX23" s="688"/>
      <c r="CY23" s="584"/>
      <c r="CZ23" s="688"/>
      <c r="DA23" s="584"/>
      <c r="DB23" s="688"/>
      <c r="DC23" s="584"/>
      <c r="DD23" s="688"/>
      <c r="DE23" s="586"/>
      <c r="DF23" s="559"/>
      <c r="DG23" s="549"/>
      <c r="DH23" s="693"/>
      <c r="DI23" s="684"/>
      <c r="DJ23" s="580"/>
      <c r="DK23" s="685"/>
      <c r="DL23" s="686"/>
      <c r="DM23" s="687"/>
      <c r="DN23" s="584"/>
      <c r="DO23" s="688"/>
      <c r="DP23" s="584"/>
      <c r="DQ23" s="688"/>
      <c r="DR23" s="584"/>
      <c r="DS23" s="688"/>
      <c r="DT23" s="584"/>
      <c r="DU23" s="688"/>
      <c r="DV23" s="584"/>
      <c r="DW23" s="688"/>
      <c r="DX23" s="584"/>
      <c r="DY23" s="688"/>
      <c r="DZ23" s="584"/>
      <c r="EA23" s="688"/>
      <c r="EB23" s="584"/>
      <c r="EC23" s="688"/>
      <c r="ED23" s="584"/>
      <c r="EE23" s="688"/>
      <c r="EF23" s="584"/>
      <c r="EG23" s="688"/>
      <c r="EH23" s="584"/>
      <c r="EI23" s="688"/>
      <c r="EJ23" s="584"/>
      <c r="EK23" s="688"/>
      <c r="EL23" s="584"/>
      <c r="EM23" s="688"/>
      <c r="EN23" s="584"/>
      <c r="EO23" s="688"/>
      <c r="EP23" s="584"/>
      <c r="EQ23" s="688"/>
      <c r="ER23" s="584"/>
      <c r="ES23" s="688"/>
      <c r="ET23" s="584"/>
      <c r="EU23" s="688"/>
      <c r="EV23" s="584"/>
      <c r="EW23" s="688"/>
      <c r="EX23" s="584"/>
      <c r="EY23" s="688"/>
      <c r="EZ23" s="584"/>
      <c r="FA23" s="688"/>
      <c r="FB23" s="584"/>
      <c r="FC23" s="688"/>
      <c r="FD23" s="584"/>
      <c r="FE23" s="688"/>
      <c r="FF23" s="584"/>
      <c r="FG23" s="688"/>
      <c r="FH23" s="586"/>
      <c r="FI23" s="560"/>
      <c r="FJ23" s="561"/>
      <c r="FK23" s="693"/>
      <c r="FL23" s="684"/>
      <c r="FM23" s="580"/>
      <c r="FN23" s="685"/>
      <c r="FO23" s="686"/>
      <c r="FP23" s="689"/>
      <c r="FQ23" s="690"/>
      <c r="FR23" s="584"/>
      <c r="FS23" s="691"/>
      <c r="FT23" s="690"/>
      <c r="FU23" s="589"/>
      <c r="FV23" s="590"/>
      <c r="FW23" s="591"/>
      <c r="FX23" s="592"/>
      <c r="FY23" s="593"/>
      <c r="FZ23" s="594"/>
      <c r="GA23" s="595"/>
      <c r="GB23" s="596"/>
      <c r="GC23" s="597"/>
      <c r="GD23" s="596"/>
      <c r="GE23" s="598"/>
      <c r="GF23" s="681"/>
      <c r="GG23" s="599"/>
      <c r="GH23" s="599"/>
      <c r="GI23" s="599"/>
      <c r="GJ23" s="612"/>
      <c r="GK23" s="577" t="s">
        <v>465</v>
      </c>
      <c r="GL23" s="606"/>
      <c r="GM23" s="711"/>
      <c r="GN23" s="712">
        <v>54.8</v>
      </c>
      <c r="GO23" s="497" t="s">
        <v>466</v>
      </c>
      <c r="GP23" s="712"/>
      <c r="GQ23" s="606"/>
      <c r="GR23" s="612"/>
      <c r="GS23" s="575"/>
      <c r="GT23" s="670"/>
      <c r="GU23" s="606"/>
      <c r="GV23" s="527"/>
      <c r="GW23" s="606"/>
      <c r="GX23" s="606"/>
      <c r="GY23" s="713"/>
      <c r="GZ23" s="714"/>
      <c r="HA23" s="414"/>
      <c r="HB23" s="714" t="s">
        <v>467</v>
      </c>
      <c r="HC23" s="612"/>
      <c r="HD23" s="559"/>
      <c r="HE23" s="414"/>
      <c r="HF23" s="414"/>
      <c r="HG23" s="416"/>
    </row>
    <row r="24" spans="1:218" ht="20.100000000000001" customHeight="1">
      <c r="A24" s="549"/>
      <c r="B24" s="693"/>
      <c r="C24" s="684"/>
      <c r="D24" s="580"/>
      <c r="E24" s="685"/>
      <c r="F24" s="686"/>
      <c r="G24" s="687"/>
      <c r="H24" s="584"/>
      <c r="I24" s="688"/>
      <c r="J24" s="584"/>
      <c r="K24" s="688"/>
      <c r="L24" s="584"/>
      <c r="M24" s="688"/>
      <c r="N24" s="584"/>
      <c r="O24" s="688"/>
      <c r="P24" s="584"/>
      <c r="Q24" s="688"/>
      <c r="R24" s="584"/>
      <c r="S24" s="688"/>
      <c r="T24" s="584"/>
      <c r="U24" s="688"/>
      <c r="V24" s="584"/>
      <c r="W24" s="688"/>
      <c r="X24" s="584"/>
      <c r="Y24" s="688"/>
      <c r="Z24" s="584"/>
      <c r="AA24" s="688"/>
      <c r="AB24" s="584"/>
      <c r="AC24" s="688"/>
      <c r="AD24" s="584"/>
      <c r="AE24" s="688"/>
      <c r="AF24" s="584"/>
      <c r="AG24" s="688"/>
      <c r="AH24" s="584"/>
      <c r="AI24" s="688"/>
      <c r="AJ24" s="584"/>
      <c r="AK24" s="688"/>
      <c r="AL24" s="584"/>
      <c r="AM24" s="688"/>
      <c r="AN24" s="584"/>
      <c r="AO24" s="688"/>
      <c r="AP24" s="584"/>
      <c r="AQ24" s="688"/>
      <c r="AR24" s="584"/>
      <c r="AS24" s="688"/>
      <c r="AT24" s="584"/>
      <c r="AU24" s="688"/>
      <c r="AV24" s="584"/>
      <c r="AW24" s="688"/>
      <c r="AX24" s="584"/>
      <c r="AY24" s="688"/>
      <c r="AZ24" s="584"/>
      <c r="BA24" s="688"/>
      <c r="BB24" s="586"/>
      <c r="BC24" s="559"/>
      <c r="BD24" s="549"/>
      <c r="BE24" s="693"/>
      <c r="BF24" s="684"/>
      <c r="BG24" s="580"/>
      <c r="BH24" s="685"/>
      <c r="BI24" s="686"/>
      <c r="BJ24" s="687"/>
      <c r="BK24" s="584"/>
      <c r="BL24" s="688"/>
      <c r="BM24" s="584"/>
      <c r="BN24" s="688"/>
      <c r="BO24" s="584"/>
      <c r="BP24" s="688"/>
      <c r="BQ24" s="584"/>
      <c r="BR24" s="688"/>
      <c r="BS24" s="584"/>
      <c r="BT24" s="688"/>
      <c r="BU24" s="584"/>
      <c r="BV24" s="688"/>
      <c r="BW24" s="584"/>
      <c r="BX24" s="688"/>
      <c r="BY24" s="584"/>
      <c r="BZ24" s="688"/>
      <c r="CA24" s="584"/>
      <c r="CB24" s="688"/>
      <c r="CC24" s="584"/>
      <c r="CD24" s="688"/>
      <c r="CE24" s="584"/>
      <c r="CF24" s="688"/>
      <c r="CG24" s="584"/>
      <c r="CH24" s="688"/>
      <c r="CI24" s="584"/>
      <c r="CJ24" s="688"/>
      <c r="CK24" s="584"/>
      <c r="CL24" s="688"/>
      <c r="CM24" s="584"/>
      <c r="CN24" s="688"/>
      <c r="CO24" s="584"/>
      <c r="CP24" s="688"/>
      <c r="CQ24" s="584"/>
      <c r="CR24" s="688"/>
      <c r="CS24" s="584"/>
      <c r="CT24" s="688"/>
      <c r="CU24" s="584"/>
      <c r="CV24" s="688"/>
      <c r="CW24" s="584"/>
      <c r="CX24" s="688"/>
      <c r="CY24" s="584"/>
      <c r="CZ24" s="688"/>
      <c r="DA24" s="584"/>
      <c r="DB24" s="688"/>
      <c r="DC24" s="584"/>
      <c r="DD24" s="688"/>
      <c r="DE24" s="586"/>
      <c r="DF24" s="559"/>
      <c r="DG24" s="549"/>
      <c r="DH24" s="693"/>
      <c r="DI24" s="684"/>
      <c r="DJ24" s="580"/>
      <c r="DK24" s="685"/>
      <c r="DL24" s="686"/>
      <c r="DM24" s="687"/>
      <c r="DN24" s="584"/>
      <c r="DO24" s="688"/>
      <c r="DP24" s="584"/>
      <c r="DQ24" s="688"/>
      <c r="DR24" s="584"/>
      <c r="DS24" s="688"/>
      <c r="DT24" s="584"/>
      <c r="DU24" s="688"/>
      <c r="DV24" s="584"/>
      <c r="DW24" s="688"/>
      <c r="DX24" s="584"/>
      <c r="DY24" s="688"/>
      <c r="DZ24" s="584"/>
      <c r="EA24" s="688"/>
      <c r="EB24" s="584"/>
      <c r="EC24" s="688"/>
      <c r="ED24" s="584"/>
      <c r="EE24" s="688"/>
      <c r="EF24" s="584"/>
      <c r="EG24" s="688"/>
      <c r="EH24" s="584"/>
      <c r="EI24" s="688"/>
      <c r="EJ24" s="584"/>
      <c r="EK24" s="688"/>
      <c r="EL24" s="584"/>
      <c r="EM24" s="688"/>
      <c r="EN24" s="584"/>
      <c r="EO24" s="688"/>
      <c r="EP24" s="584"/>
      <c r="EQ24" s="688"/>
      <c r="ER24" s="584"/>
      <c r="ES24" s="688"/>
      <c r="ET24" s="584"/>
      <c r="EU24" s="688"/>
      <c r="EV24" s="584"/>
      <c r="EW24" s="688"/>
      <c r="EX24" s="584"/>
      <c r="EY24" s="688"/>
      <c r="EZ24" s="584"/>
      <c r="FA24" s="688"/>
      <c r="FB24" s="584"/>
      <c r="FC24" s="688"/>
      <c r="FD24" s="584"/>
      <c r="FE24" s="688"/>
      <c r="FF24" s="584"/>
      <c r="FG24" s="688"/>
      <c r="FH24" s="586"/>
      <c r="FI24" s="560"/>
      <c r="FJ24" s="561"/>
      <c r="FK24" s="693"/>
      <c r="FL24" s="684"/>
      <c r="FM24" s="580"/>
      <c r="FN24" s="685"/>
      <c r="FO24" s="686"/>
      <c r="FP24" s="689"/>
      <c r="FQ24" s="690"/>
      <c r="FR24" s="584"/>
      <c r="FS24" s="691"/>
      <c r="FT24" s="690"/>
      <c r="FU24" s="589"/>
      <c r="FV24" s="590"/>
      <c r="FW24" s="591"/>
      <c r="FX24" s="592"/>
      <c r="FY24" s="593"/>
      <c r="FZ24" s="594"/>
      <c r="GA24" s="595"/>
      <c r="GB24" s="596"/>
      <c r="GC24" s="597"/>
      <c r="GD24" s="596"/>
      <c r="GE24" s="598"/>
      <c r="GF24" s="681"/>
      <c r="GG24" s="599"/>
      <c r="GH24" s="599"/>
      <c r="GI24" s="599"/>
      <c r="GJ24" s="612"/>
      <c r="GK24" s="577" t="s">
        <v>468</v>
      </c>
      <c r="GL24" s="606"/>
      <c r="GM24" s="711"/>
      <c r="GN24" s="712">
        <v>0.2</v>
      </c>
      <c r="GO24" s="712"/>
      <c r="GP24" s="712"/>
      <c r="GQ24" s="606"/>
      <c r="GR24" s="612"/>
      <c r="GS24" s="606"/>
      <c r="GT24" s="670"/>
      <c r="GU24" s="577" t="s">
        <v>469</v>
      </c>
      <c r="GV24" s="606"/>
      <c r="GW24" s="606"/>
      <c r="GX24" s="414"/>
      <c r="GY24" s="715">
        <v>614</v>
      </c>
      <c r="GZ24" s="577" t="s">
        <v>470</v>
      </c>
      <c r="HA24" s="527"/>
      <c r="HB24" s="527"/>
      <c r="HC24" s="612"/>
      <c r="HD24" s="559"/>
      <c r="HE24" s="716"/>
      <c r="HF24" s="416"/>
      <c r="HG24" s="527"/>
      <c r="HH24" s="559"/>
      <c r="HI24" s="416"/>
      <c r="HJ24" s="416"/>
    </row>
    <row r="25" spans="1:218" ht="20.100000000000001" customHeight="1">
      <c r="A25" s="549"/>
      <c r="B25" s="717"/>
      <c r="C25" s="718"/>
      <c r="D25" s="615"/>
      <c r="E25" s="719"/>
      <c r="F25" s="720"/>
      <c r="G25" s="721"/>
      <c r="H25" s="619"/>
      <c r="I25" s="722"/>
      <c r="J25" s="619"/>
      <c r="K25" s="722"/>
      <c r="L25" s="619"/>
      <c r="M25" s="722"/>
      <c r="N25" s="619"/>
      <c r="O25" s="722"/>
      <c r="P25" s="619"/>
      <c r="Q25" s="722"/>
      <c r="R25" s="619"/>
      <c r="S25" s="722"/>
      <c r="T25" s="619"/>
      <c r="U25" s="722"/>
      <c r="V25" s="619"/>
      <c r="W25" s="722"/>
      <c r="X25" s="619"/>
      <c r="Y25" s="722"/>
      <c r="Z25" s="619"/>
      <c r="AA25" s="722"/>
      <c r="AB25" s="619"/>
      <c r="AC25" s="722"/>
      <c r="AD25" s="619"/>
      <c r="AE25" s="722"/>
      <c r="AF25" s="619"/>
      <c r="AG25" s="722"/>
      <c r="AH25" s="619"/>
      <c r="AI25" s="722"/>
      <c r="AJ25" s="619"/>
      <c r="AK25" s="722"/>
      <c r="AL25" s="619"/>
      <c r="AM25" s="722"/>
      <c r="AN25" s="619"/>
      <c r="AO25" s="722"/>
      <c r="AP25" s="619"/>
      <c r="AQ25" s="722"/>
      <c r="AR25" s="619"/>
      <c r="AS25" s="722"/>
      <c r="AT25" s="619"/>
      <c r="AU25" s="722"/>
      <c r="AV25" s="619"/>
      <c r="AW25" s="722"/>
      <c r="AX25" s="619"/>
      <c r="AY25" s="722"/>
      <c r="AZ25" s="619"/>
      <c r="BA25" s="722"/>
      <c r="BB25" s="621"/>
      <c r="BC25" s="559"/>
      <c r="BD25" s="549"/>
      <c r="BE25" s="717"/>
      <c r="BF25" s="718"/>
      <c r="BG25" s="615"/>
      <c r="BH25" s="719"/>
      <c r="BI25" s="720"/>
      <c r="BJ25" s="721"/>
      <c r="BK25" s="619"/>
      <c r="BL25" s="722"/>
      <c r="BM25" s="619"/>
      <c r="BN25" s="722"/>
      <c r="BO25" s="619"/>
      <c r="BP25" s="722"/>
      <c r="BQ25" s="619"/>
      <c r="BR25" s="722"/>
      <c r="BS25" s="619"/>
      <c r="BT25" s="722"/>
      <c r="BU25" s="619"/>
      <c r="BV25" s="722"/>
      <c r="BW25" s="619"/>
      <c r="BX25" s="722"/>
      <c r="BY25" s="619"/>
      <c r="BZ25" s="722"/>
      <c r="CA25" s="619"/>
      <c r="CB25" s="722"/>
      <c r="CC25" s="619"/>
      <c r="CD25" s="722"/>
      <c r="CE25" s="619"/>
      <c r="CF25" s="722"/>
      <c r="CG25" s="619"/>
      <c r="CH25" s="722"/>
      <c r="CI25" s="619"/>
      <c r="CJ25" s="722"/>
      <c r="CK25" s="619"/>
      <c r="CL25" s="722"/>
      <c r="CM25" s="619"/>
      <c r="CN25" s="722"/>
      <c r="CO25" s="619"/>
      <c r="CP25" s="722"/>
      <c r="CQ25" s="619"/>
      <c r="CR25" s="722"/>
      <c r="CS25" s="619"/>
      <c r="CT25" s="722"/>
      <c r="CU25" s="619"/>
      <c r="CV25" s="722"/>
      <c r="CW25" s="619"/>
      <c r="CX25" s="722"/>
      <c r="CY25" s="619"/>
      <c r="CZ25" s="722"/>
      <c r="DA25" s="619"/>
      <c r="DB25" s="722"/>
      <c r="DC25" s="619"/>
      <c r="DD25" s="722"/>
      <c r="DE25" s="621"/>
      <c r="DF25" s="559"/>
      <c r="DG25" s="549"/>
      <c r="DH25" s="717"/>
      <c r="DI25" s="718"/>
      <c r="DJ25" s="615"/>
      <c r="DK25" s="719"/>
      <c r="DL25" s="720"/>
      <c r="DM25" s="721"/>
      <c r="DN25" s="619"/>
      <c r="DO25" s="722"/>
      <c r="DP25" s="619"/>
      <c r="DQ25" s="722"/>
      <c r="DR25" s="619"/>
      <c r="DS25" s="722"/>
      <c r="DT25" s="619"/>
      <c r="DU25" s="722"/>
      <c r="DV25" s="619"/>
      <c r="DW25" s="722"/>
      <c r="DX25" s="619"/>
      <c r="DY25" s="722"/>
      <c r="DZ25" s="619"/>
      <c r="EA25" s="722"/>
      <c r="EB25" s="619"/>
      <c r="EC25" s="722"/>
      <c r="ED25" s="619"/>
      <c r="EE25" s="722"/>
      <c r="EF25" s="619"/>
      <c r="EG25" s="722"/>
      <c r="EH25" s="619"/>
      <c r="EI25" s="722"/>
      <c r="EJ25" s="619"/>
      <c r="EK25" s="722"/>
      <c r="EL25" s="619"/>
      <c r="EM25" s="722"/>
      <c r="EN25" s="619"/>
      <c r="EO25" s="722"/>
      <c r="EP25" s="619"/>
      <c r="EQ25" s="722"/>
      <c r="ER25" s="619"/>
      <c r="ES25" s="722"/>
      <c r="ET25" s="619"/>
      <c r="EU25" s="722"/>
      <c r="EV25" s="619"/>
      <c r="EW25" s="722"/>
      <c r="EX25" s="619"/>
      <c r="EY25" s="722"/>
      <c r="EZ25" s="619"/>
      <c r="FA25" s="722"/>
      <c r="FB25" s="619"/>
      <c r="FC25" s="722"/>
      <c r="FD25" s="619"/>
      <c r="FE25" s="722"/>
      <c r="FF25" s="619"/>
      <c r="FG25" s="722"/>
      <c r="FH25" s="621"/>
      <c r="FI25" s="560"/>
      <c r="FJ25" s="561"/>
      <c r="FK25" s="717"/>
      <c r="FL25" s="718"/>
      <c r="FM25" s="615"/>
      <c r="FN25" s="719"/>
      <c r="FO25" s="720"/>
      <c r="FP25" s="723"/>
      <c r="FQ25" s="724"/>
      <c r="FR25" s="619"/>
      <c r="FS25" s="725"/>
      <c r="FT25" s="724"/>
      <c r="FU25" s="624"/>
      <c r="FV25" s="590"/>
      <c r="FW25" s="591"/>
      <c r="FX25" s="592"/>
      <c r="FY25" s="593"/>
      <c r="FZ25" s="594"/>
      <c r="GA25" s="595"/>
      <c r="GB25" s="596"/>
      <c r="GC25" s="597"/>
      <c r="GD25" s="596"/>
      <c r="GE25" s="598"/>
      <c r="GF25" s="681"/>
      <c r="GG25" s="599"/>
      <c r="GH25" s="599"/>
      <c r="GI25" s="599"/>
      <c r="GJ25" s="497"/>
      <c r="GK25" s="498"/>
      <c r="GL25" s="498"/>
      <c r="GM25" s="498"/>
      <c r="GN25" s="498"/>
      <c r="GO25" s="498"/>
      <c r="GP25" s="498"/>
      <c r="GQ25" s="498"/>
      <c r="GR25" s="498"/>
      <c r="GS25" s="414"/>
      <c r="GT25" s="670"/>
      <c r="GU25" s="577" t="s">
        <v>471</v>
      </c>
      <c r="GV25" s="606"/>
      <c r="GW25" s="606"/>
      <c r="GX25" s="414"/>
      <c r="GY25" s="726">
        <v>1</v>
      </c>
      <c r="GZ25" s="577"/>
      <c r="HA25" s="527"/>
      <c r="HB25" s="527"/>
      <c r="HC25" s="527"/>
      <c r="HD25" s="559"/>
      <c r="HE25" s="559"/>
      <c r="HF25" s="416"/>
      <c r="HG25" s="416"/>
    </row>
    <row r="26" spans="1:218" ht="20.100000000000001" customHeight="1">
      <c r="A26" s="638"/>
      <c r="B26" s="639"/>
      <c r="C26" s="639"/>
      <c r="D26" s="639" t="s">
        <v>321</v>
      </c>
      <c r="E26" s="639"/>
      <c r="F26" s="639"/>
      <c r="G26" s="641"/>
      <c r="H26" s="642">
        <f>SUM(H16:H25)</f>
        <v>0</v>
      </c>
      <c r="I26" s="727"/>
      <c r="J26" s="642">
        <f>SUM(J16:J25)</f>
        <v>0</v>
      </c>
      <c r="K26" s="728"/>
      <c r="L26" s="642">
        <f>SUM(L16:L25)</f>
        <v>0</v>
      </c>
      <c r="M26" s="728"/>
      <c r="N26" s="642">
        <f>SUM(N16:N25)</f>
        <v>0</v>
      </c>
      <c r="O26" s="728"/>
      <c r="P26" s="642">
        <f>SUM(P16:P25)</f>
        <v>0</v>
      </c>
      <c r="Q26" s="728"/>
      <c r="R26" s="642">
        <f>SUM(R16:R25)</f>
        <v>0</v>
      </c>
      <c r="S26" s="728"/>
      <c r="T26" s="642">
        <f>SUM(T16:T25)</f>
        <v>0</v>
      </c>
      <c r="U26" s="728"/>
      <c r="V26" s="642">
        <f>SUM(V16:V25)</f>
        <v>0</v>
      </c>
      <c r="W26" s="728"/>
      <c r="X26" s="642">
        <f>SUM(X16:X25)</f>
        <v>919</v>
      </c>
      <c r="Y26" s="728"/>
      <c r="Z26" s="642">
        <f>SUM(Z16:Z25)</f>
        <v>1110</v>
      </c>
      <c r="AA26" s="728"/>
      <c r="AB26" s="642">
        <f>SUM(AB16:AB25)</f>
        <v>1237</v>
      </c>
      <c r="AC26" s="728"/>
      <c r="AD26" s="642">
        <f>SUM(AD16:AD25)</f>
        <v>1333</v>
      </c>
      <c r="AE26" s="728"/>
      <c r="AF26" s="642">
        <f>SUM(AF16:AF25)</f>
        <v>1412</v>
      </c>
      <c r="AG26" s="728"/>
      <c r="AH26" s="642">
        <f>SUM(AH16:AH25)</f>
        <v>1456</v>
      </c>
      <c r="AI26" s="728"/>
      <c r="AJ26" s="642">
        <f>SUM(AJ16:AJ25)</f>
        <v>1415</v>
      </c>
      <c r="AK26" s="728"/>
      <c r="AL26" s="642">
        <f>SUM(AL16:AL25)</f>
        <v>1374</v>
      </c>
      <c r="AM26" s="728"/>
      <c r="AN26" s="642">
        <f>SUM(AN16:AN25)</f>
        <v>1250</v>
      </c>
      <c r="AO26" s="728"/>
      <c r="AP26" s="642">
        <f>SUM(AP16:AP25)</f>
        <v>1148</v>
      </c>
      <c r="AQ26" s="728"/>
      <c r="AR26" s="642">
        <f>SUM(AR16:AR25)</f>
        <v>0</v>
      </c>
      <c r="AS26" s="728"/>
      <c r="AT26" s="642">
        <f>SUM(AT16:AT25)</f>
        <v>0</v>
      </c>
      <c r="AU26" s="728"/>
      <c r="AV26" s="642">
        <f>SUM(AV16:AV25)</f>
        <v>0</v>
      </c>
      <c r="AW26" s="728"/>
      <c r="AX26" s="642">
        <f>SUM(AX16:AX25)</f>
        <v>0</v>
      </c>
      <c r="AY26" s="728"/>
      <c r="AZ26" s="642">
        <f>SUM(AZ16:AZ25)</f>
        <v>0</v>
      </c>
      <c r="BA26" s="728"/>
      <c r="BB26" s="644">
        <f>SUM(BB16:BB25)</f>
        <v>0</v>
      </c>
      <c r="BC26" s="645"/>
      <c r="BD26" s="638"/>
      <c r="BE26" s="639"/>
      <c r="BF26" s="639"/>
      <c r="BG26" s="639" t="s">
        <v>321</v>
      </c>
      <c r="BH26" s="639"/>
      <c r="BI26" s="639"/>
      <c r="BJ26" s="641"/>
      <c r="BK26" s="642">
        <f>SUM(BK16:BK25)</f>
        <v>0</v>
      </c>
      <c r="BL26" s="727"/>
      <c r="BM26" s="642">
        <f>SUM(BM16:BM25)</f>
        <v>0</v>
      </c>
      <c r="BN26" s="728"/>
      <c r="BO26" s="642">
        <f>SUM(BO16:BO25)</f>
        <v>0</v>
      </c>
      <c r="BP26" s="728"/>
      <c r="BQ26" s="642">
        <f>SUM(BQ16:BQ25)</f>
        <v>0</v>
      </c>
      <c r="BR26" s="728"/>
      <c r="BS26" s="642">
        <f>SUM(BS16:BS25)</f>
        <v>0</v>
      </c>
      <c r="BT26" s="728"/>
      <c r="BU26" s="642">
        <f>SUM(BU16:BU25)</f>
        <v>0</v>
      </c>
      <c r="BV26" s="728"/>
      <c r="BW26" s="642">
        <f>SUM(BW16:BW25)</f>
        <v>0</v>
      </c>
      <c r="BX26" s="728"/>
      <c r="BY26" s="642">
        <f>SUM(BY16:BY25)</f>
        <v>0</v>
      </c>
      <c r="BZ26" s="728"/>
      <c r="CA26" s="642">
        <f>SUM(CA16:CA25)</f>
        <v>872</v>
      </c>
      <c r="CB26" s="728"/>
      <c r="CC26" s="642">
        <f>SUM(CC16:CC25)</f>
        <v>1028</v>
      </c>
      <c r="CD26" s="728"/>
      <c r="CE26" s="642">
        <f>SUM(CE16:CE25)</f>
        <v>1189</v>
      </c>
      <c r="CF26" s="728"/>
      <c r="CG26" s="642">
        <f>SUM(CG16:CG25)</f>
        <v>1289</v>
      </c>
      <c r="CH26" s="728"/>
      <c r="CI26" s="642">
        <f>SUM(CI16:CI25)</f>
        <v>1364</v>
      </c>
      <c r="CJ26" s="728"/>
      <c r="CK26" s="642">
        <f>SUM(CK16:CK25)</f>
        <v>1390</v>
      </c>
      <c r="CL26" s="728"/>
      <c r="CM26" s="642">
        <f>SUM(CM16:CM25)</f>
        <v>1372</v>
      </c>
      <c r="CN26" s="728"/>
      <c r="CO26" s="642">
        <f>SUM(CO16:CO25)</f>
        <v>1350</v>
      </c>
      <c r="CP26" s="728"/>
      <c r="CQ26" s="642">
        <f>SUM(CQ16:CQ25)</f>
        <v>1281</v>
      </c>
      <c r="CR26" s="728"/>
      <c r="CS26" s="642">
        <f>SUM(CS16:CS25)</f>
        <v>1144</v>
      </c>
      <c r="CT26" s="728"/>
      <c r="CU26" s="642">
        <f>SUM(CU16:CU25)</f>
        <v>0</v>
      </c>
      <c r="CV26" s="728"/>
      <c r="CW26" s="642">
        <f>SUM(CW16:CW25)</f>
        <v>0</v>
      </c>
      <c r="CX26" s="728"/>
      <c r="CY26" s="642">
        <f>SUM(CY16:CY25)</f>
        <v>0</v>
      </c>
      <c r="CZ26" s="728"/>
      <c r="DA26" s="642">
        <f>SUM(DA16:DA25)</f>
        <v>0</v>
      </c>
      <c r="DB26" s="728"/>
      <c r="DC26" s="642">
        <f>SUM(DC16:DC25)</f>
        <v>0</v>
      </c>
      <c r="DD26" s="728"/>
      <c r="DE26" s="644">
        <f>SUM(DE16:DE25)</f>
        <v>0</v>
      </c>
      <c r="DF26" s="645"/>
      <c r="DG26" s="638"/>
      <c r="DH26" s="639"/>
      <c r="DI26" s="639"/>
      <c r="DJ26" s="639" t="s">
        <v>321</v>
      </c>
      <c r="DK26" s="639"/>
      <c r="DL26" s="639"/>
      <c r="DM26" s="641"/>
      <c r="DN26" s="642">
        <f>SUM(DN16:DN25)</f>
        <v>0</v>
      </c>
      <c r="DO26" s="727"/>
      <c r="DP26" s="642">
        <f>SUM(DP16:DP25)</f>
        <v>0</v>
      </c>
      <c r="DQ26" s="728"/>
      <c r="DR26" s="642">
        <f>SUM(DR16:DR25)</f>
        <v>0</v>
      </c>
      <c r="DS26" s="728"/>
      <c r="DT26" s="642">
        <f>SUM(DT16:DT25)</f>
        <v>0</v>
      </c>
      <c r="DU26" s="728"/>
      <c r="DV26" s="642">
        <f>SUM(DV16:DV25)</f>
        <v>0</v>
      </c>
      <c r="DW26" s="728"/>
      <c r="DX26" s="642">
        <f>SUM(DX16:DX25)</f>
        <v>0</v>
      </c>
      <c r="DY26" s="728"/>
      <c r="DZ26" s="642">
        <f>SUM(DZ16:DZ25)</f>
        <v>0</v>
      </c>
      <c r="EA26" s="728"/>
      <c r="EB26" s="642">
        <f>SUM(EB16:EB25)</f>
        <v>0</v>
      </c>
      <c r="EC26" s="728"/>
      <c r="ED26" s="642">
        <f>SUM(ED16:ED25)</f>
        <v>498</v>
      </c>
      <c r="EE26" s="728"/>
      <c r="EF26" s="642">
        <f>SUM(EF16:EF25)</f>
        <v>705</v>
      </c>
      <c r="EG26" s="728"/>
      <c r="EH26" s="642">
        <f>SUM(EH16:EH25)</f>
        <v>880</v>
      </c>
      <c r="EI26" s="728"/>
      <c r="EJ26" s="642">
        <f>SUM(EJ16:EJ25)</f>
        <v>1032</v>
      </c>
      <c r="EK26" s="728"/>
      <c r="EL26" s="642">
        <f>SUM(EL16:EL25)</f>
        <v>1117</v>
      </c>
      <c r="EM26" s="728"/>
      <c r="EN26" s="642">
        <f>SUM(EN16:EN25)</f>
        <v>1138</v>
      </c>
      <c r="EO26" s="728"/>
      <c r="EP26" s="642">
        <f>SUM(EP16:EP25)</f>
        <v>1135</v>
      </c>
      <c r="EQ26" s="728"/>
      <c r="ER26" s="642">
        <f>SUM(ER16:ER25)</f>
        <v>1121</v>
      </c>
      <c r="ES26" s="728"/>
      <c r="ET26" s="642">
        <f>SUM(ET16:ET25)</f>
        <v>992</v>
      </c>
      <c r="EU26" s="728"/>
      <c r="EV26" s="642">
        <f>SUM(EV16:EV25)</f>
        <v>836</v>
      </c>
      <c r="EW26" s="728"/>
      <c r="EX26" s="642">
        <f>SUM(EX16:EX25)</f>
        <v>0</v>
      </c>
      <c r="EY26" s="728"/>
      <c r="EZ26" s="642">
        <f>SUM(EZ16:EZ25)</f>
        <v>0</v>
      </c>
      <c r="FA26" s="728"/>
      <c r="FB26" s="642">
        <f>SUM(FB16:FB25)</f>
        <v>0</v>
      </c>
      <c r="FC26" s="728"/>
      <c r="FD26" s="642">
        <f>SUM(FD16:FD25)</f>
        <v>0</v>
      </c>
      <c r="FE26" s="728"/>
      <c r="FF26" s="642">
        <f>SUM(FF16:FF25)</f>
        <v>0</v>
      </c>
      <c r="FG26" s="728"/>
      <c r="FH26" s="644">
        <f>SUM(FH16:FH25)</f>
        <v>0</v>
      </c>
      <c r="FI26" s="646"/>
      <c r="FJ26" s="561"/>
      <c r="FK26" s="639"/>
      <c r="FL26" s="639"/>
      <c r="FM26" s="639" t="s">
        <v>321</v>
      </c>
      <c r="FN26" s="639"/>
      <c r="FO26" s="639"/>
      <c r="FP26" s="647"/>
      <c r="FQ26" s="648"/>
      <c r="FR26" s="642">
        <f>SUM(FR16:FR25)</f>
        <v>3480</v>
      </c>
      <c r="FS26" s="729"/>
      <c r="FT26" s="648"/>
      <c r="FU26" s="650">
        <f>SUM(FU16:FU25)</f>
        <v>3560</v>
      </c>
      <c r="FV26" s="590"/>
      <c r="FW26" s="591"/>
      <c r="FX26" s="592"/>
      <c r="FY26" s="593"/>
      <c r="FZ26" s="594"/>
      <c r="GA26" s="595"/>
      <c r="GB26" s="596"/>
      <c r="GC26" s="597"/>
      <c r="GD26" s="596"/>
      <c r="GE26" s="598"/>
      <c r="GF26" s="651"/>
      <c r="GG26" s="652"/>
      <c r="GH26" s="652"/>
      <c r="GI26" s="652"/>
      <c r="GJ26" s="612"/>
      <c r="GK26" s="527" t="s">
        <v>472</v>
      </c>
      <c r="GL26" s="612"/>
      <c r="GM26" s="527"/>
      <c r="GN26" s="612"/>
      <c r="GO26" s="527"/>
      <c r="GP26" s="612"/>
      <c r="GQ26" s="612"/>
      <c r="GR26" s="612"/>
      <c r="GS26" s="576"/>
      <c r="GT26" s="670"/>
      <c r="GU26" s="577" t="s">
        <v>473</v>
      </c>
      <c r="GV26" s="606"/>
      <c r="GW26" s="606"/>
      <c r="GX26" s="414"/>
      <c r="GY26" s="726">
        <v>0.65</v>
      </c>
      <c r="GZ26" s="577"/>
      <c r="HA26" s="527"/>
      <c r="HB26" s="527"/>
      <c r="HC26" s="527"/>
      <c r="HD26" s="645"/>
      <c r="HE26" s="416"/>
      <c r="HF26" s="416"/>
      <c r="HG26" s="577"/>
      <c r="HH26" s="645"/>
      <c r="HI26" s="416"/>
      <c r="HJ26" s="416"/>
    </row>
    <row r="27" spans="1:218" ht="20.100000000000001" customHeight="1">
      <c r="A27" s="730" t="s">
        <v>396</v>
      </c>
      <c r="B27" s="731"/>
      <c r="C27" s="732"/>
      <c r="D27" s="660"/>
      <c r="E27" s="732"/>
      <c r="F27" s="732"/>
      <c r="G27" s="733" t="s">
        <v>397</v>
      </c>
      <c r="H27" s="660" t="s">
        <v>398</v>
      </c>
      <c r="I27" s="734" t="s">
        <v>397</v>
      </c>
      <c r="J27" s="660" t="s">
        <v>398</v>
      </c>
      <c r="K27" s="735" t="s">
        <v>397</v>
      </c>
      <c r="L27" s="660" t="s">
        <v>398</v>
      </c>
      <c r="M27" s="735" t="s">
        <v>397</v>
      </c>
      <c r="N27" s="660" t="s">
        <v>399</v>
      </c>
      <c r="O27" s="735" t="s">
        <v>397</v>
      </c>
      <c r="P27" s="660" t="s">
        <v>398</v>
      </c>
      <c r="Q27" s="735" t="s">
        <v>397</v>
      </c>
      <c r="R27" s="660" t="s">
        <v>400</v>
      </c>
      <c r="S27" s="735" t="s">
        <v>397</v>
      </c>
      <c r="T27" s="660" t="s">
        <v>399</v>
      </c>
      <c r="U27" s="735" t="s">
        <v>397</v>
      </c>
      <c r="V27" s="660" t="s">
        <v>398</v>
      </c>
      <c r="W27" s="735" t="s">
        <v>397</v>
      </c>
      <c r="X27" s="660" t="s">
        <v>398</v>
      </c>
      <c r="Y27" s="735" t="s">
        <v>397</v>
      </c>
      <c r="Z27" s="660" t="s">
        <v>398</v>
      </c>
      <c r="AA27" s="735" t="s">
        <v>397</v>
      </c>
      <c r="AB27" s="660" t="s">
        <v>398</v>
      </c>
      <c r="AC27" s="735" t="s">
        <v>397</v>
      </c>
      <c r="AD27" s="660" t="s">
        <v>398</v>
      </c>
      <c r="AE27" s="735" t="s">
        <v>397</v>
      </c>
      <c r="AF27" s="660" t="s">
        <v>398</v>
      </c>
      <c r="AG27" s="735" t="s">
        <v>397</v>
      </c>
      <c r="AH27" s="660" t="s">
        <v>398</v>
      </c>
      <c r="AI27" s="735" t="s">
        <v>397</v>
      </c>
      <c r="AJ27" s="660" t="s">
        <v>398</v>
      </c>
      <c r="AK27" s="735" t="s">
        <v>397</v>
      </c>
      <c r="AL27" s="660" t="s">
        <v>398</v>
      </c>
      <c r="AM27" s="735" t="s">
        <v>397</v>
      </c>
      <c r="AN27" s="660" t="s">
        <v>398</v>
      </c>
      <c r="AO27" s="735" t="s">
        <v>397</v>
      </c>
      <c r="AP27" s="660" t="s">
        <v>398</v>
      </c>
      <c r="AQ27" s="735" t="s">
        <v>323</v>
      </c>
      <c r="AR27" s="660" t="s">
        <v>398</v>
      </c>
      <c r="AS27" s="735" t="s">
        <v>397</v>
      </c>
      <c r="AT27" s="660" t="s">
        <v>398</v>
      </c>
      <c r="AU27" s="735" t="s">
        <v>397</v>
      </c>
      <c r="AV27" s="660" t="s">
        <v>398</v>
      </c>
      <c r="AW27" s="735" t="s">
        <v>397</v>
      </c>
      <c r="AX27" s="660" t="s">
        <v>398</v>
      </c>
      <c r="AY27" s="735" t="s">
        <v>397</v>
      </c>
      <c r="AZ27" s="660" t="s">
        <v>398</v>
      </c>
      <c r="BA27" s="735" t="s">
        <v>397</v>
      </c>
      <c r="BB27" s="662" t="s">
        <v>398</v>
      </c>
      <c r="BC27" s="716"/>
      <c r="BD27" s="730" t="s">
        <v>396</v>
      </c>
      <c r="BE27" s="731"/>
      <c r="BF27" s="732"/>
      <c r="BG27" s="660"/>
      <c r="BH27" s="732"/>
      <c r="BI27" s="732"/>
      <c r="BJ27" s="733" t="s">
        <v>397</v>
      </c>
      <c r="BK27" s="660" t="s">
        <v>398</v>
      </c>
      <c r="BL27" s="734" t="s">
        <v>397</v>
      </c>
      <c r="BM27" s="660" t="s">
        <v>398</v>
      </c>
      <c r="BN27" s="735" t="s">
        <v>397</v>
      </c>
      <c r="BO27" s="660" t="s">
        <v>398</v>
      </c>
      <c r="BP27" s="735" t="s">
        <v>397</v>
      </c>
      <c r="BQ27" s="660" t="s">
        <v>398</v>
      </c>
      <c r="BR27" s="735" t="s">
        <v>397</v>
      </c>
      <c r="BS27" s="660" t="s">
        <v>398</v>
      </c>
      <c r="BT27" s="735" t="s">
        <v>397</v>
      </c>
      <c r="BU27" s="660" t="s">
        <v>398</v>
      </c>
      <c r="BV27" s="735" t="s">
        <v>397</v>
      </c>
      <c r="BW27" s="660" t="s">
        <v>398</v>
      </c>
      <c r="BX27" s="735" t="s">
        <v>397</v>
      </c>
      <c r="BY27" s="660" t="s">
        <v>398</v>
      </c>
      <c r="BZ27" s="735" t="s">
        <v>397</v>
      </c>
      <c r="CA27" s="660" t="s">
        <v>398</v>
      </c>
      <c r="CB27" s="735" t="s">
        <v>397</v>
      </c>
      <c r="CC27" s="660" t="s">
        <v>398</v>
      </c>
      <c r="CD27" s="735" t="s">
        <v>397</v>
      </c>
      <c r="CE27" s="660" t="s">
        <v>398</v>
      </c>
      <c r="CF27" s="735" t="s">
        <v>397</v>
      </c>
      <c r="CG27" s="660" t="s">
        <v>398</v>
      </c>
      <c r="CH27" s="735" t="s">
        <v>397</v>
      </c>
      <c r="CI27" s="660" t="s">
        <v>398</v>
      </c>
      <c r="CJ27" s="735" t="s">
        <v>397</v>
      </c>
      <c r="CK27" s="660" t="s">
        <v>398</v>
      </c>
      <c r="CL27" s="735" t="s">
        <v>397</v>
      </c>
      <c r="CM27" s="660" t="s">
        <v>398</v>
      </c>
      <c r="CN27" s="735" t="s">
        <v>397</v>
      </c>
      <c r="CO27" s="660" t="s">
        <v>398</v>
      </c>
      <c r="CP27" s="735" t="s">
        <v>397</v>
      </c>
      <c r="CQ27" s="660" t="s">
        <v>398</v>
      </c>
      <c r="CR27" s="735" t="s">
        <v>397</v>
      </c>
      <c r="CS27" s="660" t="s">
        <v>398</v>
      </c>
      <c r="CT27" s="735" t="s">
        <v>397</v>
      </c>
      <c r="CU27" s="660" t="s">
        <v>398</v>
      </c>
      <c r="CV27" s="735" t="s">
        <v>397</v>
      </c>
      <c r="CW27" s="660" t="s">
        <v>398</v>
      </c>
      <c r="CX27" s="735" t="s">
        <v>397</v>
      </c>
      <c r="CY27" s="660" t="s">
        <v>398</v>
      </c>
      <c r="CZ27" s="735" t="s">
        <v>397</v>
      </c>
      <c r="DA27" s="660" t="s">
        <v>398</v>
      </c>
      <c r="DB27" s="735" t="s">
        <v>397</v>
      </c>
      <c r="DC27" s="660" t="s">
        <v>398</v>
      </c>
      <c r="DD27" s="735" t="s">
        <v>397</v>
      </c>
      <c r="DE27" s="662" t="s">
        <v>398</v>
      </c>
      <c r="DF27" s="716"/>
      <c r="DG27" s="730" t="s">
        <v>396</v>
      </c>
      <c r="DH27" s="736"/>
      <c r="DI27" s="737"/>
      <c r="DJ27" s="738"/>
      <c r="DK27" s="737"/>
      <c r="DL27" s="737"/>
      <c r="DM27" s="733" t="s">
        <v>397</v>
      </c>
      <c r="DN27" s="660" t="s">
        <v>398</v>
      </c>
      <c r="DO27" s="734" t="s">
        <v>397</v>
      </c>
      <c r="DP27" s="660" t="s">
        <v>398</v>
      </c>
      <c r="DQ27" s="735" t="s">
        <v>397</v>
      </c>
      <c r="DR27" s="660" t="s">
        <v>398</v>
      </c>
      <c r="DS27" s="735" t="s">
        <v>397</v>
      </c>
      <c r="DT27" s="660" t="s">
        <v>398</v>
      </c>
      <c r="DU27" s="735" t="s">
        <v>397</v>
      </c>
      <c r="DV27" s="660" t="s">
        <v>398</v>
      </c>
      <c r="DW27" s="735" t="s">
        <v>397</v>
      </c>
      <c r="DX27" s="660" t="s">
        <v>398</v>
      </c>
      <c r="DY27" s="735" t="s">
        <v>397</v>
      </c>
      <c r="DZ27" s="660" t="s">
        <v>398</v>
      </c>
      <c r="EA27" s="735" t="s">
        <v>397</v>
      </c>
      <c r="EB27" s="660" t="s">
        <v>398</v>
      </c>
      <c r="EC27" s="735" t="s">
        <v>397</v>
      </c>
      <c r="ED27" s="660" t="s">
        <v>398</v>
      </c>
      <c r="EE27" s="735" t="s">
        <v>397</v>
      </c>
      <c r="EF27" s="660" t="s">
        <v>398</v>
      </c>
      <c r="EG27" s="735" t="s">
        <v>397</v>
      </c>
      <c r="EH27" s="660" t="s">
        <v>398</v>
      </c>
      <c r="EI27" s="735" t="s">
        <v>397</v>
      </c>
      <c r="EJ27" s="660" t="s">
        <v>398</v>
      </c>
      <c r="EK27" s="735" t="s">
        <v>397</v>
      </c>
      <c r="EL27" s="660" t="s">
        <v>398</v>
      </c>
      <c r="EM27" s="735" t="s">
        <v>397</v>
      </c>
      <c r="EN27" s="660" t="s">
        <v>398</v>
      </c>
      <c r="EO27" s="735" t="s">
        <v>397</v>
      </c>
      <c r="EP27" s="660" t="s">
        <v>398</v>
      </c>
      <c r="EQ27" s="735" t="s">
        <v>397</v>
      </c>
      <c r="ER27" s="660" t="s">
        <v>398</v>
      </c>
      <c r="ES27" s="735" t="s">
        <v>397</v>
      </c>
      <c r="ET27" s="660" t="s">
        <v>398</v>
      </c>
      <c r="EU27" s="735" t="s">
        <v>397</v>
      </c>
      <c r="EV27" s="660" t="s">
        <v>398</v>
      </c>
      <c r="EW27" s="735" t="s">
        <v>397</v>
      </c>
      <c r="EX27" s="660" t="s">
        <v>398</v>
      </c>
      <c r="EY27" s="735" t="s">
        <v>397</v>
      </c>
      <c r="EZ27" s="660" t="s">
        <v>398</v>
      </c>
      <c r="FA27" s="735" t="s">
        <v>397</v>
      </c>
      <c r="FB27" s="660" t="s">
        <v>398</v>
      </c>
      <c r="FC27" s="735" t="s">
        <v>397</v>
      </c>
      <c r="FD27" s="660" t="s">
        <v>398</v>
      </c>
      <c r="FE27" s="735" t="s">
        <v>397</v>
      </c>
      <c r="FF27" s="660" t="s">
        <v>398</v>
      </c>
      <c r="FG27" s="735" t="s">
        <v>397</v>
      </c>
      <c r="FH27" s="662" t="s">
        <v>398</v>
      </c>
      <c r="FI27" s="739"/>
      <c r="FJ27" s="539" t="s">
        <v>396</v>
      </c>
      <c r="FK27" s="736"/>
      <c r="FL27" s="737"/>
      <c r="FM27" s="738"/>
      <c r="FN27" s="737"/>
      <c r="FO27" s="737"/>
      <c r="FP27" s="740" t="s">
        <v>401</v>
      </c>
      <c r="FQ27" s="666" t="s">
        <v>397</v>
      </c>
      <c r="FR27" s="660" t="s">
        <v>402</v>
      </c>
      <c r="FS27" s="741" t="s">
        <v>401</v>
      </c>
      <c r="FT27" s="666" t="s">
        <v>397</v>
      </c>
      <c r="FU27" s="668" t="s">
        <v>402</v>
      </c>
      <c r="FV27" s="590"/>
      <c r="FW27" s="591"/>
      <c r="FX27" s="592"/>
      <c r="FY27" s="593"/>
      <c r="FZ27" s="594"/>
      <c r="GA27" s="595"/>
      <c r="GB27" s="596"/>
      <c r="GC27" s="597"/>
      <c r="GD27" s="596"/>
      <c r="GE27" s="598"/>
      <c r="GF27" s="742"/>
      <c r="GG27" s="743"/>
      <c r="GH27" s="743"/>
      <c r="GI27" s="743"/>
      <c r="GJ27" s="612"/>
      <c r="GK27" s="527" t="s">
        <v>474</v>
      </c>
      <c r="GL27" s="612"/>
      <c r="GM27" s="612"/>
      <c r="GN27" s="612"/>
      <c r="GO27" s="414"/>
      <c r="GP27" s="744">
        <v>27.3</v>
      </c>
      <c r="GQ27" s="414" t="s">
        <v>475</v>
      </c>
      <c r="GR27" s="414"/>
      <c r="GS27" s="576"/>
      <c r="GT27" s="497"/>
      <c r="GU27" s="497"/>
      <c r="GV27" s="497"/>
      <c r="GW27" s="576"/>
      <c r="GX27" s="576"/>
      <c r="GY27" s="576"/>
      <c r="GZ27" s="575"/>
      <c r="HA27" s="497"/>
      <c r="HB27" s="497"/>
      <c r="HC27" s="527"/>
      <c r="HD27" s="410"/>
      <c r="HE27" s="416"/>
      <c r="HF27" s="416"/>
      <c r="HG27" s="416"/>
      <c r="HH27" s="416"/>
    </row>
    <row r="28" spans="1:218" ht="20.100000000000001" customHeight="1">
      <c r="A28" s="549"/>
      <c r="B28" s="745" t="s">
        <v>403</v>
      </c>
      <c r="C28" s="746"/>
      <c r="D28" s="747">
        <v>69</v>
      </c>
      <c r="E28" s="748">
        <v>6</v>
      </c>
      <c r="F28" s="749" t="s">
        <v>404</v>
      </c>
      <c r="G28" s="750"/>
      <c r="H28" s="556"/>
      <c r="I28" s="751"/>
      <c r="J28" s="556"/>
      <c r="K28" s="751"/>
      <c r="L28" s="556"/>
      <c r="M28" s="751"/>
      <c r="N28" s="556"/>
      <c r="O28" s="751"/>
      <c r="P28" s="556"/>
      <c r="Q28" s="751"/>
      <c r="R28" s="556"/>
      <c r="S28" s="751"/>
      <c r="T28" s="556"/>
      <c r="U28" s="751"/>
      <c r="V28" s="556"/>
      <c r="W28" s="751">
        <v>1</v>
      </c>
      <c r="X28" s="556">
        <v>414</v>
      </c>
      <c r="Y28" s="751">
        <v>1</v>
      </c>
      <c r="Z28" s="556">
        <v>414</v>
      </c>
      <c r="AA28" s="751">
        <v>1</v>
      </c>
      <c r="AB28" s="556">
        <v>414</v>
      </c>
      <c r="AC28" s="751">
        <v>0.5</v>
      </c>
      <c r="AD28" s="556">
        <v>207</v>
      </c>
      <c r="AE28" s="751">
        <v>1</v>
      </c>
      <c r="AF28" s="556">
        <v>414</v>
      </c>
      <c r="AG28" s="751">
        <v>1</v>
      </c>
      <c r="AH28" s="556">
        <v>414</v>
      </c>
      <c r="AI28" s="751">
        <v>1</v>
      </c>
      <c r="AJ28" s="556">
        <v>414</v>
      </c>
      <c r="AK28" s="751">
        <v>1</v>
      </c>
      <c r="AL28" s="556">
        <v>414</v>
      </c>
      <c r="AM28" s="751">
        <v>1</v>
      </c>
      <c r="AN28" s="556">
        <v>414</v>
      </c>
      <c r="AO28" s="751">
        <v>1</v>
      </c>
      <c r="AP28" s="556">
        <v>414</v>
      </c>
      <c r="AQ28" s="751"/>
      <c r="AR28" s="556"/>
      <c r="AS28" s="751"/>
      <c r="AT28" s="556"/>
      <c r="AU28" s="751"/>
      <c r="AV28" s="556"/>
      <c r="AW28" s="751"/>
      <c r="AX28" s="556"/>
      <c r="AY28" s="751"/>
      <c r="AZ28" s="556"/>
      <c r="BA28" s="751"/>
      <c r="BB28" s="677"/>
      <c r="BC28" s="559"/>
      <c r="BD28" s="549"/>
      <c r="BE28" s="745" t="s">
        <v>403</v>
      </c>
      <c r="BF28" s="746"/>
      <c r="BG28" s="747">
        <v>69</v>
      </c>
      <c r="BH28" s="748">
        <v>6</v>
      </c>
      <c r="BI28" s="749" t="s">
        <v>404</v>
      </c>
      <c r="BJ28" s="750"/>
      <c r="BK28" s="556"/>
      <c r="BL28" s="751"/>
      <c r="BM28" s="556"/>
      <c r="BN28" s="751"/>
      <c r="BO28" s="556"/>
      <c r="BP28" s="751"/>
      <c r="BQ28" s="556"/>
      <c r="BR28" s="751"/>
      <c r="BS28" s="556"/>
      <c r="BT28" s="751"/>
      <c r="BU28" s="556"/>
      <c r="BV28" s="751"/>
      <c r="BW28" s="556"/>
      <c r="BX28" s="751"/>
      <c r="BY28" s="556"/>
      <c r="BZ28" s="751">
        <v>1</v>
      </c>
      <c r="CA28" s="556">
        <v>414</v>
      </c>
      <c r="CB28" s="751">
        <v>1</v>
      </c>
      <c r="CC28" s="556">
        <v>414</v>
      </c>
      <c r="CD28" s="751">
        <v>1</v>
      </c>
      <c r="CE28" s="556">
        <v>414</v>
      </c>
      <c r="CF28" s="751">
        <v>0.5</v>
      </c>
      <c r="CG28" s="556">
        <v>207</v>
      </c>
      <c r="CH28" s="751">
        <v>1</v>
      </c>
      <c r="CI28" s="556">
        <v>414</v>
      </c>
      <c r="CJ28" s="751">
        <v>1</v>
      </c>
      <c r="CK28" s="556">
        <v>414</v>
      </c>
      <c r="CL28" s="751">
        <v>1</v>
      </c>
      <c r="CM28" s="556">
        <v>414</v>
      </c>
      <c r="CN28" s="751">
        <v>1</v>
      </c>
      <c r="CO28" s="556">
        <v>414</v>
      </c>
      <c r="CP28" s="751">
        <v>1</v>
      </c>
      <c r="CQ28" s="556">
        <v>414</v>
      </c>
      <c r="CR28" s="751">
        <v>1</v>
      </c>
      <c r="CS28" s="556">
        <v>414</v>
      </c>
      <c r="CT28" s="751"/>
      <c r="CU28" s="556"/>
      <c r="CV28" s="751"/>
      <c r="CW28" s="556"/>
      <c r="CX28" s="751"/>
      <c r="CY28" s="556"/>
      <c r="CZ28" s="751"/>
      <c r="DA28" s="556"/>
      <c r="DB28" s="751"/>
      <c r="DC28" s="556"/>
      <c r="DD28" s="751"/>
      <c r="DE28" s="677"/>
      <c r="DF28" s="559"/>
      <c r="DG28" s="549"/>
      <c r="DH28" s="745" t="s">
        <v>403</v>
      </c>
      <c r="DI28" s="746"/>
      <c r="DJ28" s="747">
        <v>69</v>
      </c>
      <c r="DK28" s="748">
        <v>6</v>
      </c>
      <c r="DL28" s="749" t="s">
        <v>404</v>
      </c>
      <c r="DM28" s="750"/>
      <c r="DN28" s="556"/>
      <c r="DO28" s="751"/>
      <c r="DP28" s="556"/>
      <c r="DQ28" s="751"/>
      <c r="DR28" s="556"/>
      <c r="DS28" s="751"/>
      <c r="DT28" s="556"/>
      <c r="DU28" s="751"/>
      <c r="DV28" s="556"/>
      <c r="DW28" s="751"/>
      <c r="DX28" s="556"/>
      <c r="DY28" s="751"/>
      <c r="DZ28" s="556"/>
      <c r="EA28" s="751"/>
      <c r="EB28" s="556"/>
      <c r="EC28" s="751">
        <v>1</v>
      </c>
      <c r="ED28" s="556">
        <v>414</v>
      </c>
      <c r="EE28" s="751">
        <v>1</v>
      </c>
      <c r="EF28" s="556">
        <v>414</v>
      </c>
      <c r="EG28" s="751">
        <v>1</v>
      </c>
      <c r="EH28" s="556">
        <v>414</v>
      </c>
      <c r="EI28" s="751">
        <v>0.5</v>
      </c>
      <c r="EJ28" s="556">
        <v>207</v>
      </c>
      <c r="EK28" s="751">
        <v>1</v>
      </c>
      <c r="EL28" s="556">
        <v>414</v>
      </c>
      <c r="EM28" s="751">
        <v>1</v>
      </c>
      <c r="EN28" s="556">
        <v>414</v>
      </c>
      <c r="EO28" s="751">
        <v>1</v>
      </c>
      <c r="EP28" s="556">
        <v>414</v>
      </c>
      <c r="EQ28" s="751">
        <v>1</v>
      </c>
      <c r="ER28" s="556">
        <v>414</v>
      </c>
      <c r="ES28" s="751">
        <v>1</v>
      </c>
      <c r="ET28" s="556">
        <v>414</v>
      </c>
      <c r="EU28" s="751">
        <v>1</v>
      </c>
      <c r="EV28" s="556">
        <v>414</v>
      </c>
      <c r="EW28" s="751"/>
      <c r="EX28" s="556"/>
      <c r="EY28" s="751"/>
      <c r="EZ28" s="556"/>
      <c r="FA28" s="751"/>
      <c r="FB28" s="556"/>
      <c r="FC28" s="751"/>
      <c r="FD28" s="556"/>
      <c r="FE28" s="751"/>
      <c r="FF28" s="556"/>
      <c r="FG28" s="751"/>
      <c r="FH28" s="677"/>
      <c r="FI28" s="560"/>
      <c r="FJ28" s="561"/>
      <c r="FK28" s="745" t="s">
        <v>403</v>
      </c>
      <c r="FL28" s="746"/>
      <c r="FM28" s="752"/>
      <c r="FN28" s="748">
        <v>0</v>
      </c>
      <c r="FO28" s="749"/>
      <c r="FP28" s="678"/>
      <c r="FQ28" s="753"/>
      <c r="FR28" s="556">
        <v>0</v>
      </c>
      <c r="FS28" s="754"/>
      <c r="FT28" s="753"/>
      <c r="FU28" s="564">
        <v>0</v>
      </c>
      <c r="FV28" s="590"/>
      <c r="FW28" s="591"/>
      <c r="FX28" s="592"/>
      <c r="FY28" s="593"/>
      <c r="FZ28" s="594"/>
      <c r="GA28" s="595"/>
      <c r="GB28" s="596"/>
      <c r="GC28" s="597"/>
      <c r="GD28" s="596"/>
      <c r="GE28" s="598"/>
      <c r="GF28" s="755"/>
      <c r="GG28" s="599"/>
      <c r="GH28" s="599"/>
      <c r="GI28" s="599"/>
      <c r="GJ28" s="612"/>
      <c r="GK28" s="527" t="s">
        <v>476</v>
      </c>
      <c r="GL28" s="414"/>
      <c r="GM28" s="414"/>
      <c r="GN28" s="414"/>
      <c r="GO28" s="527"/>
      <c r="GP28" s="744">
        <v>26</v>
      </c>
      <c r="GQ28" s="414" t="s">
        <v>475</v>
      </c>
      <c r="GR28" s="726"/>
      <c r="GS28" s="527"/>
      <c r="GT28" s="756"/>
      <c r="GU28" s="577" t="s">
        <v>477</v>
      </c>
      <c r="GV28" s="606"/>
      <c r="GW28" s="527"/>
      <c r="GX28" s="526"/>
      <c r="GY28" s="410"/>
      <c r="GZ28" s="612"/>
      <c r="HA28" s="527"/>
      <c r="HB28" s="527"/>
      <c r="HC28" s="527"/>
      <c r="HD28" s="527"/>
      <c r="HE28" s="416"/>
      <c r="HF28" s="416"/>
      <c r="HG28" s="416"/>
      <c r="HH28" s="416"/>
    </row>
    <row r="29" spans="1:218" ht="20.100000000000001" customHeight="1" thickBot="1">
      <c r="A29" s="549"/>
      <c r="B29" s="757" t="s">
        <v>405</v>
      </c>
      <c r="C29" s="758"/>
      <c r="D29" s="759">
        <v>12</v>
      </c>
      <c r="E29" s="760">
        <v>54.8</v>
      </c>
      <c r="F29" s="761" t="s">
        <v>404</v>
      </c>
      <c r="G29" s="762"/>
      <c r="H29" s="584"/>
      <c r="I29" s="763"/>
      <c r="J29" s="584"/>
      <c r="K29" s="763"/>
      <c r="L29" s="584"/>
      <c r="M29" s="763"/>
      <c r="N29" s="584"/>
      <c r="O29" s="763"/>
      <c r="P29" s="584"/>
      <c r="Q29" s="763"/>
      <c r="R29" s="584"/>
      <c r="S29" s="763"/>
      <c r="T29" s="584"/>
      <c r="U29" s="763"/>
      <c r="V29" s="584"/>
      <c r="W29" s="763">
        <v>1</v>
      </c>
      <c r="X29" s="584">
        <v>658</v>
      </c>
      <c r="Y29" s="763">
        <v>1</v>
      </c>
      <c r="Z29" s="584">
        <v>658</v>
      </c>
      <c r="AA29" s="763">
        <v>1</v>
      </c>
      <c r="AB29" s="584">
        <v>658</v>
      </c>
      <c r="AC29" s="763">
        <v>1</v>
      </c>
      <c r="AD29" s="584">
        <v>658</v>
      </c>
      <c r="AE29" s="763">
        <v>1</v>
      </c>
      <c r="AF29" s="584">
        <v>658</v>
      </c>
      <c r="AG29" s="763">
        <v>1</v>
      </c>
      <c r="AH29" s="584">
        <v>658</v>
      </c>
      <c r="AI29" s="763">
        <v>1</v>
      </c>
      <c r="AJ29" s="584">
        <v>658</v>
      </c>
      <c r="AK29" s="763">
        <v>1</v>
      </c>
      <c r="AL29" s="584">
        <v>658</v>
      </c>
      <c r="AM29" s="763">
        <v>1</v>
      </c>
      <c r="AN29" s="584">
        <v>658</v>
      </c>
      <c r="AO29" s="763">
        <v>1</v>
      </c>
      <c r="AP29" s="584">
        <v>658</v>
      </c>
      <c r="AQ29" s="763"/>
      <c r="AR29" s="584"/>
      <c r="AS29" s="763"/>
      <c r="AT29" s="584"/>
      <c r="AU29" s="763"/>
      <c r="AV29" s="584"/>
      <c r="AW29" s="763"/>
      <c r="AX29" s="584"/>
      <c r="AY29" s="763"/>
      <c r="AZ29" s="584"/>
      <c r="BA29" s="763"/>
      <c r="BB29" s="586"/>
      <c r="BC29" s="559"/>
      <c r="BD29" s="549"/>
      <c r="BE29" s="757" t="s">
        <v>405</v>
      </c>
      <c r="BF29" s="758"/>
      <c r="BG29" s="759">
        <v>12</v>
      </c>
      <c r="BH29" s="760">
        <v>54.8</v>
      </c>
      <c r="BI29" s="761" t="s">
        <v>404</v>
      </c>
      <c r="BJ29" s="762"/>
      <c r="BK29" s="584"/>
      <c r="BL29" s="763"/>
      <c r="BM29" s="584"/>
      <c r="BN29" s="763"/>
      <c r="BO29" s="584"/>
      <c r="BP29" s="763"/>
      <c r="BQ29" s="584"/>
      <c r="BR29" s="763"/>
      <c r="BS29" s="584"/>
      <c r="BT29" s="763"/>
      <c r="BU29" s="584"/>
      <c r="BV29" s="763"/>
      <c r="BW29" s="584"/>
      <c r="BX29" s="763"/>
      <c r="BY29" s="584"/>
      <c r="BZ29" s="763">
        <v>1</v>
      </c>
      <c r="CA29" s="584">
        <v>658</v>
      </c>
      <c r="CB29" s="763">
        <v>1</v>
      </c>
      <c r="CC29" s="584">
        <v>658</v>
      </c>
      <c r="CD29" s="763">
        <v>1</v>
      </c>
      <c r="CE29" s="584">
        <v>658</v>
      </c>
      <c r="CF29" s="763">
        <v>1</v>
      </c>
      <c r="CG29" s="584">
        <v>658</v>
      </c>
      <c r="CH29" s="763">
        <v>1</v>
      </c>
      <c r="CI29" s="584">
        <v>658</v>
      </c>
      <c r="CJ29" s="763">
        <v>1</v>
      </c>
      <c r="CK29" s="584">
        <v>658</v>
      </c>
      <c r="CL29" s="763">
        <v>1</v>
      </c>
      <c r="CM29" s="584">
        <v>658</v>
      </c>
      <c r="CN29" s="763">
        <v>1</v>
      </c>
      <c r="CO29" s="584">
        <v>658</v>
      </c>
      <c r="CP29" s="763">
        <v>1</v>
      </c>
      <c r="CQ29" s="584">
        <v>658</v>
      </c>
      <c r="CR29" s="763">
        <v>1</v>
      </c>
      <c r="CS29" s="584">
        <v>658</v>
      </c>
      <c r="CT29" s="763"/>
      <c r="CU29" s="584"/>
      <c r="CV29" s="763"/>
      <c r="CW29" s="584"/>
      <c r="CX29" s="763"/>
      <c r="CY29" s="584"/>
      <c r="CZ29" s="763"/>
      <c r="DA29" s="584"/>
      <c r="DB29" s="763"/>
      <c r="DC29" s="584"/>
      <c r="DD29" s="763"/>
      <c r="DE29" s="586"/>
      <c r="DF29" s="559"/>
      <c r="DG29" s="549"/>
      <c r="DH29" s="757" t="s">
        <v>405</v>
      </c>
      <c r="DI29" s="758"/>
      <c r="DJ29" s="759">
        <v>12</v>
      </c>
      <c r="DK29" s="760">
        <v>54.8</v>
      </c>
      <c r="DL29" s="761" t="s">
        <v>404</v>
      </c>
      <c r="DM29" s="762"/>
      <c r="DN29" s="584"/>
      <c r="DO29" s="763"/>
      <c r="DP29" s="584"/>
      <c r="DQ29" s="763"/>
      <c r="DR29" s="584"/>
      <c r="DS29" s="763"/>
      <c r="DT29" s="584"/>
      <c r="DU29" s="763"/>
      <c r="DV29" s="584"/>
      <c r="DW29" s="763"/>
      <c r="DX29" s="584"/>
      <c r="DY29" s="763"/>
      <c r="DZ29" s="584"/>
      <c r="EA29" s="763"/>
      <c r="EB29" s="584"/>
      <c r="EC29" s="763">
        <v>1</v>
      </c>
      <c r="ED29" s="584">
        <v>658</v>
      </c>
      <c r="EE29" s="763">
        <v>1</v>
      </c>
      <c r="EF29" s="584">
        <v>658</v>
      </c>
      <c r="EG29" s="763">
        <v>1</v>
      </c>
      <c r="EH29" s="584">
        <v>658</v>
      </c>
      <c r="EI29" s="763">
        <v>1</v>
      </c>
      <c r="EJ29" s="584">
        <v>658</v>
      </c>
      <c r="EK29" s="763">
        <v>1</v>
      </c>
      <c r="EL29" s="584">
        <v>658</v>
      </c>
      <c r="EM29" s="763">
        <v>1</v>
      </c>
      <c r="EN29" s="584">
        <v>658</v>
      </c>
      <c r="EO29" s="763">
        <v>1</v>
      </c>
      <c r="EP29" s="584">
        <v>658</v>
      </c>
      <c r="EQ29" s="763">
        <v>1</v>
      </c>
      <c r="ER29" s="584">
        <v>658</v>
      </c>
      <c r="ES29" s="763">
        <v>1</v>
      </c>
      <c r="ET29" s="584">
        <v>658</v>
      </c>
      <c r="EU29" s="763">
        <v>1</v>
      </c>
      <c r="EV29" s="584">
        <v>658</v>
      </c>
      <c r="EW29" s="763"/>
      <c r="EX29" s="584"/>
      <c r="EY29" s="763"/>
      <c r="EZ29" s="584"/>
      <c r="FA29" s="763"/>
      <c r="FB29" s="584"/>
      <c r="FC29" s="763"/>
      <c r="FD29" s="584"/>
      <c r="FE29" s="763"/>
      <c r="FF29" s="584"/>
      <c r="FG29" s="763"/>
      <c r="FH29" s="586"/>
      <c r="FI29" s="560"/>
      <c r="FJ29" s="561"/>
      <c r="FK29" s="757" t="s">
        <v>405</v>
      </c>
      <c r="FL29" s="758"/>
      <c r="FM29" s="764"/>
      <c r="FN29" s="760">
        <v>0</v>
      </c>
      <c r="FO29" s="761"/>
      <c r="FP29" s="689"/>
      <c r="FQ29" s="765"/>
      <c r="FR29" s="584">
        <v>0</v>
      </c>
      <c r="FS29" s="766"/>
      <c r="FT29" s="765"/>
      <c r="FU29" s="589">
        <v>0</v>
      </c>
      <c r="FV29" s="590"/>
      <c r="FW29" s="591"/>
      <c r="FX29" s="592"/>
      <c r="FY29" s="593"/>
      <c r="FZ29" s="594"/>
      <c r="GA29" s="595"/>
      <c r="GB29" s="596"/>
      <c r="GC29" s="597"/>
      <c r="GD29" s="596"/>
      <c r="GE29" s="598"/>
      <c r="GF29" s="755"/>
      <c r="GG29" s="599"/>
      <c r="GH29" s="599"/>
      <c r="GI29" s="599"/>
      <c r="GJ29" s="612"/>
      <c r="GK29" s="767" t="s">
        <v>478</v>
      </c>
      <c r="GL29" s="767"/>
      <c r="GM29" s="767"/>
      <c r="GN29" s="767"/>
      <c r="GO29" s="612"/>
      <c r="GP29" s="744">
        <v>1.3000000000000007</v>
      </c>
      <c r="GQ29" s="414" t="s">
        <v>475</v>
      </c>
      <c r="GR29" s="768"/>
      <c r="GS29" s="527"/>
      <c r="GT29" s="756"/>
      <c r="GU29" s="577" t="s">
        <v>479</v>
      </c>
      <c r="GV29" s="606"/>
      <c r="GW29" s="527"/>
      <c r="GX29" s="526"/>
      <c r="GY29" s="410"/>
      <c r="GZ29" s="527"/>
      <c r="HA29" s="577"/>
      <c r="HB29" s="577"/>
      <c r="HC29" s="576"/>
      <c r="HD29" s="527"/>
      <c r="HE29" s="416"/>
      <c r="HF29" s="416"/>
    </row>
    <row r="30" spans="1:218" ht="20.100000000000001" customHeight="1">
      <c r="A30" s="549"/>
      <c r="B30" s="757" t="s">
        <v>406</v>
      </c>
      <c r="C30" s="759">
        <v>12</v>
      </c>
      <c r="D30" s="760">
        <v>54.8</v>
      </c>
      <c r="E30" s="769">
        <v>1</v>
      </c>
      <c r="F30" s="770" t="s">
        <v>404</v>
      </c>
      <c r="G30" s="762"/>
      <c r="H30" s="584"/>
      <c r="I30" s="763"/>
      <c r="J30" s="584"/>
      <c r="K30" s="763"/>
      <c r="L30" s="584"/>
      <c r="M30" s="763"/>
      <c r="N30" s="584"/>
      <c r="O30" s="763"/>
      <c r="P30" s="584"/>
      <c r="Q30" s="763"/>
      <c r="R30" s="584"/>
      <c r="S30" s="763"/>
      <c r="T30" s="584"/>
      <c r="U30" s="763"/>
      <c r="V30" s="584"/>
      <c r="W30" s="763">
        <v>1</v>
      </c>
      <c r="X30" s="584">
        <v>658</v>
      </c>
      <c r="Y30" s="763">
        <v>1</v>
      </c>
      <c r="Z30" s="584">
        <v>658</v>
      </c>
      <c r="AA30" s="763">
        <v>1</v>
      </c>
      <c r="AB30" s="584">
        <v>658</v>
      </c>
      <c r="AC30" s="763">
        <v>1</v>
      </c>
      <c r="AD30" s="584">
        <v>658</v>
      </c>
      <c r="AE30" s="763">
        <v>1</v>
      </c>
      <c r="AF30" s="584">
        <v>658</v>
      </c>
      <c r="AG30" s="763">
        <v>1</v>
      </c>
      <c r="AH30" s="584">
        <v>658</v>
      </c>
      <c r="AI30" s="763">
        <v>1</v>
      </c>
      <c r="AJ30" s="584">
        <v>658</v>
      </c>
      <c r="AK30" s="763">
        <v>1</v>
      </c>
      <c r="AL30" s="584">
        <v>658</v>
      </c>
      <c r="AM30" s="763">
        <v>1</v>
      </c>
      <c r="AN30" s="584">
        <v>658</v>
      </c>
      <c r="AO30" s="763">
        <v>1</v>
      </c>
      <c r="AP30" s="584">
        <v>658</v>
      </c>
      <c r="AQ30" s="763"/>
      <c r="AR30" s="584"/>
      <c r="AS30" s="763"/>
      <c r="AT30" s="584"/>
      <c r="AU30" s="763"/>
      <c r="AV30" s="584"/>
      <c r="AW30" s="763"/>
      <c r="AX30" s="584"/>
      <c r="AY30" s="763"/>
      <c r="AZ30" s="584"/>
      <c r="BA30" s="763"/>
      <c r="BB30" s="586"/>
      <c r="BC30" s="559"/>
      <c r="BD30" s="549"/>
      <c r="BE30" s="757" t="s">
        <v>406</v>
      </c>
      <c r="BF30" s="759">
        <v>12</v>
      </c>
      <c r="BG30" s="760">
        <v>54.8</v>
      </c>
      <c r="BH30" s="769">
        <v>1</v>
      </c>
      <c r="BI30" s="770" t="s">
        <v>404</v>
      </c>
      <c r="BJ30" s="762"/>
      <c r="BK30" s="584"/>
      <c r="BL30" s="763"/>
      <c r="BM30" s="584"/>
      <c r="BN30" s="763"/>
      <c r="BO30" s="584"/>
      <c r="BP30" s="763"/>
      <c r="BQ30" s="584"/>
      <c r="BR30" s="763"/>
      <c r="BS30" s="584"/>
      <c r="BT30" s="763"/>
      <c r="BU30" s="584"/>
      <c r="BV30" s="763"/>
      <c r="BW30" s="584"/>
      <c r="BX30" s="763"/>
      <c r="BY30" s="584"/>
      <c r="BZ30" s="763">
        <v>1</v>
      </c>
      <c r="CA30" s="584">
        <v>658</v>
      </c>
      <c r="CB30" s="763">
        <v>1</v>
      </c>
      <c r="CC30" s="584">
        <v>658</v>
      </c>
      <c r="CD30" s="763">
        <v>1</v>
      </c>
      <c r="CE30" s="584">
        <v>658</v>
      </c>
      <c r="CF30" s="763">
        <v>1</v>
      </c>
      <c r="CG30" s="584">
        <v>658</v>
      </c>
      <c r="CH30" s="763">
        <v>1</v>
      </c>
      <c r="CI30" s="584">
        <v>658</v>
      </c>
      <c r="CJ30" s="763">
        <v>1</v>
      </c>
      <c r="CK30" s="584">
        <v>658</v>
      </c>
      <c r="CL30" s="763">
        <v>1</v>
      </c>
      <c r="CM30" s="584">
        <v>658</v>
      </c>
      <c r="CN30" s="763">
        <v>1</v>
      </c>
      <c r="CO30" s="584">
        <v>658</v>
      </c>
      <c r="CP30" s="763">
        <v>1</v>
      </c>
      <c r="CQ30" s="584">
        <v>658</v>
      </c>
      <c r="CR30" s="763">
        <v>1</v>
      </c>
      <c r="CS30" s="584">
        <v>658</v>
      </c>
      <c r="CT30" s="763"/>
      <c r="CU30" s="584"/>
      <c r="CV30" s="763"/>
      <c r="CW30" s="584"/>
      <c r="CX30" s="763"/>
      <c r="CY30" s="584"/>
      <c r="CZ30" s="763"/>
      <c r="DA30" s="584"/>
      <c r="DB30" s="763"/>
      <c r="DC30" s="584"/>
      <c r="DD30" s="763"/>
      <c r="DE30" s="586"/>
      <c r="DF30" s="559"/>
      <c r="DG30" s="549"/>
      <c r="DH30" s="757" t="s">
        <v>406</v>
      </c>
      <c r="DI30" s="759">
        <v>12</v>
      </c>
      <c r="DJ30" s="760">
        <v>54.8</v>
      </c>
      <c r="DK30" s="769">
        <v>1</v>
      </c>
      <c r="DL30" s="770" t="s">
        <v>404</v>
      </c>
      <c r="DM30" s="762"/>
      <c r="DN30" s="584"/>
      <c r="DO30" s="763"/>
      <c r="DP30" s="584"/>
      <c r="DQ30" s="763"/>
      <c r="DR30" s="584"/>
      <c r="DS30" s="763"/>
      <c r="DT30" s="584"/>
      <c r="DU30" s="763"/>
      <c r="DV30" s="584"/>
      <c r="DW30" s="763"/>
      <c r="DX30" s="584"/>
      <c r="DY30" s="763"/>
      <c r="DZ30" s="584"/>
      <c r="EA30" s="763"/>
      <c r="EB30" s="584"/>
      <c r="EC30" s="763">
        <v>1</v>
      </c>
      <c r="ED30" s="584">
        <v>658</v>
      </c>
      <c r="EE30" s="763">
        <v>1</v>
      </c>
      <c r="EF30" s="584">
        <v>658</v>
      </c>
      <c r="EG30" s="763">
        <v>1</v>
      </c>
      <c r="EH30" s="584">
        <v>658</v>
      </c>
      <c r="EI30" s="763">
        <v>1</v>
      </c>
      <c r="EJ30" s="584">
        <v>658</v>
      </c>
      <c r="EK30" s="763">
        <v>1</v>
      </c>
      <c r="EL30" s="584">
        <v>658</v>
      </c>
      <c r="EM30" s="763">
        <v>1</v>
      </c>
      <c r="EN30" s="584">
        <v>658</v>
      </c>
      <c r="EO30" s="763">
        <v>1</v>
      </c>
      <c r="EP30" s="584">
        <v>658</v>
      </c>
      <c r="EQ30" s="763">
        <v>1</v>
      </c>
      <c r="ER30" s="584">
        <v>658</v>
      </c>
      <c r="ES30" s="763">
        <v>1</v>
      </c>
      <c r="ET30" s="584">
        <v>658</v>
      </c>
      <c r="EU30" s="763">
        <v>1</v>
      </c>
      <c r="EV30" s="584">
        <v>658</v>
      </c>
      <c r="EW30" s="763"/>
      <c r="EX30" s="584"/>
      <c r="EY30" s="763"/>
      <c r="EZ30" s="584"/>
      <c r="FA30" s="763"/>
      <c r="FB30" s="584"/>
      <c r="FC30" s="763"/>
      <c r="FD30" s="584"/>
      <c r="FE30" s="763"/>
      <c r="FF30" s="584"/>
      <c r="FG30" s="763"/>
      <c r="FH30" s="586"/>
      <c r="FI30" s="560"/>
      <c r="FJ30" s="561"/>
      <c r="FK30" s="757" t="s">
        <v>406</v>
      </c>
      <c r="FL30" s="764"/>
      <c r="FM30" s="760">
        <v>0</v>
      </c>
      <c r="FN30" s="769">
        <v>0</v>
      </c>
      <c r="FO30" s="770"/>
      <c r="FP30" s="689"/>
      <c r="FQ30" s="765"/>
      <c r="FR30" s="584">
        <v>0</v>
      </c>
      <c r="FS30" s="766"/>
      <c r="FT30" s="765"/>
      <c r="FU30" s="589">
        <v>0</v>
      </c>
      <c r="FV30" s="590"/>
      <c r="FW30" s="591"/>
      <c r="FX30" s="592"/>
      <c r="FY30" s="593"/>
      <c r="FZ30" s="594"/>
      <c r="GA30" s="595"/>
      <c r="GB30" s="596"/>
      <c r="GC30" s="597"/>
      <c r="GD30" s="596"/>
      <c r="GE30" s="598"/>
      <c r="GF30" s="755"/>
      <c r="GG30" s="599"/>
      <c r="GH30" s="599"/>
      <c r="GI30" s="599"/>
      <c r="GJ30" s="612"/>
      <c r="GK30" s="767" t="s">
        <v>480</v>
      </c>
      <c r="GL30" s="767"/>
      <c r="GM30" s="767"/>
      <c r="GN30" s="767"/>
      <c r="GO30" s="527"/>
      <c r="GP30" s="771">
        <v>0</v>
      </c>
      <c r="GQ30" s="414"/>
      <c r="GR30" s="414"/>
      <c r="GS30" s="527"/>
      <c r="GT30" s="756"/>
      <c r="GU30" s="772" t="s">
        <v>370</v>
      </c>
      <c r="GV30" s="773"/>
      <c r="GW30" s="774" t="s">
        <v>481</v>
      </c>
      <c r="GX30" s="774"/>
      <c r="GY30" s="774"/>
      <c r="GZ30" s="774"/>
      <c r="HA30" s="775"/>
      <c r="HB30" s="776" t="s">
        <v>482</v>
      </c>
      <c r="HC30" s="576"/>
      <c r="HD30" s="559"/>
      <c r="HE30" s="416"/>
      <c r="HF30" s="416"/>
    </row>
    <row r="31" spans="1:218" ht="20.100000000000001" customHeight="1">
      <c r="A31" s="549"/>
      <c r="B31" s="777" t="s">
        <v>407</v>
      </c>
      <c r="C31" s="777"/>
      <c r="D31" s="778"/>
      <c r="E31" s="779"/>
      <c r="F31" s="780"/>
      <c r="G31" s="762"/>
      <c r="H31" s="584"/>
      <c r="I31" s="763"/>
      <c r="J31" s="584"/>
      <c r="K31" s="763"/>
      <c r="L31" s="584"/>
      <c r="M31" s="763"/>
      <c r="N31" s="584"/>
      <c r="O31" s="763"/>
      <c r="P31" s="584"/>
      <c r="Q31" s="763"/>
      <c r="R31" s="584"/>
      <c r="S31" s="763"/>
      <c r="T31" s="584"/>
      <c r="U31" s="763"/>
      <c r="V31" s="584"/>
      <c r="W31" s="763"/>
      <c r="X31" s="584">
        <v>0</v>
      </c>
      <c r="Y31" s="763"/>
      <c r="Z31" s="584">
        <v>0</v>
      </c>
      <c r="AA31" s="763"/>
      <c r="AB31" s="584">
        <v>0</v>
      </c>
      <c r="AC31" s="763"/>
      <c r="AD31" s="584">
        <v>0</v>
      </c>
      <c r="AE31" s="763"/>
      <c r="AF31" s="584">
        <v>0</v>
      </c>
      <c r="AG31" s="763"/>
      <c r="AH31" s="584">
        <v>0</v>
      </c>
      <c r="AI31" s="763"/>
      <c r="AJ31" s="584">
        <v>0</v>
      </c>
      <c r="AK31" s="763"/>
      <c r="AL31" s="584">
        <v>0</v>
      </c>
      <c r="AM31" s="763"/>
      <c r="AN31" s="584">
        <v>0</v>
      </c>
      <c r="AO31" s="763"/>
      <c r="AP31" s="584">
        <v>0</v>
      </c>
      <c r="AQ31" s="763"/>
      <c r="AR31" s="584"/>
      <c r="AS31" s="763"/>
      <c r="AT31" s="584"/>
      <c r="AU31" s="763"/>
      <c r="AV31" s="584"/>
      <c r="AW31" s="763"/>
      <c r="AX31" s="584"/>
      <c r="AY31" s="763"/>
      <c r="AZ31" s="584"/>
      <c r="BA31" s="763"/>
      <c r="BB31" s="586"/>
      <c r="BC31" s="559"/>
      <c r="BD31" s="549"/>
      <c r="BE31" s="777" t="s">
        <v>407</v>
      </c>
      <c r="BF31" s="777"/>
      <c r="BG31" s="778">
        <v>0</v>
      </c>
      <c r="BH31" s="779">
        <v>0</v>
      </c>
      <c r="BI31" s="780"/>
      <c r="BJ31" s="762"/>
      <c r="BK31" s="584"/>
      <c r="BL31" s="763"/>
      <c r="BM31" s="584"/>
      <c r="BN31" s="763"/>
      <c r="BO31" s="584"/>
      <c r="BP31" s="763"/>
      <c r="BQ31" s="584"/>
      <c r="BR31" s="763"/>
      <c r="BS31" s="584"/>
      <c r="BT31" s="763"/>
      <c r="BU31" s="584"/>
      <c r="BV31" s="763"/>
      <c r="BW31" s="584"/>
      <c r="BX31" s="763"/>
      <c r="BY31" s="584"/>
      <c r="BZ31" s="763"/>
      <c r="CA31" s="584">
        <v>0</v>
      </c>
      <c r="CB31" s="763"/>
      <c r="CC31" s="584">
        <v>0</v>
      </c>
      <c r="CD31" s="763"/>
      <c r="CE31" s="584">
        <v>0</v>
      </c>
      <c r="CF31" s="763"/>
      <c r="CG31" s="584">
        <v>0</v>
      </c>
      <c r="CH31" s="763"/>
      <c r="CI31" s="584">
        <v>0</v>
      </c>
      <c r="CJ31" s="763"/>
      <c r="CK31" s="584">
        <v>0</v>
      </c>
      <c r="CL31" s="763"/>
      <c r="CM31" s="584">
        <v>0</v>
      </c>
      <c r="CN31" s="763"/>
      <c r="CO31" s="584">
        <v>0</v>
      </c>
      <c r="CP31" s="763"/>
      <c r="CQ31" s="584">
        <v>0</v>
      </c>
      <c r="CR31" s="763"/>
      <c r="CS31" s="584">
        <v>0</v>
      </c>
      <c r="CT31" s="763"/>
      <c r="CU31" s="584"/>
      <c r="CV31" s="763"/>
      <c r="CW31" s="584"/>
      <c r="CX31" s="763"/>
      <c r="CY31" s="584"/>
      <c r="CZ31" s="763"/>
      <c r="DA31" s="584"/>
      <c r="DB31" s="763"/>
      <c r="DC31" s="584"/>
      <c r="DD31" s="763"/>
      <c r="DE31" s="586"/>
      <c r="DF31" s="559"/>
      <c r="DG31" s="549"/>
      <c r="DH31" s="777" t="s">
        <v>407</v>
      </c>
      <c r="DI31" s="777"/>
      <c r="DJ31" s="778">
        <v>0</v>
      </c>
      <c r="DK31" s="779">
        <v>0</v>
      </c>
      <c r="DL31" s="780"/>
      <c r="DM31" s="762"/>
      <c r="DN31" s="584"/>
      <c r="DO31" s="763"/>
      <c r="DP31" s="584"/>
      <c r="DQ31" s="763"/>
      <c r="DR31" s="584"/>
      <c r="DS31" s="763"/>
      <c r="DT31" s="584"/>
      <c r="DU31" s="763"/>
      <c r="DV31" s="584"/>
      <c r="DW31" s="763"/>
      <c r="DX31" s="584"/>
      <c r="DY31" s="763"/>
      <c r="DZ31" s="584"/>
      <c r="EA31" s="763"/>
      <c r="EB31" s="584"/>
      <c r="EC31" s="763"/>
      <c r="ED31" s="584">
        <v>0</v>
      </c>
      <c r="EE31" s="763"/>
      <c r="EF31" s="584">
        <v>0</v>
      </c>
      <c r="EG31" s="763"/>
      <c r="EH31" s="584">
        <v>0</v>
      </c>
      <c r="EI31" s="763"/>
      <c r="EJ31" s="584">
        <v>0</v>
      </c>
      <c r="EK31" s="763"/>
      <c r="EL31" s="584">
        <v>0</v>
      </c>
      <c r="EM31" s="763"/>
      <c r="EN31" s="584">
        <v>0</v>
      </c>
      <c r="EO31" s="763"/>
      <c r="EP31" s="584">
        <v>0</v>
      </c>
      <c r="EQ31" s="763"/>
      <c r="ER31" s="584">
        <v>0</v>
      </c>
      <c r="ES31" s="763"/>
      <c r="ET31" s="584">
        <v>0</v>
      </c>
      <c r="EU31" s="763"/>
      <c r="EV31" s="584">
        <v>0</v>
      </c>
      <c r="EW31" s="763"/>
      <c r="EX31" s="584"/>
      <c r="EY31" s="763"/>
      <c r="EZ31" s="584"/>
      <c r="FA31" s="763"/>
      <c r="FB31" s="584"/>
      <c r="FC31" s="763"/>
      <c r="FD31" s="584"/>
      <c r="FE31" s="763"/>
      <c r="FF31" s="584"/>
      <c r="FG31" s="763"/>
      <c r="FH31" s="586"/>
      <c r="FI31" s="560"/>
      <c r="FJ31" s="561"/>
      <c r="FK31" s="777" t="s">
        <v>407</v>
      </c>
      <c r="FL31" s="777"/>
      <c r="FM31" s="781"/>
      <c r="FN31" s="779">
        <v>0</v>
      </c>
      <c r="FO31" s="780"/>
      <c r="FP31" s="689"/>
      <c r="FQ31" s="765"/>
      <c r="FR31" s="584">
        <v>0</v>
      </c>
      <c r="FS31" s="766"/>
      <c r="FT31" s="765"/>
      <c r="FU31" s="589">
        <v>0</v>
      </c>
      <c r="FV31" s="590"/>
      <c r="FW31" s="591"/>
      <c r="FX31" s="592"/>
      <c r="FY31" s="593"/>
      <c r="FZ31" s="594"/>
      <c r="GA31" s="595"/>
      <c r="GB31" s="596"/>
      <c r="GC31" s="597"/>
      <c r="GD31" s="596"/>
      <c r="GE31" s="598"/>
      <c r="GF31" s="755"/>
      <c r="GG31" s="599"/>
      <c r="GH31" s="599"/>
      <c r="GI31" s="599"/>
      <c r="GJ31" s="414"/>
      <c r="GK31" s="577" t="s">
        <v>483</v>
      </c>
      <c r="GL31" s="414"/>
      <c r="GM31" s="577"/>
      <c r="GN31" s="414"/>
      <c r="GO31" s="577"/>
      <c r="GP31" s="771">
        <v>0</v>
      </c>
      <c r="GQ31" s="414"/>
      <c r="GR31" s="414"/>
      <c r="GS31" s="577"/>
      <c r="GT31" s="756"/>
      <c r="GU31" s="772"/>
      <c r="GV31" s="773"/>
      <c r="GW31" s="782" t="s">
        <v>484</v>
      </c>
      <c r="GX31" s="783" t="s">
        <v>485</v>
      </c>
      <c r="GY31" s="784" t="s">
        <v>486</v>
      </c>
      <c r="GZ31" s="785" t="s">
        <v>487</v>
      </c>
      <c r="HA31" s="785" t="s">
        <v>463</v>
      </c>
      <c r="HB31" s="786"/>
      <c r="HC31" s="576"/>
      <c r="HD31" s="559"/>
      <c r="HE31" s="416"/>
      <c r="HF31" s="416"/>
    </row>
    <row r="32" spans="1:218" ht="20.100000000000001" customHeight="1">
      <c r="A32" s="549"/>
      <c r="B32" s="787" t="s">
        <v>408</v>
      </c>
      <c r="C32" s="788"/>
      <c r="D32" s="778"/>
      <c r="E32" s="789"/>
      <c r="F32" s="790"/>
      <c r="G32" s="791"/>
      <c r="H32" s="792"/>
      <c r="I32" s="793"/>
      <c r="J32" s="792"/>
      <c r="K32" s="793"/>
      <c r="L32" s="792"/>
      <c r="M32" s="793"/>
      <c r="N32" s="792"/>
      <c r="O32" s="793"/>
      <c r="P32" s="792"/>
      <c r="Q32" s="793"/>
      <c r="R32" s="792"/>
      <c r="S32" s="793"/>
      <c r="T32" s="792"/>
      <c r="U32" s="793"/>
      <c r="V32" s="792"/>
      <c r="W32" s="793"/>
      <c r="X32" s="792">
        <v>0</v>
      </c>
      <c r="Y32" s="793"/>
      <c r="Z32" s="792">
        <v>0</v>
      </c>
      <c r="AA32" s="793"/>
      <c r="AB32" s="792">
        <v>0</v>
      </c>
      <c r="AC32" s="793"/>
      <c r="AD32" s="792">
        <v>0</v>
      </c>
      <c r="AE32" s="793"/>
      <c r="AF32" s="792">
        <v>0</v>
      </c>
      <c r="AG32" s="793"/>
      <c r="AH32" s="792">
        <v>0</v>
      </c>
      <c r="AI32" s="793"/>
      <c r="AJ32" s="792">
        <v>0</v>
      </c>
      <c r="AK32" s="793"/>
      <c r="AL32" s="792">
        <v>0</v>
      </c>
      <c r="AM32" s="793"/>
      <c r="AN32" s="792">
        <v>0</v>
      </c>
      <c r="AO32" s="793"/>
      <c r="AP32" s="792">
        <v>0</v>
      </c>
      <c r="AQ32" s="793"/>
      <c r="AR32" s="792"/>
      <c r="AS32" s="793"/>
      <c r="AT32" s="792"/>
      <c r="AU32" s="793"/>
      <c r="AV32" s="792"/>
      <c r="AW32" s="793"/>
      <c r="AX32" s="792"/>
      <c r="AY32" s="793"/>
      <c r="AZ32" s="792"/>
      <c r="BA32" s="793"/>
      <c r="BB32" s="794"/>
      <c r="BC32" s="559"/>
      <c r="BD32" s="549"/>
      <c r="BE32" s="787" t="s">
        <v>408</v>
      </c>
      <c r="BF32" s="788"/>
      <c r="BG32" s="778">
        <v>0</v>
      </c>
      <c r="BH32" s="789">
        <v>0</v>
      </c>
      <c r="BI32" s="790"/>
      <c r="BJ32" s="791"/>
      <c r="BK32" s="792"/>
      <c r="BL32" s="793"/>
      <c r="BM32" s="792"/>
      <c r="BN32" s="793"/>
      <c r="BO32" s="792"/>
      <c r="BP32" s="793"/>
      <c r="BQ32" s="792"/>
      <c r="BR32" s="793"/>
      <c r="BS32" s="792"/>
      <c r="BT32" s="793"/>
      <c r="BU32" s="792"/>
      <c r="BV32" s="793"/>
      <c r="BW32" s="792"/>
      <c r="BX32" s="793"/>
      <c r="BY32" s="792"/>
      <c r="BZ32" s="793"/>
      <c r="CA32" s="792">
        <v>0</v>
      </c>
      <c r="CB32" s="793"/>
      <c r="CC32" s="792">
        <v>0</v>
      </c>
      <c r="CD32" s="793"/>
      <c r="CE32" s="792">
        <v>0</v>
      </c>
      <c r="CF32" s="793"/>
      <c r="CG32" s="792">
        <v>0</v>
      </c>
      <c r="CH32" s="793"/>
      <c r="CI32" s="792">
        <v>0</v>
      </c>
      <c r="CJ32" s="793"/>
      <c r="CK32" s="792">
        <v>0</v>
      </c>
      <c r="CL32" s="793"/>
      <c r="CM32" s="792">
        <v>0</v>
      </c>
      <c r="CN32" s="793"/>
      <c r="CO32" s="792">
        <v>0</v>
      </c>
      <c r="CP32" s="793"/>
      <c r="CQ32" s="792">
        <v>0</v>
      </c>
      <c r="CR32" s="793"/>
      <c r="CS32" s="792">
        <v>0</v>
      </c>
      <c r="CT32" s="793"/>
      <c r="CU32" s="792"/>
      <c r="CV32" s="793"/>
      <c r="CW32" s="792"/>
      <c r="CX32" s="793"/>
      <c r="CY32" s="792"/>
      <c r="CZ32" s="793"/>
      <c r="DA32" s="792"/>
      <c r="DB32" s="793"/>
      <c r="DC32" s="792"/>
      <c r="DD32" s="793"/>
      <c r="DE32" s="794"/>
      <c r="DF32" s="559"/>
      <c r="DG32" s="549"/>
      <c r="DH32" s="787" t="s">
        <v>408</v>
      </c>
      <c r="DI32" s="788"/>
      <c r="DJ32" s="778">
        <v>0</v>
      </c>
      <c r="DK32" s="789">
        <v>0</v>
      </c>
      <c r="DL32" s="790"/>
      <c r="DM32" s="791"/>
      <c r="DN32" s="792"/>
      <c r="DO32" s="793"/>
      <c r="DP32" s="792"/>
      <c r="DQ32" s="793"/>
      <c r="DR32" s="792"/>
      <c r="DS32" s="793"/>
      <c r="DT32" s="792"/>
      <c r="DU32" s="793"/>
      <c r="DV32" s="792"/>
      <c r="DW32" s="793"/>
      <c r="DX32" s="792"/>
      <c r="DY32" s="793"/>
      <c r="DZ32" s="792"/>
      <c r="EA32" s="793"/>
      <c r="EB32" s="792"/>
      <c r="EC32" s="793"/>
      <c r="ED32" s="792">
        <v>0</v>
      </c>
      <c r="EE32" s="793"/>
      <c r="EF32" s="792">
        <v>0</v>
      </c>
      <c r="EG32" s="793"/>
      <c r="EH32" s="792">
        <v>0</v>
      </c>
      <c r="EI32" s="793"/>
      <c r="EJ32" s="792">
        <v>0</v>
      </c>
      <c r="EK32" s="793"/>
      <c r="EL32" s="792">
        <v>0</v>
      </c>
      <c r="EM32" s="793"/>
      <c r="EN32" s="792">
        <v>0</v>
      </c>
      <c r="EO32" s="793"/>
      <c r="EP32" s="792">
        <v>0</v>
      </c>
      <c r="EQ32" s="793"/>
      <c r="ER32" s="792">
        <v>0</v>
      </c>
      <c r="ES32" s="793"/>
      <c r="ET32" s="792">
        <v>0</v>
      </c>
      <c r="EU32" s="793"/>
      <c r="EV32" s="792">
        <v>0</v>
      </c>
      <c r="EW32" s="793"/>
      <c r="EX32" s="792"/>
      <c r="EY32" s="793"/>
      <c r="EZ32" s="792"/>
      <c r="FA32" s="793"/>
      <c r="FB32" s="792"/>
      <c r="FC32" s="793"/>
      <c r="FD32" s="792"/>
      <c r="FE32" s="793"/>
      <c r="FF32" s="792"/>
      <c r="FG32" s="793"/>
      <c r="FH32" s="794"/>
      <c r="FI32" s="560"/>
      <c r="FJ32" s="561"/>
      <c r="FK32" s="787" t="s">
        <v>408</v>
      </c>
      <c r="FL32" s="788"/>
      <c r="FM32" s="781"/>
      <c r="FN32" s="789">
        <v>0</v>
      </c>
      <c r="FO32" s="790"/>
      <c r="FP32" s="795"/>
      <c r="FQ32" s="796"/>
      <c r="FR32" s="792">
        <v>0</v>
      </c>
      <c r="FS32" s="797"/>
      <c r="FT32" s="796"/>
      <c r="FU32" s="798">
        <v>0</v>
      </c>
      <c r="FV32" s="590"/>
      <c r="FW32" s="591"/>
      <c r="FX32" s="799"/>
      <c r="FY32" s="593"/>
      <c r="FZ32" s="800"/>
      <c r="GA32" s="595"/>
      <c r="GB32" s="801"/>
      <c r="GC32" s="597"/>
      <c r="GD32" s="801"/>
      <c r="GE32" s="598"/>
      <c r="GF32" s="755"/>
      <c r="GG32" s="599"/>
      <c r="GH32" s="599"/>
      <c r="GI32" s="599"/>
      <c r="GJ32" s="497"/>
      <c r="GK32" s="498"/>
      <c r="GL32" s="498"/>
      <c r="GM32" s="498"/>
      <c r="GN32" s="498"/>
      <c r="GO32" s="498"/>
      <c r="GP32" s="498"/>
      <c r="GQ32" s="498"/>
      <c r="GR32" s="498"/>
      <c r="GS32" s="410"/>
      <c r="GT32" s="756"/>
      <c r="GU32" s="802"/>
      <c r="GV32" s="803"/>
      <c r="GW32" s="782"/>
      <c r="GX32" s="783"/>
      <c r="GY32" s="784"/>
      <c r="GZ32" s="785"/>
      <c r="HA32" s="785"/>
      <c r="HB32" s="786"/>
      <c r="HC32" s="414"/>
      <c r="HD32" s="559"/>
      <c r="HE32" s="416"/>
      <c r="HF32" s="416"/>
    </row>
    <row r="33" spans="1:219" ht="20.100000000000001" customHeight="1">
      <c r="A33" s="638"/>
      <c r="B33" s="639"/>
      <c r="C33" s="639"/>
      <c r="D33" s="640" t="s">
        <v>409</v>
      </c>
      <c r="E33" s="639"/>
      <c r="F33" s="639"/>
      <c r="G33" s="641"/>
      <c r="H33" s="642">
        <v>0</v>
      </c>
      <c r="I33" s="643"/>
      <c r="J33" s="642">
        <v>0</v>
      </c>
      <c r="K33" s="643"/>
      <c r="L33" s="642">
        <v>0</v>
      </c>
      <c r="M33" s="643"/>
      <c r="N33" s="642">
        <v>0</v>
      </c>
      <c r="O33" s="643"/>
      <c r="P33" s="642">
        <v>0</v>
      </c>
      <c r="Q33" s="643"/>
      <c r="R33" s="642">
        <v>0</v>
      </c>
      <c r="S33" s="643"/>
      <c r="T33" s="642">
        <v>0</v>
      </c>
      <c r="U33" s="643"/>
      <c r="V33" s="642">
        <v>0</v>
      </c>
      <c r="W33" s="643"/>
      <c r="X33" s="642">
        <v>1730</v>
      </c>
      <c r="Y33" s="643"/>
      <c r="Z33" s="642">
        <v>1730</v>
      </c>
      <c r="AA33" s="643"/>
      <c r="AB33" s="642">
        <v>1730</v>
      </c>
      <c r="AC33" s="643"/>
      <c r="AD33" s="642">
        <v>1523</v>
      </c>
      <c r="AE33" s="643"/>
      <c r="AF33" s="642">
        <v>1730</v>
      </c>
      <c r="AG33" s="643"/>
      <c r="AH33" s="642">
        <v>1730</v>
      </c>
      <c r="AI33" s="643"/>
      <c r="AJ33" s="642">
        <v>1730</v>
      </c>
      <c r="AK33" s="643"/>
      <c r="AL33" s="642">
        <v>1730</v>
      </c>
      <c r="AM33" s="643"/>
      <c r="AN33" s="642">
        <v>1730</v>
      </c>
      <c r="AO33" s="643"/>
      <c r="AP33" s="642">
        <v>1730</v>
      </c>
      <c r="AQ33" s="643"/>
      <c r="AR33" s="642">
        <v>0</v>
      </c>
      <c r="AS33" s="643"/>
      <c r="AT33" s="642">
        <v>0</v>
      </c>
      <c r="AU33" s="643"/>
      <c r="AV33" s="642">
        <v>0</v>
      </c>
      <c r="AW33" s="643"/>
      <c r="AX33" s="642">
        <v>0</v>
      </c>
      <c r="AY33" s="643"/>
      <c r="AZ33" s="642">
        <v>0</v>
      </c>
      <c r="BA33" s="643"/>
      <c r="BB33" s="644">
        <v>0</v>
      </c>
      <c r="BC33" s="645"/>
      <c r="BD33" s="638"/>
      <c r="BE33" s="639"/>
      <c r="BF33" s="639"/>
      <c r="BG33" s="640" t="s">
        <v>409</v>
      </c>
      <c r="BH33" s="639"/>
      <c r="BI33" s="639"/>
      <c r="BJ33" s="641"/>
      <c r="BK33" s="642">
        <v>0</v>
      </c>
      <c r="BL33" s="643"/>
      <c r="BM33" s="642">
        <v>0</v>
      </c>
      <c r="BN33" s="643"/>
      <c r="BO33" s="642">
        <v>0</v>
      </c>
      <c r="BP33" s="643"/>
      <c r="BQ33" s="642">
        <v>0</v>
      </c>
      <c r="BR33" s="643"/>
      <c r="BS33" s="642">
        <v>0</v>
      </c>
      <c r="BT33" s="643"/>
      <c r="BU33" s="642">
        <v>0</v>
      </c>
      <c r="BV33" s="643"/>
      <c r="BW33" s="642">
        <v>0</v>
      </c>
      <c r="BX33" s="643"/>
      <c r="BY33" s="642">
        <v>0</v>
      </c>
      <c r="BZ33" s="643"/>
      <c r="CA33" s="642">
        <v>1730</v>
      </c>
      <c r="CB33" s="643"/>
      <c r="CC33" s="642">
        <v>1730</v>
      </c>
      <c r="CD33" s="643"/>
      <c r="CE33" s="642">
        <v>1730</v>
      </c>
      <c r="CF33" s="643"/>
      <c r="CG33" s="642">
        <v>1523</v>
      </c>
      <c r="CH33" s="643"/>
      <c r="CI33" s="642">
        <v>1730</v>
      </c>
      <c r="CJ33" s="643"/>
      <c r="CK33" s="642">
        <v>1730</v>
      </c>
      <c r="CL33" s="643"/>
      <c r="CM33" s="642">
        <v>1730</v>
      </c>
      <c r="CN33" s="643"/>
      <c r="CO33" s="642">
        <v>1730</v>
      </c>
      <c r="CP33" s="643"/>
      <c r="CQ33" s="642">
        <v>1730</v>
      </c>
      <c r="CR33" s="643"/>
      <c r="CS33" s="642">
        <v>1730</v>
      </c>
      <c r="CT33" s="643"/>
      <c r="CU33" s="642">
        <v>0</v>
      </c>
      <c r="CV33" s="643"/>
      <c r="CW33" s="642">
        <v>0</v>
      </c>
      <c r="CX33" s="643"/>
      <c r="CY33" s="642">
        <v>0</v>
      </c>
      <c r="CZ33" s="643"/>
      <c r="DA33" s="642">
        <v>0</v>
      </c>
      <c r="DB33" s="643"/>
      <c r="DC33" s="642">
        <v>0</v>
      </c>
      <c r="DD33" s="643"/>
      <c r="DE33" s="644">
        <v>0</v>
      </c>
      <c r="DF33" s="645"/>
      <c r="DG33" s="638"/>
      <c r="DH33" s="639"/>
      <c r="DI33" s="639"/>
      <c r="DJ33" s="640" t="s">
        <v>409</v>
      </c>
      <c r="DK33" s="639"/>
      <c r="DL33" s="639"/>
      <c r="DM33" s="641"/>
      <c r="DN33" s="642">
        <v>0</v>
      </c>
      <c r="DO33" s="643"/>
      <c r="DP33" s="642">
        <v>0</v>
      </c>
      <c r="DQ33" s="643"/>
      <c r="DR33" s="642">
        <v>0</v>
      </c>
      <c r="DS33" s="643"/>
      <c r="DT33" s="642">
        <v>0</v>
      </c>
      <c r="DU33" s="643"/>
      <c r="DV33" s="642">
        <v>0</v>
      </c>
      <c r="DW33" s="643"/>
      <c r="DX33" s="642">
        <v>0</v>
      </c>
      <c r="DY33" s="643"/>
      <c r="DZ33" s="642">
        <v>0</v>
      </c>
      <c r="EA33" s="643"/>
      <c r="EB33" s="642">
        <v>0</v>
      </c>
      <c r="EC33" s="643"/>
      <c r="ED33" s="642">
        <v>1730</v>
      </c>
      <c r="EE33" s="643"/>
      <c r="EF33" s="642">
        <v>1730</v>
      </c>
      <c r="EG33" s="643"/>
      <c r="EH33" s="642">
        <v>1730</v>
      </c>
      <c r="EI33" s="643"/>
      <c r="EJ33" s="642">
        <v>1523</v>
      </c>
      <c r="EK33" s="643"/>
      <c r="EL33" s="642">
        <v>1730</v>
      </c>
      <c r="EM33" s="643"/>
      <c r="EN33" s="642">
        <v>1730</v>
      </c>
      <c r="EO33" s="643"/>
      <c r="EP33" s="642">
        <v>1730</v>
      </c>
      <c r="EQ33" s="643"/>
      <c r="ER33" s="642">
        <v>1730</v>
      </c>
      <c r="ES33" s="643"/>
      <c r="ET33" s="642">
        <v>1730</v>
      </c>
      <c r="EU33" s="643"/>
      <c r="EV33" s="642">
        <v>1730</v>
      </c>
      <c r="EW33" s="643"/>
      <c r="EX33" s="642">
        <v>0</v>
      </c>
      <c r="EY33" s="643"/>
      <c r="EZ33" s="642">
        <v>0</v>
      </c>
      <c r="FA33" s="643"/>
      <c r="FB33" s="642">
        <v>0</v>
      </c>
      <c r="FC33" s="643"/>
      <c r="FD33" s="642">
        <v>0</v>
      </c>
      <c r="FE33" s="643"/>
      <c r="FF33" s="642">
        <v>0</v>
      </c>
      <c r="FG33" s="643"/>
      <c r="FH33" s="644">
        <v>0</v>
      </c>
      <c r="FI33" s="646"/>
      <c r="FJ33" s="561"/>
      <c r="FK33" s="639"/>
      <c r="FL33" s="639"/>
      <c r="FM33" s="640" t="s">
        <v>409</v>
      </c>
      <c r="FN33" s="639"/>
      <c r="FO33" s="639"/>
      <c r="FP33" s="647"/>
      <c r="FQ33" s="648"/>
      <c r="FR33" s="642">
        <v>0</v>
      </c>
      <c r="FS33" s="649"/>
      <c r="FT33" s="648"/>
      <c r="FU33" s="650">
        <v>0</v>
      </c>
      <c r="FV33" s="590"/>
      <c r="FW33" s="591"/>
      <c r="FX33" s="799"/>
      <c r="FY33" s="593"/>
      <c r="FZ33" s="800"/>
      <c r="GA33" s="595"/>
      <c r="GB33" s="801"/>
      <c r="GC33" s="597"/>
      <c r="GD33" s="801"/>
      <c r="GE33" s="598"/>
      <c r="GF33" s="651"/>
      <c r="GG33" s="652"/>
      <c r="GH33" s="652"/>
      <c r="GI33" s="652"/>
      <c r="GJ33" s="576"/>
      <c r="GK33" s="527" t="s">
        <v>488</v>
      </c>
      <c r="GL33" s="576"/>
      <c r="GM33" s="527"/>
      <c r="GN33" s="576"/>
      <c r="GO33" s="527"/>
      <c r="GP33" s="527"/>
      <c r="GQ33" s="527"/>
      <c r="GR33" s="576"/>
      <c r="GS33" s="527"/>
      <c r="GT33" s="756"/>
      <c r="GU33" s="804">
        <v>201</v>
      </c>
      <c r="GV33" s="805"/>
      <c r="GW33" s="806">
        <v>45.36</v>
      </c>
      <c r="GX33" s="807">
        <v>42.839999999999996</v>
      </c>
      <c r="GY33" s="807">
        <v>85.789999999999992</v>
      </c>
      <c r="GZ33" s="807">
        <v>0</v>
      </c>
      <c r="HA33" s="807">
        <v>173.98999999999998</v>
      </c>
      <c r="HB33" s="808">
        <v>54.8</v>
      </c>
      <c r="HC33" s="414"/>
      <c r="HD33" s="645"/>
      <c r="HE33" s="416"/>
      <c r="HF33" s="416"/>
    </row>
    <row r="34" spans="1:219" ht="20.100000000000001" customHeight="1">
      <c r="A34" s="809" t="s">
        <v>410</v>
      </c>
      <c r="B34" s="736"/>
      <c r="C34" s="810"/>
      <c r="D34" s="811"/>
      <c r="E34" s="810"/>
      <c r="F34" s="812"/>
      <c r="G34" s="733" t="s">
        <v>411</v>
      </c>
      <c r="H34" s="660" t="s">
        <v>398</v>
      </c>
      <c r="I34" s="734" t="s">
        <v>411</v>
      </c>
      <c r="J34" s="660" t="s">
        <v>398</v>
      </c>
      <c r="K34" s="735" t="s">
        <v>411</v>
      </c>
      <c r="L34" s="660" t="s">
        <v>398</v>
      </c>
      <c r="M34" s="735" t="s">
        <v>411</v>
      </c>
      <c r="N34" s="660" t="s">
        <v>398</v>
      </c>
      <c r="O34" s="735" t="s">
        <v>411</v>
      </c>
      <c r="P34" s="660" t="s">
        <v>398</v>
      </c>
      <c r="Q34" s="735" t="s">
        <v>411</v>
      </c>
      <c r="R34" s="660" t="s">
        <v>398</v>
      </c>
      <c r="S34" s="735" t="s">
        <v>411</v>
      </c>
      <c r="T34" s="660" t="s">
        <v>398</v>
      </c>
      <c r="U34" s="735" t="s">
        <v>411</v>
      </c>
      <c r="V34" s="660" t="s">
        <v>398</v>
      </c>
      <c r="W34" s="735" t="s">
        <v>411</v>
      </c>
      <c r="X34" s="660" t="s">
        <v>398</v>
      </c>
      <c r="Y34" s="735" t="s">
        <v>411</v>
      </c>
      <c r="Z34" s="660" t="s">
        <v>398</v>
      </c>
      <c r="AA34" s="735" t="s">
        <v>411</v>
      </c>
      <c r="AB34" s="660" t="s">
        <v>398</v>
      </c>
      <c r="AC34" s="735" t="s">
        <v>411</v>
      </c>
      <c r="AD34" s="660" t="s">
        <v>398</v>
      </c>
      <c r="AE34" s="735" t="s">
        <v>411</v>
      </c>
      <c r="AF34" s="660" t="s">
        <v>398</v>
      </c>
      <c r="AG34" s="735" t="s">
        <v>411</v>
      </c>
      <c r="AH34" s="660" t="s">
        <v>398</v>
      </c>
      <c r="AI34" s="735" t="s">
        <v>411</v>
      </c>
      <c r="AJ34" s="660" t="s">
        <v>398</v>
      </c>
      <c r="AK34" s="735" t="s">
        <v>411</v>
      </c>
      <c r="AL34" s="660" t="s">
        <v>398</v>
      </c>
      <c r="AM34" s="735" t="s">
        <v>411</v>
      </c>
      <c r="AN34" s="660" t="s">
        <v>398</v>
      </c>
      <c r="AO34" s="735" t="s">
        <v>411</v>
      </c>
      <c r="AP34" s="660" t="s">
        <v>398</v>
      </c>
      <c r="AQ34" s="735" t="s">
        <v>411</v>
      </c>
      <c r="AR34" s="660" t="s">
        <v>398</v>
      </c>
      <c r="AS34" s="735" t="s">
        <v>411</v>
      </c>
      <c r="AT34" s="660" t="s">
        <v>398</v>
      </c>
      <c r="AU34" s="735" t="s">
        <v>411</v>
      </c>
      <c r="AV34" s="660" t="s">
        <v>398</v>
      </c>
      <c r="AW34" s="735" t="s">
        <v>411</v>
      </c>
      <c r="AX34" s="660" t="s">
        <v>398</v>
      </c>
      <c r="AY34" s="735" t="s">
        <v>411</v>
      </c>
      <c r="AZ34" s="660" t="s">
        <v>398</v>
      </c>
      <c r="BA34" s="735" t="s">
        <v>411</v>
      </c>
      <c r="BB34" s="662" t="s">
        <v>398</v>
      </c>
      <c r="BC34" s="716"/>
      <c r="BD34" s="809" t="s">
        <v>410</v>
      </c>
      <c r="BE34" s="731"/>
      <c r="BF34" s="813"/>
      <c r="BG34" s="814"/>
      <c r="BH34" s="813"/>
      <c r="BI34" s="815"/>
      <c r="BJ34" s="733" t="s">
        <v>411</v>
      </c>
      <c r="BK34" s="660" t="s">
        <v>398</v>
      </c>
      <c r="BL34" s="734" t="s">
        <v>411</v>
      </c>
      <c r="BM34" s="660" t="s">
        <v>398</v>
      </c>
      <c r="BN34" s="735" t="s">
        <v>411</v>
      </c>
      <c r="BO34" s="660" t="s">
        <v>398</v>
      </c>
      <c r="BP34" s="735" t="s">
        <v>411</v>
      </c>
      <c r="BQ34" s="660" t="s">
        <v>398</v>
      </c>
      <c r="BR34" s="735" t="s">
        <v>411</v>
      </c>
      <c r="BS34" s="660" t="s">
        <v>398</v>
      </c>
      <c r="BT34" s="735" t="s">
        <v>411</v>
      </c>
      <c r="BU34" s="660" t="s">
        <v>398</v>
      </c>
      <c r="BV34" s="735" t="s">
        <v>411</v>
      </c>
      <c r="BW34" s="660" t="s">
        <v>398</v>
      </c>
      <c r="BX34" s="735" t="s">
        <v>411</v>
      </c>
      <c r="BY34" s="660" t="s">
        <v>398</v>
      </c>
      <c r="BZ34" s="735" t="s">
        <v>411</v>
      </c>
      <c r="CA34" s="660" t="s">
        <v>398</v>
      </c>
      <c r="CB34" s="735" t="s">
        <v>411</v>
      </c>
      <c r="CC34" s="660" t="s">
        <v>398</v>
      </c>
      <c r="CD34" s="735" t="s">
        <v>411</v>
      </c>
      <c r="CE34" s="660" t="s">
        <v>398</v>
      </c>
      <c r="CF34" s="735" t="s">
        <v>411</v>
      </c>
      <c r="CG34" s="660" t="s">
        <v>398</v>
      </c>
      <c r="CH34" s="735" t="s">
        <v>411</v>
      </c>
      <c r="CI34" s="660" t="s">
        <v>398</v>
      </c>
      <c r="CJ34" s="735" t="s">
        <v>411</v>
      </c>
      <c r="CK34" s="660" t="s">
        <v>398</v>
      </c>
      <c r="CL34" s="735" t="s">
        <v>411</v>
      </c>
      <c r="CM34" s="660" t="s">
        <v>398</v>
      </c>
      <c r="CN34" s="735" t="s">
        <v>411</v>
      </c>
      <c r="CO34" s="660" t="s">
        <v>398</v>
      </c>
      <c r="CP34" s="735" t="s">
        <v>411</v>
      </c>
      <c r="CQ34" s="660" t="s">
        <v>398</v>
      </c>
      <c r="CR34" s="735" t="s">
        <v>411</v>
      </c>
      <c r="CS34" s="660" t="s">
        <v>398</v>
      </c>
      <c r="CT34" s="735" t="s">
        <v>411</v>
      </c>
      <c r="CU34" s="660" t="s">
        <v>398</v>
      </c>
      <c r="CV34" s="735" t="s">
        <v>411</v>
      </c>
      <c r="CW34" s="660" t="s">
        <v>398</v>
      </c>
      <c r="CX34" s="735" t="s">
        <v>411</v>
      </c>
      <c r="CY34" s="660" t="s">
        <v>398</v>
      </c>
      <c r="CZ34" s="735" t="s">
        <v>411</v>
      </c>
      <c r="DA34" s="660" t="s">
        <v>398</v>
      </c>
      <c r="DB34" s="735" t="s">
        <v>411</v>
      </c>
      <c r="DC34" s="660" t="s">
        <v>398</v>
      </c>
      <c r="DD34" s="735" t="s">
        <v>411</v>
      </c>
      <c r="DE34" s="662" t="s">
        <v>398</v>
      </c>
      <c r="DF34" s="716"/>
      <c r="DG34" s="809" t="s">
        <v>410</v>
      </c>
      <c r="DH34" s="731"/>
      <c r="DI34" s="813"/>
      <c r="DJ34" s="814"/>
      <c r="DK34" s="813"/>
      <c r="DL34" s="815"/>
      <c r="DM34" s="733" t="s">
        <v>411</v>
      </c>
      <c r="DN34" s="660" t="s">
        <v>398</v>
      </c>
      <c r="DO34" s="734" t="s">
        <v>411</v>
      </c>
      <c r="DP34" s="660" t="s">
        <v>398</v>
      </c>
      <c r="DQ34" s="735" t="s">
        <v>411</v>
      </c>
      <c r="DR34" s="660" t="s">
        <v>398</v>
      </c>
      <c r="DS34" s="735" t="s">
        <v>411</v>
      </c>
      <c r="DT34" s="660" t="s">
        <v>398</v>
      </c>
      <c r="DU34" s="735" t="s">
        <v>411</v>
      </c>
      <c r="DV34" s="660" t="s">
        <v>398</v>
      </c>
      <c r="DW34" s="735" t="s">
        <v>411</v>
      </c>
      <c r="DX34" s="660" t="s">
        <v>398</v>
      </c>
      <c r="DY34" s="735" t="s">
        <v>411</v>
      </c>
      <c r="DZ34" s="660" t="s">
        <v>398</v>
      </c>
      <c r="EA34" s="735" t="s">
        <v>411</v>
      </c>
      <c r="EB34" s="660" t="s">
        <v>398</v>
      </c>
      <c r="EC34" s="735" t="s">
        <v>411</v>
      </c>
      <c r="ED34" s="660" t="s">
        <v>398</v>
      </c>
      <c r="EE34" s="735" t="s">
        <v>411</v>
      </c>
      <c r="EF34" s="660" t="s">
        <v>398</v>
      </c>
      <c r="EG34" s="735" t="s">
        <v>411</v>
      </c>
      <c r="EH34" s="660" t="s">
        <v>398</v>
      </c>
      <c r="EI34" s="735" t="s">
        <v>411</v>
      </c>
      <c r="EJ34" s="660" t="s">
        <v>398</v>
      </c>
      <c r="EK34" s="735" t="s">
        <v>411</v>
      </c>
      <c r="EL34" s="660" t="s">
        <v>398</v>
      </c>
      <c r="EM34" s="735" t="s">
        <v>411</v>
      </c>
      <c r="EN34" s="660" t="s">
        <v>398</v>
      </c>
      <c r="EO34" s="735" t="s">
        <v>411</v>
      </c>
      <c r="EP34" s="660" t="s">
        <v>398</v>
      </c>
      <c r="EQ34" s="735" t="s">
        <v>411</v>
      </c>
      <c r="ER34" s="660" t="s">
        <v>398</v>
      </c>
      <c r="ES34" s="735" t="s">
        <v>411</v>
      </c>
      <c r="ET34" s="660" t="s">
        <v>398</v>
      </c>
      <c r="EU34" s="735" t="s">
        <v>411</v>
      </c>
      <c r="EV34" s="660" t="s">
        <v>398</v>
      </c>
      <c r="EW34" s="735" t="s">
        <v>411</v>
      </c>
      <c r="EX34" s="660" t="s">
        <v>398</v>
      </c>
      <c r="EY34" s="735" t="s">
        <v>411</v>
      </c>
      <c r="EZ34" s="660" t="s">
        <v>398</v>
      </c>
      <c r="FA34" s="735" t="s">
        <v>411</v>
      </c>
      <c r="FB34" s="660" t="s">
        <v>398</v>
      </c>
      <c r="FC34" s="735" t="s">
        <v>411</v>
      </c>
      <c r="FD34" s="660" t="s">
        <v>398</v>
      </c>
      <c r="FE34" s="735" t="s">
        <v>411</v>
      </c>
      <c r="FF34" s="660" t="s">
        <v>398</v>
      </c>
      <c r="FG34" s="735" t="s">
        <v>411</v>
      </c>
      <c r="FH34" s="662" t="s">
        <v>398</v>
      </c>
      <c r="FI34" s="739"/>
      <c r="FJ34" s="816" t="s">
        <v>410</v>
      </c>
      <c r="FK34" s="731"/>
      <c r="FL34" s="813"/>
      <c r="FM34" s="814"/>
      <c r="FN34" s="813"/>
      <c r="FO34" s="815"/>
      <c r="FP34" s="740" t="s">
        <v>401</v>
      </c>
      <c r="FQ34" s="666" t="s">
        <v>411</v>
      </c>
      <c r="FR34" s="660" t="s">
        <v>402</v>
      </c>
      <c r="FS34" s="741" t="s">
        <v>401</v>
      </c>
      <c r="FT34" s="666" t="s">
        <v>411</v>
      </c>
      <c r="FU34" s="668" t="s">
        <v>402</v>
      </c>
      <c r="FV34" s="590"/>
      <c r="FW34" s="591"/>
      <c r="FX34" s="799"/>
      <c r="FY34" s="593"/>
      <c r="FZ34" s="800"/>
      <c r="GA34" s="595"/>
      <c r="GB34" s="801"/>
      <c r="GC34" s="597"/>
      <c r="GD34" s="801"/>
      <c r="GE34" s="598"/>
      <c r="GF34" s="742"/>
      <c r="GG34" s="743"/>
      <c r="GH34" s="743"/>
      <c r="GI34" s="743"/>
      <c r="GJ34" s="576"/>
      <c r="GK34" s="817" t="s">
        <v>489</v>
      </c>
      <c r="GL34" s="817"/>
      <c r="GM34" s="817"/>
      <c r="GN34" s="817"/>
      <c r="GO34" s="817"/>
      <c r="GP34" s="817"/>
      <c r="GQ34" s="612">
        <v>9.6</v>
      </c>
      <c r="GR34" s="576" t="s">
        <v>470</v>
      </c>
      <c r="GS34" s="577"/>
      <c r="GT34" s="756"/>
      <c r="GU34" s="818"/>
      <c r="GV34" s="819"/>
      <c r="GW34" s="820"/>
      <c r="GX34" s="630"/>
      <c r="GY34" s="630"/>
      <c r="GZ34" s="630"/>
      <c r="HA34" s="630"/>
      <c r="HB34" s="631"/>
      <c r="HC34" s="527"/>
      <c r="HD34" s="716"/>
      <c r="HE34" s="416"/>
      <c r="HF34" s="416"/>
    </row>
    <row r="35" spans="1:219" ht="20.100000000000001" customHeight="1">
      <c r="A35" s="821"/>
      <c r="B35" s="463" t="s">
        <v>412</v>
      </c>
      <c r="C35" s="464"/>
      <c r="D35" s="822">
        <v>0</v>
      </c>
      <c r="E35" s="823">
        <v>0</v>
      </c>
      <c r="F35" s="824"/>
      <c r="G35" s="825"/>
      <c r="H35" s="826">
        <v>0</v>
      </c>
      <c r="I35" s="827"/>
      <c r="J35" s="792">
        <v>0</v>
      </c>
      <c r="K35" s="828"/>
      <c r="L35" s="792">
        <v>0</v>
      </c>
      <c r="M35" s="828"/>
      <c r="N35" s="792">
        <v>0</v>
      </c>
      <c r="O35" s="828"/>
      <c r="P35" s="792">
        <v>0</v>
      </c>
      <c r="Q35" s="828"/>
      <c r="R35" s="792">
        <v>0</v>
      </c>
      <c r="S35" s="828"/>
      <c r="T35" s="792">
        <v>0</v>
      </c>
      <c r="U35" s="828"/>
      <c r="V35" s="792">
        <v>0</v>
      </c>
      <c r="W35" s="828"/>
      <c r="X35" s="792">
        <v>0</v>
      </c>
      <c r="Y35" s="828"/>
      <c r="Z35" s="792">
        <v>0</v>
      </c>
      <c r="AA35" s="828"/>
      <c r="AB35" s="792">
        <v>0</v>
      </c>
      <c r="AC35" s="828"/>
      <c r="AD35" s="792">
        <v>0</v>
      </c>
      <c r="AE35" s="828"/>
      <c r="AF35" s="792">
        <v>0</v>
      </c>
      <c r="AG35" s="828"/>
      <c r="AH35" s="792">
        <v>0</v>
      </c>
      <c r="AI35" s="828"/>
      <c r="AJ35" s="792">
        <v>0</v>
      </c>
      <c r="AK35" s="828"/>
      <c r="AL35" s="792">
        <v>0</v>
      </c>
      <c r="AM35" s="828"/>
      <c r="AN35" s="792">
        <v>0</v>
      </c>
      <c r="AO35" s="828"/>
      <c r="AP35" s="792">
        <v>0</v>
      </c>
      <c r="AQ35" s="828"/>
      <c r="AR35" s="792">
        <v>0</v>
      </c>
      <c r="AS35" s="828"/>
      <c r="AT35" s="792">
        <v>0</v>
      </c>
      <c r="AU35" s="828"/>
      <c r="AV35" s="792">
        <v>0</v>
      </c>
      <c r="AW35" s="828"/>
      <c r="AX35" s="792">
        <v>0</v>
      </c>
      <c r="AY35" s="828"/>
      <c r="AZ35" s="792">
        <v>0</v>
      </c>
      <c r="BA35" s="828"/>
      <c r="BB35" s="829">
        <v>0</v>
      </c>
      <c r="BC35" s="559"/>
      <c r="BD35" s="821"/>
      <c r="BE35" s="463" t="s">
        <v>326</v>
      </c>
      <c r="BF35" s="464"/>
      <c r="BG35" s="822">
        <v>0</v>
      </c>
      <c r="BH35" s="823">
        <v>0</v>
      </c>
      <c r="BI35" s="824"/>
      <c r="BJ35" s="825"/>
      <c r="BK35" s="826">
        <v>0</v>
      </c>
      <c r="BL35" s="827"/>
      <c r="BM35" s="792">
        <v>0</v>
      </c>
      <c r="BN35" s="828"/>
      <c r="BO35" s="792">
        <v>0</v>
      </c>
      <c r="BP35" s="828"/>
      <c r="BQ35" s="792">
        <v>0</v>
      </c>
      <c r="BR35" s="828"/>
      <c r="BS35" s="792">
        <v>0</v>
      </c>
      <c r="BT35" s="828"/>
      <c r="BU35" s="792">
        <v>0</v>
      </c>
      <c r="BV35" s="828"/>
      <c r="BW35" s="792">
        <v>0</v>
      </c>
      <c r="BX35" s="828"/>
      <c r="BY35" s="792">
        <v>0</v>
      </c>
      <c r="BZ35" s="828"/>
      <c r="CA35" s="792">
        <v>0</v>
      </c>
      <c r="CB35" s="828"/>
      <c r="CC35" s="792">
        <v>0</v>
      </c>
      <c r="CD35" s="828"/>
      <c r="CE35" s="792">
        <v>0</v>
      </c>
      <c r="CF35" s="828"/>
      <c r="CG35" s="792">
        <v>0</v>
      </c>
      <c r="CH35" s="828"/>
      <c r="CI35" s="792">
        <v>0</v>
      </c>
      <c r="CJ35" s="828"/>
      <c r="CK35" s="792">
        <v>0</v>
      </c>
      <c r="CL35" s="828"/>
      <c r="CM35" s="792">
        <v>0</v>
      </c>
      <c r="CN35" s="828"/>
      <c r="CO35" s="792">
        <v>0</v>
      </c>
      <c r="CP35" s="828"/>
      <c r="CQ35" s="792">
        <v>0</v>
      </c>
      <c r="CR35" s="828"/>
      <c r="CS35" s="792">
        <v>0</v>
      </c>
      <c r="CT35" s="828"/>
      <c r="CU35" s="792">
        <v>0</v>
      </c>
      <c r="CV35" s="828"/>
      <c r="CW35" s="792">
        <v>0</v>
      </c>
      <c r="CX35" s="828"/>
      <c r="CY35" s="792">
        <v>0</v>
      </c>
      <c r="CZ35" s="828"/>
      <c r="DA35" s="792">
        <v>0</v>
      </c>
      <c r="DB35" s="828"/>
      <c r="DC35" s="792">
        <v>0</v>
      </c>
      <c r="DD35" s="828"/>
      <c r="DE35" s="829">
        <v>0</v>
      </c>
      <c r="DF35" s="559"/>
      <c r="DG35" s="821"/>
      <c r="DH35" s="463" t="s">
        <v>326</v>
      </c>
      <c r="DI35" s="464"/>
      <c r="DJ35" s="822">
        <v>0</v>
      </c>
      <c r="DK35" s="823">
        <v>0</v>
      </c>
      <c r="DL35" s="824"/>
      <c r="DM35" s="825"/>
      <c r="DN35" s="826">
        <v>0</v>
      </c>
      <c r="DO35" s="827"/>
      <c r="DP35" s="792">
        <v>0</v>
      </c>
      <c r="DQ35" s="828"/>
      <c r="DR35" s="792">
        <v>0</v>
      </c>
      <c r="DS35" s="828"/>
      <c r="DT35" s="792">
        <v>0</v>
      </c>
      <c r="DU35" s="828"/>
      <c r="DV35" s="792">
        <v>0</v>
      </c>
      <c r="DW35" s="828"/>
      <c r="DX35" s="792">
        <v>0</v>
      </c>
      <c r="DY35" s="828"/>
      <c r="DZ35" s="792">
        <v>0</v>
      </c>
      <c r="EA35" s="828"/>
      <c r="EB35" s="792">
        <v>0</v>
      </c>
      <c r="EC35" s="828"/>
      <c r="ED35" s="792">
        <v>0</v>
      </c>
      <c r="EE35" s="828"/>
      <c r="EF35" s="792">
        <v>0</v>
      </c>
      <c r="EG35" s="828"/>
      <c r="EH35" s="792">
        <v>0</v>
      </c>
      <c r="EI35" s="828"/>
      <c r="EJ35" s="792">
        <v>0</v>
      </c>
      <c r="EK35" s="828"/>
      <c r="EL35" s="792">
        <v>0</v>
      </c>
      <c r="EM35" s="828"/>
      <c r="EN35" s="792">
        <v>0</v>
      </c>
      <c r="EO35" s="828"/>
      <c r="EP35" s="792">
        <v>0</v>
      </c>
      <c r="EQ35" s="828"/>
      <c r="ER35" s="792">
        <v>0</v>
      </c>
      <c r="ES35" s="828"/>
      <c r="ET35" s="792">
        <v>0</v>
      </c>
      <c r="EU35" s="828"/>
      <c r="EV35" s="792">
        <v>0</v>
      </c>
      <c r="EW35" s="828"/>
      <c r="EX35" s="792">
        <v>0</v>
      </c>
      <c r="EY35" s="828"/>
      <c r="EZ35" s="792">
        <v>0</v>
      </c>
      <c r="FA35" s="828"/>
      <c r="FB35" s="792">
        <v>0</v>
      </c>
      <c r="FC35" s="828"/>
      <c r="FD35" s="792">
        <v>0</v>
      </c>
      <c r="FE35" s="828"/>
      <c r="FF35" s="792">
        <v>0</v>
      </c>
      <c r="FG35" s="828"/>
      <c r="FH35" s="829">
        <v>0</v>
      </c>
      <c r="FI35" s="560"/>
      <c r="FJ35" s="830"/>
      <c r="FK35" s="463" t="s">
        <v>326</v>
      </c>
      <c r="FL35" s="464"/>
      <c r="FM35" s="822">
        <v>0</v>
      </c>
      <c r="FN35" s="823">
        <v>0</v>
      </c>
      <c r="FO35" s="824"/>
      <c r="FP35" s="831"/>
      <c r="FQ35" s="827"/>
      <c r="FR35" s="826">
        <v>0</v>
      </c>
      <c r="FS35" s="832"/>
      <c r="FT35" s="827"/>
      <c r="FU35" s="798">
        <v>0</v>
      </c>
      <c r="FV35" s="590"/>
      <c r="FW35" s="591"/>
      <c r="FX35" s="799"/>
      <c r="FY35" s="593"/>
      <c r="FZ35" s="800"/>
      <c r="GA35" s="595"/>
      <c r="GB35" s="801"/>
      <c r="GC35" s="597"/>
      <c r="GD35" s="801"/>
      <c r="GE35" s="598"/>
      <c r="GF35" s="833"/>
      <c r="GG35" s="599"/>
      <c r="GH35" s="599"/>
      <c r="GI35" s="599"/>
      <c r="GJ35" s="527"/>
      <c r="GK35" s="527" t="s">
        <v>490</v>
      </c>
      <c r="GL35" s="527"/>
      <c r="GM35" s="576"/>
      <c r="GN35" s="527"/>
      <c r="GO35" s="576"/>
      <c r="GP35" s="576"/>
      <c r="GQ35" s="576"/>
      <c r="GR35" s="576"/>
      <c r="GS35" s="410"/>
      <c r="GT35" s="756"/>
      <c r="GU35" s="818"/>
      <c r="GV35" s="819"/>
      <c r="GW35" s="820"/>
      <c r="GX35" s="630"/>
      <c r="GY35" s="630"/>
      <c r="GZ35" s="630"/>
      <c r="HA35" s="630"/>
      <c r="HB35" s="631"/>
      <c r="HC35" s="527"/>
      <c r="HD35" s="559"/>
      <c r="HE35" s="416"/>
      <c r="HF35" s="416"/>
    </row>
    <row r="36" spans="1:219" ht="20.100000000000001" customHeight="1">
      <c r="A36" s="821"/>
      <c r="B36" s="639"/>
      <c r="C36" s="639"/>
      <c r="D36" s="640" t="s">
        <v>413</v>
      </c>
      <c r="E36" s="639"/>
      <c r="F36" s="639"/>
      <c r="G36" s="834"/>
      <c r="H36" s="835">
        <v>0</v>
      </c>
      <c r="I36" s="836"/>
      <c r="J36" s="837">
        <v>0</v>
      </c>
      <c r="K36" s="838"/>
      <c r="L36" s="837">
        <v>0</v>
      </c>
      <c r="M36" s="838"/>
      <c r="N36" s="837">
        <v>0</v>
      </c>
      <c r="O36" s="838"/>
      <c r="P36" s="837">
        <v>0</v>
      </c>
      <c r="Q36" s="838"/>
      <c r="R36" s="837">
        <v>0</v>
      </c>
      <c r="S36" s="838"/>
      <c r="T36" s="837">
        <v>0</v>
      </c>
      <c r="U36" s="838"/>
      <c r="V36" s="837">
        <v>0</v>
      </c>
      <c r="W36" s="838"/>
      <c r="X36" s="837">
        <v>0</v>
      </c>
      <c r="Y36" s="838"/>
      <c r="Z36" s="837">
        <v>0</v>
      </c>
      <c r="AA36" s="838"/>
      <c r="AB36" s="837">
        <v>0</v>
      </c>
      <c r="AC36" s="838"/>
      <c r="AD36" s="837">
        <v>0</v>
      </c>
      <c r="AE36" s="838"/>
      <c r="AF36" s="837">
        <v>0</v>
      </c>
      <c r="AG36" s="838"/>
      <c r="AH36" s="837">
        <v>0</v>
      </c>
      <c r="AI36" s="838"/>
      <c r="AJ36" s="837">
        <v>0</v>
      </c>
      <c r="AK36" s="838"/>
      <c r="AL36" s="837">
        <v>0</v>
      </c>
      <c r="AM36" s="838"/>
      <c r="AN36" s="837">
        <v>0</v>
      </c>
      <c r="AO36" s="838"/>
      <c r="AP36" s="837">
        <v>0</v>
      </c>
      <c r="AQ36" s="838"/>
      <c r="AR36" s="837">
        <v>0</v>
      </c>
      <c r="AS36" s="838"/>
      <c r="AT36" s="837">
        <v>0</v>
      </c>
      <c r="AU36" s="838"/>
      <c r="AV36" s="837">
        <v>0</v>
      </c>
      <c r="AW36" s="838"/>
      <c r="AX36" s="837">
        <v>0</v>
      </c>
      <c r="AY36" s="838"/>
      <c r="AZ36" s="837">
        <v>0</v>
      </c>
      <c r="BA36" s="838"/>
      <c r="BB36" s="839">
        <v>0</v>
      </c>
      <c r="BC36" s="645"/>
      <c r="BD36" s="821"/>
      <c r="BE36" s="639"/>
      <c r="BF36" s="639"/>
      <c r="BG36" s="640" t="s">
        <v>413</v>
      </c>
      <c r="BH36" s="639"/>
      <c r="BI36" s="639"/>
      <c r="BJ36" s="834"/>
      <c r="BK36" s="835">
        <v>0</v>
      </c>
      <c r="BL36" s="836"/>
      <c r="BM36" s="837">
        <v>0</v>
      </c>
      <c r="BN36" s="838"/>
      <c r="BO36" s="837">
        <v>0</v>
      </c>
      <c r="BP36" s="838"/>
      <c r="BQ36" s="837">
        <v>0</v>
      </c>
      <c r="BR36" s="838"/>
      <c r="BS36" s="837">
        <v>0</v>
      </c>
      <c r="BT36" s="838"/>
      <c r="BU36" s="837">
        <v>0</v>
      </c>
      <c r="BV36" s="838"/>
      <c r="BW36" s="837">
        <v>0</v>
      </c>
      <c r="BX36" s="838"/>
      <c r="BY36" s="837">
        <v>0</v>
      </c>
      <c r="BZ36" s="838"/>
      <c r="CA36" s="837">
        <v>0</v>
      </c>
      <c r="CB36" s="838"/>
      <c r="CC36" s="837">
        <v>0</v>
      </c>
      <c r="CD36" s="838"/>
      <c r="CE36" s="837">
        <v>0</v>
      </c>
      <c r="CF36" s="838"/>
      <c r="CG36" s="837">
        <v>0</v>
      </c>
      <c r="CH36" s="838"/>
      <c r="CI36" s="837">
        <v>0</v>
      </c>
      <c r="CJ36" s="838"/>
      <c r="CK36" s="837">
        <v>0</v>
      </c>
      <c r="CL36" s="838"/>
      <c r="CM36" s="837">
        <v>0</v>
      </c>
      <c r="CN36" s="838"/>
      <c r="CO36" s="837">
        <v>0</v>
      </c>
      <c r="CP36" s="838"/>
      <c r="CQ36" s="837">
        <v>0</v>
      </c>
      <c r="CR36" s="838"/>
      <c r="CS36" s="837">
        <v>0</v>
      </c>
      <c r="CT36" s="838"/>
      <c r="CU36" s="837">
        <v>0</v>
      </c>
      <c r="CV36" s="838"/>
      <c r="CW36" s="837">
        <v>0</v>
      </c>
      <c r="CX36" s="838"/>
      <c r="CY36" s="837">
        <v>0</v>
      </c>
      <c r="CZ36" s="838"/>
      <c r="DA36" s="837">
        <v>0</v>
      </c>
      <c r="DB36" s="838"/>
      <c r="DC36" s="837">
        <v>0</v>
      </c>
      <c r="DD36" s="838"/>
      <c r="DE36" s="839">
        <v>0</v>
      </c>
      <c r="DF36" s="645"/>
      <c r="DG36" s="821"/>
      <c r="DH36" s="639"/>
      <c r="DI36" s="639"/>
      <c r="DJ36" s="640" t="s">
        <v>413</v>
      </c>
      <c r="DK36" s="639"/>
      <c r="DL36" s="639"/>
      <c r="DM36" s="834"/>
      <c r="DN36" s="835">
        <v>0</v>
      </c>
      <c r="DO36" s="836"/>
      <c r="DP36" s="837">
        <v>0</v>
      </c>
      <c r="DQ36" s="838"/>
      <c r="DR36" s="837">
        <v>0</v>
      </c>
      <c r="DS36" s="838"/>
      <c r="DT36" s="837">
        <v>0</v>
      </c>
      <c r="DU36" s="838"/>
      <c r="DV36" s="837">
        <v>0</v>
      </c>
      <c r="DW36" s="838"/>
      <c r="DX36" s="837">
        <v>0</v>
      </c>
      <c r="DY36" s="838"/>
      <c r="DZ36" s="837">
        <v>0</v>
      </c>
      <c r="EA36" s="838"/>
      <c r="EB36" s="837">
        <v>0</v>
      </c>
      <c r="EC36" s="838"/>
      <c r="ED36" s="837">
        <v>0</v>
      </c>
      <c r="EE36" s="838"/>
      <c r="EF36" s="837">
        <v>0</v>
      </c>
      <c r="EG36" s="838"/>
      <c r="EH36" s="837">
        <v>0</v>
      </c>
      <c r="EI36" s="838"/>
      <c r="EJ36" s="837">
        <v>0</v>
      </c>
      <c r="EK36" s="838"/>
      <c r="EL36" s="837">
        <v>0</v>
      </c>
      <c r="EM36" s="838"/>
      <c r="EN36" s="837">
        <v>0</v>
      </c>
      <c r="EO36" s="838"/>
      <c r="EP36" s="837">
        <v>0</v>
      </c>
      <c r="EQ36" s="838"/>
      <c r="ER36" s="837">
        <v>0</v>
      </c>
      <c r="ES36" s="838"/>
      <c r="ET36" s="837">
        <v>0</v>
      </c>
      <c r="EU36" s="838"/>
      <c r="EV36" s="837">
        <v>0</v>
      </c>
      <c r="EW36" s="838"/>
      <c r="EX36" s="837">
        <v>0</v>
      </c>
      <c r="EY36" s="838"/>
      <c r="EZ36" s="837">
        <v>0</v>
      </c>
      <c r="FA36" s="838"/>
      <c r="FB36" s="837">
        <v>0</v>
      </c>
      <c r="FC36" s="838"/>
      <c r="FD36" s="837">
        <v>0</v>
      </c>
      <c r="FE36" s="838"/>
      <c r="FF36" s="837">
        <v>0</v>
      </c>
      <c r="FG36" s="838"/>
      <c r="FH36" s="839">
        <v>0</v>
      </c>
      <c r="FI36" s="646"/>
      <c r="FJ36" s="830"/>
      <c r="FK36" s="639"/>
      <c r="FL36" s="639"/>
      <c r="FM36" s="640" t="s">
        <v>413</v>
      </c>
      <c r="FN36" s="639"/>
      <c r="FO36" s="639"/>
      <c r="FP36" s="647"/>
      <c r="FQ36" s="836"/>
      <c r="FR36" s="835">
        <v>0</v>
      </c>
      <c r="FS36" s="840"/>
      <c r="FT36" s="836"/>
      <c r="FU36" s="841">
        <v>0</v>
      </c>
      <c r="FV36" s="590"/>
      <c r="FW36" s="591"/>
      <c r="FX36" s="799"/>
      <c r="FY36" s="593"/>
      <c r="FZ36" s="800"/>
      <c r="GA36" s="595"/>
      <c r="GB36" s="801"/>
      <c r="GC36" s="597"/>
      <c r="GD36" s="801"/>
      <c r="GE36" s="598"/>
      <c r="GF36" s="651"/>
      <c r="GG36" s="652"/>
      <c r="GH36" s="652"/>
      <c r="GI36" s="652"/>
      <c r="GJ36" s="527"/>
      <c r="GK36" s="817" t="s">
        <v>491</v>
      </c>
      <c r="GL36" s="817"/>
      <c r="GM36" s="817"/>
      <c r="GN36" s="817"/>
      <c r="GO36" s="817"/>
      <c r="GP36" s="817"/>
      <c r="GQ36" s="612">
        <v>19.399999999999999</v>
      </c>
      <c r="GR36" s="576" t="s">
        <v>470</v>
      </c>
      <c r="GS36" s="527"/>
      <c r="GT36" s="756"/>
      <c r="GU36" s="818"/>
      <c r="GV36" s="819"/>
      <c r="GW36" s="820"/>
      <c r="GX36" s="630"/>
      <c r="GY36" s="630"/>
      <c r="GZ36" s="630"/>
      <c r="HA36" s="630"/>
      <c r="HB36" s="631"/>
      <c r="HC36" s="527"/>
      <c r="HD36" s="645"/>
      <c r="HE36" s="416"/>
      <c r="HF36" s="416"/>
    </row>
    <row r="37" spans="1:219" ht="24" customHeight="1">
      <c r="A37" s="842" t="s">
        <v>414</v>
      </c>
      <c r="B37" s="843"/>
      <c r="C37" s="844" t="s">
        <v>415</v>
      </c>
      <c r="D37" s="845"/>
      <c r="E37" s="846" t="s">
        <v>416</v>
      </c>
      <c r="F37" s="847"/>
      <c r="G37" s="659" t="s">
        <v>411</v>
      </c>
      <c r="H37" s="660" t="s">
        <v>417</v>
      </c>
      <c r="I37" s="661" t="s">
        <v>411</v>
      </c>
      <c r="J37" s="660" t="s">
        <v>418</v>
      </c>
      <c r="K37" s="661" t="s">
        <v>411</v>
      </c>
      <c r="L37" s="660" t="s">
        <v>418</v>
      </c>
      <c r="M37" s="661" t="s">
        <v>411</v>
      </c>
      <c r="N37" s="660" t="s">
        <v>418</v>
      </c>
      <c r="O37" s="661" t="s">
        <v>411</v>
      </c>
      <c r="P37" s="660" t="s">
        <v>418</v>
      </c>
      <c r="Q37" s="661" t="s">
        <v>411</v>
      </c>
      <c r="R37" s="660" t="s">
        <v>418</v>
      </c>
      <c r="S37" s="661" t="s">
        <v>411</v>
      </c>
      <c r="T37" s="660" t="s">
        <v>418</v>
      </c>
      <c r="U37" s="661" t="s">
        <v>411</v>
      </c>
      <c r="V37" s="660" t="s">
        <v>418</v>
      </c>
      <c r="W37" s="661" t="s">
        <v>411</v>
      </c>
      <c r="X37" s="660" t="s">
        <v>418</v>
      </c>
      <c r="Y37" s="661" t="s">
        <v>411</v>
      </c>
      <c r="Z37" s="660" t="s">
        <v>418</v>
      </c>
      <c r="AA37" s="661" t="s">
        <v>411</v>
      </c>
      <c r="AB37" s="660" t="s">
        <v>418</v>
      </c>
      <c r="AC37" s="661" t="s">
        <v>411</v>
      </c>
      <c r="AD37" s="660" t="s">
        <v>418</v>
      </c>
      <c r="AE37" s="661" t="s">
        <v>411</v>
      </c>
      <c r="AF37" s="660" t="s">
        <v>418</v>
      </c>
      <c r="AG37" s="661" t="s">
        <v>411</v>
      </c>
      <c r="AH37" s="660" t="s">
        <v>418</v>
      </c>
      <c r="AI37" s="661" t="s">
        <v>411</v>
      </c>
      <c r="AJ37" s="660" t="s">
        <v>418</v>
      </c>
      <c r="AK37" s="661" t="s">
        <v>411</v>
      </c>
      <c r="AL37" s="660" t="s">
        <v>418</v>
      </c>
      <c r="AM37" s="661" t="s">
        <v>411</v>
      </c>
      <c r="AN37" s="660" t="s">
        <v>418</v>
      </c>
      <c r="AO37" s="661" t="s">
        <v>411</v>
      </c>
      <c r="AP37" s="660" t="s">
        <v>418</v>
      </c>
      <c r="AQ37" s="661" t="s">
        <v>411</v>
      </c>
      <c r="AR37" s="660" t="s">
        <v>418</v>
      </c>
      <c r="AS37" s="661" t="s">
        <v>411</v>
      </c>
      <c r="AT37" s="660" t="s">
        <v>418</v>
      </c>
      <c r="AU37" s="661" t="s">
        <v>411</v>
      </c>
      <c r="AV37" s="660" t="s">
        <v>418</v>
      </c>
      <c r="AW37" s="661" t="s">
        <v>411</v>
      </c>
      <c r="AX37" s="660" t="s">
        <v>418</v>
      </c>
      <c r="AY37" s="661" t="s">
        <v>411</v>
      </c>
      <c r="AZ37" s="660" t="s">
        <v>418</v>
      </c>
      <c r="BA37" s="661" t="s">
        <v>411</v>
      </c>
      <c r="BB37" s="662" t="s">
        <v>418</v>
      </c>
      <c r="BC37" s="716"/>
      <c r="BD37" s="842" t="s">
        <v>414</v>
      </c>
      <c r="BE37" s="843"/>
      <c r="BF37" s="844" t="s">
        <v>415</v>
      </c>
      <c r="BG37" s="845"/>
      <c r="BH37" s="846" t="s">
        <v>416</v>
      </c>
      <c r="BI37" s="847"/>
      <c r="BJ37" s="659" t="s">
        <v>411</v>
      </c>
      <c r="BK37" s="660" t="s">
        <v>417</v>
      </c>
      <c r="BL37" s="661" t="s">
        <v>411</v>
      </c>
      <c r="BM37" s="660" t="s">
        <v>418</v>
      </c>
      <c r="BN37" s="661" t="s">
        <v>411</v>
      </c>
      <c r="BO37" s="660" t="s">
        <v>418</v>
      </c>
      <c r="BP37" s="661" t="s">
        <v>411</v>
      </c>
      <c r="BQ37" s="660" t="s">
        <v>418</v>
      </c>
      <c r="BR37" s="661" t="s">
        <v>411</v>
      </c>
      <c r="BS37" s="660" t="s">
        <v>418</v>
      </c>
      <c r="BT37" s="661" t="s">
        <v>411</v>
      </c>
      <c r="BU37" s="660" t="s">
        <v>418</v>
      </c>
      <c r="BV37" s="661" t="s">
        <v>411</v>
      </c>
      <c r="BW37" s="660" t="s">
        <v>418</v>
      </c>
      <c r="BX37" s="661" t="s">
        <v>411</v>
      </c>
      <c r="BY37" s="660" t="s">
        <v>418</v>
      </c>
      <c r="BZ37" s="661" t="s">
        <v>411</v>
      </c>
      <c r="CA37" s="660" t="s">
        <v>418</v>
      </c>
      <c r="CB37" s="661" t="s">
        <v>411</v>
      </c>
      <c r="CC37" s="660" t="s">
        <v>418</v>
      </c>
      <c r="CD37" s="661" t="s">
        <v>411</v>
      </c>
      <c r="CE37" s="660" t="s">
        <v>418</v>
      </c>
      <c r="CF37" s="661" t="s">
        <v>411</v>
      </c>
      <c r="CG37" s="660" t="s">
        <v>418</v>
      </c>
      <c r="CH37" s="661" t="s">
        <v>411</v>
      </c>
      <c r="CI37" s="660" t="s">
        <v>418</v>
      </c>
      <c r="CJ37" s="661" t="s">
        <v>411</v>
      </c>
      <c r="CK37" s="660" t="s">
        <v>418</v>
      </c>
      <c r="CL37" s="661" t="s">
        <v>411</v>
      </c>
      <c r="CM37" s="660" t="s">
        <v>418</v>
      </c>
      <c r="CN37" s="661" t="s">
        <v>411</v>
      </c>
      <c r="CO37" s="660" t="s">
        <v>418</v>
      </c>
      <c r="CP37" s="661" t="s">
        <v>411</v>
      </c>
      <c r="CQ37" s="660" t="s">
        <v>418</v>
      </c>
      <c r="CR37" s="661" t="s">
        <v>411</v>
      </c>
      <c r="CS37" s="660" t="s">
        <v>418</v>
      </c>
      <c r="CT37" s="661" t="s">
        <v>411</v>
      </c>
      <c r="CU37" s="660" t="s">
        <v>418</v>
      </c>
      <c r="CV37" s="661" t="s">
        <v>411</v>
      </c>
      <c r="CW37" s="660" t="s">
        <v>418</v>
      </c>
      <c r="CX37" s="661" t="s">
        <v>411</v>
      </c>
      <c r="CY37" s="660" t="s">
        <v>418</v>
      </c>
      <c r="CZ37" s="661" t="s">
        <v>411</v>
      </c>
      <c r="DA37" s="660" t="s">
        <v>418</v>
      </c>
      <c r="DB37" s="661" t="s">
        <v>411</v>
      </c>
      <c r="DC37" s="660" t="s">
        <v>418</v>
      </c>
      <c r="DD37" s="661" t="s">
        <v>411</v>
      </c>
      <c r="DE37" s="662" t="s">
        <v>418</v>
      </c>
      <c r="DF37" s="716"/>
      <c r="DG37" s="842" t="s">
        <v>414</v>
      </c>
      <c r="DH37" s="843"/>
      <c r="DI37" s="844" t="s">
        <v>415</v>
      </c>
      <c r="DJ37" s="845"/>
      <c r="DK37" s="846" t="s">
        <v>416</v>
      </c>
      <c r="DL37" s="847"/>
      <c r="DM37" s="659" t="s">
        <v>411</v>
      </c>
      <c r="DN37" s="660" t="s">
        <v>417</v>
      </c>
      <c r="DO37" s="661" t="s">
        <v>411</v>
      </c>
      <c r="DP37" s="660" t="s">
        <v>418</v>
      </c>
      <c r="DQ37" s="661" t="s">
        <v>411</v>
      </c>
      <c r="DR37" s="660" t="s">
        <v>418</v>
      </c>
      <c r="DS37" s="661" t="s">
        <v>411</v>
      </c>
      <c r="DT37" s="660" t="s">
        <v>418</v>
      </c>
      <c r="DU37" s="661" t="s">
        <v>411</v>
      </c>
      <c r="DV37" s="660" t="s">
        <v>418</v>
      </c>
      <c r="DW37" s="661" t="s">
        <v>411</v>
      </c>
      <c r="DX37" s="660" t="s">
        <v>418</v>
      </c>
      <c r="DY37" s="661" t="s">
        <v>411</v>
      </c>
      <c r="DZ37" s="660" t="s">
        <v>418</v>
      </c>
      <c r="EA37" s="661" t="s">
        <v>411</v>
      </c>
      <c r="EB37" s="660" t="s">
        <v>418</v>
      </c>
      <c r="EC37" s="661" t="s">
        <v>411</v>
      </c>
      <c r="ED37" s="660" t="s">
        <v>418</v>
      </c>
      <c r="EE37" s="661" t="s">
        <v>411</v>
      </c>
      <c r="EF37" s="660" t="s">
        <v>418</v>
      </c>
      <c r="EG37" s="661" t="s">
        <v>411</v>
      </c>
      <c r="EH37" s="660" t="s">
        <v>418</v>
      </c>
      <c r="EI37" s="661" t="s">
        <v>411</v>
      </c>
      <c r="EJ37" s="660" t="s">
        <v>418</v>
      </c>
      <c r="EK37" s="661" t="s">
        <v>411</v>
      </c>
      <c r="EL37" s="660" t="s">
        <v>418</v>
      </c>
      <c r="EM37" s="661" t="s">
        <v>411</v>
      </c>
      <c r="EN37" s="660" t="s">
        <v>418</v>
      </c>
      <c r="EO37" s="661" t="s">
        <v>411</v>
      </c>
      <c r="EP37" s="660" t="s">
        <v>418</v>
      </c>
      <c r="EQ37" s="661" t="s">
        <v>411</v>
      </c>
      <c r="ER37" s="660" t="s">
        <v>418</v>
      </c>
      <c r="ES37" s="661" t="s">
        <v>411</v>
      </c>
      <c r="ET37" s="660" t="s">
        <v>418</v>
      </c>
      <c r="EU37" s="661" t="s">
        <v>411</v>
      </c>
      <c r="EV37" s="660" t="s">
        <v>418</v>
      </c>
      <c r="EW37" s="661" t="s">
        <v>411</v>
      </c>
      <c r="EX37" s="660" t="s">
        <v>418</v>
      </c>
      <c r="EY37" s="661" t="s">
        <v>411</v>
      </c>
      <c r="EZ37" s="660" t="s">
        <v>418</v>
      </c>
      <c r="FA37" s="661" t="s">
        <v>411</v>
      </c>
      <c r="FB37" s="660" t="s">
        <v>418</v>
      </c>
      <c r="FC37" s="661" t="s">
        <v>411</v>
      </c>
      <c r="FD37" s="660" t="s">
        <v>418</v>
      </c>
      <c r="FE37" s="661" t="s">
        <v>411</v>
      </c>
      <c r="FF37" s="660" t="s">
        <v>418</v>
      </c>
      <c r="FG37" s="661" t="s">
        <v>411</v>
      </c>
      <c r="FH37" s="662" t="s">
        <v>418</v>
      </c>
      <c r="FI37" s="739"/>
      <c r="FJ37" s="816" t="s">
        <v>414</v>
      </c>
      <c r="FK37" s="843"/>
      <c r="FL37" s="844" t="s">
        <v>415</v>
      </c>
      <c r="FM37" s="845"/>
      <c r="FN37" s="846" t="s">
        <v>416</v>
      </c>
      <c r="FO37" s="847"/>
      <c r="FP37" s="665"/>
      <c r="FQ37" s="848" t="s">
        <v>419</v>
      </c>
      <c r="FR37" s="660" t="s">
        <v>418</v>
      </c>
      <c r="FS37" s="667"/>
      <c r="FT37" s="848" t="s">
        <v>419</v>
      </c>
      <c r="FU37" s="668" t="s">
        <v>418</v>
      </c>
      <c r="FV37" s="590"/>
      <c r="FW37" s="591"/>
      <c r="FX37" s="799"/>
      <c r="FY37" s="593"/>
      <c r="FZ37" s="800"/>
      <c r="GA37" s="595"/>
      <c r="GB37" s="801"/>
      <c r="GC37" s="597"/>
      <c r="GD37" s="801"/>
      <c r="GE37" s="598"/>
      <c r="GF37" s="849"/>
      <c r="GG37" s="743"/>
      <c r="GH37" s="743"/>
      <c r="GI37" s="743"/>
      <c r="GJ37" s="527"/>
      <c r="GK37" s="414"/>
      <c r="GL37" s="577"/>
      <c r="GM37" s="414"/>
      <c r="GN37" s="577"/>
      <c r="GO37" s="414"/>
      <c r="GP37" s="414"/>
      <c r="GQ37" s="414"/>
      <c r="GR37" s="414"/>
      <c r="GS37" s="527"/>
      <c r="GT37" s="850"/>
      <c r="GU37" s="818"/>
      <c r="GV37" s="819"/>
      <c r="GW37" s="820"/>
      <c r="GX37" s="630"/>
      <c r="GY37" s="630"/>
      <c r="GZ37" s="630"/>
      <c r="HA37" s="630"/>
      <c r="HB37" s="631"/>
      <c r="HC37" s="527"/>
      <c r="HD37" s="716"/>
      <c r="HE37" s="416"/>
      <c r="HF37" s="416"/>
    </row>
    <row r="38" spans="1:219" ht="20.100000000000001" customHeight="1">
      <c r="A38" s="851"/>
      <c r="B38" s="852" t="s">
        <v>420</v>
      </c>
      <c r="C38" s="853"/>
      <c r="D38" s="854"/>
      <c r="E38" s="855"/>
      <c r="F38" s="856"/>
      <c r="G38" s="675"/>
      <c r="H38" s="857">
        <v>0</v>
      </c>
      <c r="I38" s="676"/>
      <c r="J38" s="857">
        <v>0</v>
      </c>
      <c r="K38" s="676"/>
      <c r="L38" s="857">
        <v>0</v>
      </c>
      <c r="M38" s="676"/>
      <c r="N38" s="857">
        <v>0</v>
      </c>
      <c r="O38" s="676"/>
      <c r="P38" s="857">
        <v>0</v>
      </c>
      <c r="Q38" s="676"/>
      <c r="R38" s="857">
        <v>0</v>
      </c>
      <c r="S38" s="676"/>
      <c r="T38" s="857">
        <v>0</v>
      </c>
      <c r="U38" s="676"/>
      <c r="V38" s="857">
        <v>0</v>
      </c>
      <c r="W38" s="676"/>
      <c r="X38" s="857">
        <v>0</v>
      </c>
      <c r="Y38" s="676"/>
      <c r="Z38" s="857">
        <v>0</v>
      </c>
      <c r="AA38" s="676"/>
      <c r="AB38" s="857">
        <v>0</v>
      </c>
      <c r="AC38" s="676"/>
      <c r="AD38" s="857">
        <v>0</v>
      </c>
      <c r="AE38" s="676"/>
      <c r="AF38" s="857">
        <v>0</v>
      </c>
      <c r="AG38" s="676"/>
      <c r="AH38" s="857">
        <v>0</v>
      </c>
      <c r="AI38" s="676"/>
      <c r="AJ38" s="857">
        <v>0</v>
      </c>
      <c r="AK38" s="676"/>
      <c r="AL38" s="857">
        <v>0</v>
      </c>
      <c r="AM38" s="676"/>
      <c r="AN38" s="857">
        <v>0</v>
      </c>
      <c r="AO38" s="676"/>
      <c r="AP38" s="857">
        <v>0</v>
      </c>
      <c r="AQ38" s="676"/>
      <c r="AR38" s="857">
        <v>0</v>
      </c>
      <c r="AS38" s="676"/>
      <c r="AT38" s="857">
        <v>0</v>
      </c>
      <c r="AU38" s="676"/>
      <c r="AV38" s="857">
        <v>0</v>
      </c>
      <c r="AW38" s="676"/>
      <c r="AX38" s="857">
        <v>0</v>
      </c>
      <c r="AY38" s="676"/>
      <c r="AZ38" s="857">
        <v>0</v>
      </c>
      <c r="BA38" s="676"/>
      <c r="BB38" s="858">
        <v>0</v>
      </c>
      <c r="BC38" s="559"/>
      <c r="BD38" s="851"/>
      <c r="BE38" s="852" t="s">
        <v>271</v>
      </c>
      <c r="BF38" s="859"/>
      <c r="BG38" s="860"/>
      <c r="BH38" s="855"/>
      <c r="BI38" s="856"/>
      <c r="BJ38" s="675"/>
      <c r="BK38" s="857">
        <v>0</v>
      </c>
      <c r="BL38" s="676"/>
      <c r="BM38" s="857">
        <v>0</v>
      </c>
      <c r="BN38" s="676"/>
      <c r="BO38" s="857">
        <v>0</v>
      </c>
      <c r="BP38" s="676"/>
      <c r="BQ38" s="857">
        <v>0</v>
      </c>
      <c r="BR38" s="676"/>
      <c r="BS38" s="857">
        <v>0</v>
      </c>
      <c r="BT38" s="676"/>
      <c r="BU38" s="857">
        <v>0</v>
      </c>
      <c r="BV38" s="676"/>
      <c r="BW38" s="857">
        <v>0</v>
      </c>
      <c r="BX38" s="676"/>
      <c r="BY38" s="857">
        <v>0</v>
      </c>
      <c r="BZ38" s="676"/>
      <c r="CA38" s="857">
        <v>0</v>
      </c>
      <c r="CB38" s="676"/>
      <c r="CC38" s="857">
        <v>0</v>
      </c>
      <c r="CD38" s="676"/>
      <c r="CE38" s="857">
        <v>0</v>
      </c>
      <c r="CF38" s="676"/>
      <c r="CG38" s="857">
        <v>0</v>
      </c>
      <c r="CH38" s="676"/>
      <c r="CI38" s="857">
        <v>0</v>
      </c>
      <c r="CJ38" s="676"/>
      <c r="CK38" s="857">
        <v>0</v>
      </c>
      <c r="CL38" s="676"/>
      <c r="CM38" s="857">
        <v>0</v>
      </c>
      <c r="CN38" s="676"/>
      <c r="CO38" s="857">
        <v>0</v>
      </c>
      <c r="CP38" s="676"/>
      <c r="CQ38" s="857">
        <v>0</v>
      </c>
      <c r="CR38" s="676"/>
      <c r="CS38" s="857">
        <v>0</v>
      </c>
      <c r="CT38" s="676"/>
      <c r="CU38" s="857">
        <v>0</v>
      </c>
      <c r="CV38" s="676"/>
      <c r="CW38" s="857">
        <v>0</v>
      </c>
      <c r="CX38" s="676"/>
      <c r="CY38" s="857">
        <v>0</v>
      </c>
      <c r="CZ38" s="676"/>
      <c r="DA38" s="857">
        <v>0</v>
      </c>
      <c r="DB38" s="676"/>
      <c r="DC38" s="857">
        <v>0</v>
      </c>
      <c r="DD38" s="676"/>
      <c r="DE38" s="858">
        <v>0</v>
      </c>
      <c r="DF38" s="559"/>
      <c r="DG38" s="851"/>
      <c r="DH38" s="852" t="s">
        <v>271</v>
      </c>
      <c r="DI38" s="859"/>
      <c r="DJ38" s="860"/>
      <c r="DK38" s="855"/>
      <c r="DL38" s="856"/>
      <c r="DM38" s="675"/>
      <c r="DN38" s="857">
        <v>0</v>
      </c>
      <c r="DO38" s="676"/>
      <c r="DP38" s="857">
        <v>0</v>
      </c>
      <c r="DQ38" s="676"/>
      <c r="DR38" s="857">
        <v>0</v>
      </c>
      <c r="DS38" s="676"/>
      <c r="DT38" s="857">
        <v>0</v>
      </c>
      <c r="DU38" s="676"/>
      <c r="DV38" s="857">
        <v>0</v>
      </c>
      <c r="DW38" s="676"/>
      <c r="DX38" s="857">
        <v>0</v>
      </c>
      <c r="DY38" s="676"/>
      <c r="DZ38" s="857">
        <v>0</v>
      </c>
      <c r="EA38" s="676"/>
      <c r="EB38" s="857">
        <v>0</v>
      </c>
      <c r="EC38" s="676"/>
      <c r="ED38" s="857">
        <v>0</v>
      </c>
      <c r="EE38" s="676"/>
      <c r="EF38" s="857">
        <v>0</v>
      </c>
      <c r="EG38" s="676"/>
      <c r="EH38" s="857">
        <v>0</v>
      </c>
      <c r="EI38" s="676"/>
      <c r="EJ38" s="857">
        <v>0</v>
      </c>
      <c r="EK38" s="676"/>
      <c r="EL38" s="857">
        <v>0</v>
      </c>
      <c r="EM38" s="676"/>
      <c r="EN38" s="857">
        <v>0</v>
      </c>
      <c r="EO38" s="676"/>
      <c r="EP38" s="857">
        <v>0</v>
      </c>
      <c r="EQ38" s="676"/>
      <c r="ER38" s="857">
        <v>0</v>
      </c>
      <c r="ES38" s="676"/>
      <c r="ET38" s="857">
        <v>0</v>
      </c>
      <c r="EU38" s="676"/>
      <c r="EV38" s="857">
        <v>0</v>
      </c>
      <c r="EW38" s="676"/>
      <c r="EX38" s="857">
        <v>0</v>
      </c>
      <c r="EY38" s="676"/>
      <c r="EZ38" s="857">
        <v>0</v>
      </c>
      <c r="FA38" s="676"/>
      <c r="FB38" s="857">
        <v>0</v>
      </c>
      <c r="FC38" s="676"/>
      <c r="FD38" s="857">
        <v>0</v>
      </c>
      <c r="FE38" s="676"/>
      <c r="FF38" s="857">
        <v>0</v>
      </c>
      <c r="FG38" s="676"/>
      <c r="FH38" s="858">
        <v>0</v>
      </c>
      <c r="FI38" s="560"/>
      <c r="FJ38" s="816"/>
      <c r="FK38" s="852" t="s">
        <v>271</v>
      </c>
      <c r="FL38" s="853"/>
      <c r="FM38" s="854"/>
      <c r="FN38" s="855">
        <v>0</v>
      </c>
      <c r="FO38" s="856"/>
      <c r="FP38" s="678"/>
      <c r="FQ38" s="679"/>
      <c r="FR38" s="556">
        <v>0</v>
      </c>
      <c r="FS38" s="680"/>
      <c r="FT38" s="679"/>
      <c r="FU38" s="564">
        <v>0</v>
      </c>
      <c r="FV38" s="590"/>
      <c r="FW38" s="591"/>
      <c r="FX38" s="799"/>
      <c r="FY38" s="593"/>
      <c r="FZ38" s="800"/>
      <c r="GA38" s="595"/>
      <c r="GB38" s="801"/>
      <c r="GC38" s="597"/>
      <c r="GD38" s="801"/>
      <c r="GE38" s="598"/>
      <c r="GF38" s="681"/>
      <c r="GG38" s="599"/>
      <c r="GH38" s="599"/>
      <c r="GI38" s="599"/>
      <c r="GJ38" s="577"/>
      <c r="GK38" s="414" t="s">
        <v>492</v>
      </c>
      <c r="GL38" s="410"/>
      <c r="GM38" s="414"/>
      <c r="GN38" s="410"/>
      <c r="GO38" s="414"/>
      <c r="GP38" s="414"/>
      <c r="GQ38" s="414"/>
      <c r="GR38" s="414"/>
      <c r="GS38" s="577"/>
      <c r="GT38" s="850"/>
      <c r="GU38" s="861" t="s">
        <v>463</v>
      </c>
      <c r="GV38" s="862"/>
      <c r="GW38" s="862"/>
      <c r="GX38" s="862"/>
      <c r="GY38" s="862"/>
      <c r="GZ38" s="863"/>
      <c r="HA38" s="630">
        <v>173.98999999999998</v>
      </c>
      <c r="HB38" s="864">
        <v>54.8</v>
      </c>
      <c r="HC38" s="527"/>
      <c r="HD38" s="527"/>
      <c r="HE38" s="388"/>
      <c r="HF38" s="388"/>
      <c r="HK38" s="416"/>
    </row>
    <row r="39" spans="1:219" ht="20.100000000000001" customHeight="1">
      <c r="A39" s="821"/>
      <c r="B39" s="865" t="s">
        <v>421</v>
      </c>
      <c r="C39" s="866"/>
      <c r="D39" s="867"/>
      <c r="E39" s="868"/>
      <c r="F39" s="869"/>
      <c r="G39" s="687"/>
      <c r="H39" s="870">
        <v>0</v>
      </c>
      <c r="I39" s="688"/>
      <c r="J39" s="870">
        <v>0</v>
      </c>
      <c r="K39" s="688"/>
      <c r="L39" s="870">
        <v>0</v>
      </c>
      <c r="M39" s="688"/>
      <c r="N39" s="870">
        <v>0</v>
      </c>
      <c r="O39" s="688"/>
      <c r="P39" s="870">
        <v>0</v>
      </c>
      <c r="Q39" s="688"/>
      <c r="R39" s="870">
        <v>0</v>
      </c>
      <c r="S39" s="688"/>
      <c r="T39" s="870">
        <v>0</v>
      </c>
      <c r="U39" s="688"/>
      <c r="V39" s="870">
        <v>0</v>
      </c>
      <c r="W39" s="688"/>
      <c r="X39" s="870">
        <v>0</v>
      </c>
      <c r="Y39" s="688"/>
      <c r="Z39" s="870">
        <v>0</v>
      </c>
      <c r="AA39" s="688"/>
      <c r="AB39" s="870">
        <v>0</v>
      </c>
      <c r="AC39" s="688"/>
      <c r="AD39" s="870">
        <v>0</v>
      </c>
      <c r="AE39" s="688"/>
      <c r="AF39" s="870">
        <v>0</v>
      </c>
      <c r="AG39" s="688"/>
      <c r="AH39" s="870">
        <v>0</v>
      </c>
      <c r="AI39" s="688"/>
      <c r="AJ39" s="870">
        <v>0</v>
      </c>
      <c r="AK39" s="688"/>
      <c r="AL39" s="870">
        <v>0</v>
      </c>
      <c r="AM39" s="688"/>
      <c r="AN39" s="870">
        <v>0</v>
      </c>
      <c r="AO39" s="688"/>
      <c r="AP39" s="870">
        <v>0</v>
      </c>
      <c r="AQ39" s="688"/>
      <c r="AR39" s="870">
        <v>0</v>
      </c>
      <c r="AS39" s="688"/>
      <c r="AT39" s="870">
        <v>0</v>
      </c>
      <c r="AU39" s="688"/>
      <c r="AV39" s="870">
        <v>0</v>
      </c>
      <c r="AW39" s="688"/>
      <c r="AX39" s="870">
        <v>0</v>
      </c>
      <c r="AY39" s="688"/>
      <c r="AZ39" s="870">
        <v>0</v>
      </c>
      <c r="BA39" s="688"/>
      <c r="BB39" s="871">
        <v>0</v>
      </c>
      <c r="BC39" s="559"/>
      <c r="BD39" s="821"/>
      <c r="BE39" s="865" t="s">
        <v>278</v>
      </c>
      <c r="BF39" s="872"/>
      <c r="BG39" s="873"/>
      <c r="BH39" s="868"/>
      <c r="BI39" s="869"/>
      <c r="BJ39" s="687"/>
      <c r="BK39" s="870">
        <v>0</v>
      </c>
      <c r="BL39" s="688"/>
      <c r="BM39" s="870">
        <v>0</v>
      </c>
      <c r="BN39" s="688"/>
      <c r="BO39" s="870">
        <v>0</v>
      </c>
      <c r="BP39" s="688"/>
      <c r="BQ39" s="870">
        <v>0</v>
      </c>
      <c r="BR39" s="688"/>
      <c r="BS39" s="870">
        <v>0</v>
      </c>
      <c r="BT39" s="688"/>
      <c r="BU39" s="870">
        <v>0</v>
      </c>
      <c r="BV39" s="688"/>
      <c r="BW39" s="870">
        <v>0</v>
      </c>
      <c r="BX39" s="688"/>
      <c r="BY39" s="870">
        <v>0</v>
      </c>
      <c r="BZ39" s="688"/>
      <c r="CA39" s="870">
        <v>0</v>
      </c>
      <c r="CB39" s="688"/>
      <c r="CC39" s="870">
        <v>0</v>
      </c>
      <c r="CD39" s="688"/>
      <c r="CE39" s="870">
        <v>0</v>
      </c>
      <c r="CF39" s="688"/>
      <c r="CG39" s="870">
        <v>0</v>
      </c>
      <c r="CH39" s="688"/>
      <c r="CI39" s="870">
        <v>0</v>
      </c>
      <c r="CJ39" s="688"/>
      <c r="CK39" s="870">
        <v>0</v>
      </c>
      <c r="CL39" s="688"/>
      <c r="CM39" s="870">
        <v>0</v>
      </c>
      <c r="CN39" s="688"/>
      <c r="CO39" s="870">
        <v>0</v>
      </c>
      <c r="CP39" s="688"/>
      <c r="CQ39" s="870">
        <v>0</v>
      </c>
      <c r="CR39" s="688"/>
      <c r="CS39" s="870">
        <v>0</v>
      </c>
      <c r="CT39" s="688"/>
      <c r="CU39" s="870">
        <v>0</v>
      </c>
      <c r="CV39" s="688"/>
      <c r="CW39" s="870">
        <v>0</v>
      </c>
      <c r="CX39" s="688"/>
      <c r="CY39" s="870">
        <v>0</v>
      </c>
      <c r="CZ39" s="688"/>
      <c r="DA39" s="870">
        <v>0</v>
      </c>
      <c r="DB39" s="688"/>
      <c r="DC39" s="870">
        <v>0</v>
      </c>
      <c r="DD39" s="688"/>
      <c r="DE39" s="871">
        <v>0</v>
      </c>
      <c r="DF39" s="559"/>
      <c r="DG39" s="821"/>
      <c r="DH39" s="865" t="s">
        <v>278</v>
      </c>
      <c r="DI39" s="872"/>
      <c r="DJ39" s="873"/>
      <c r="DK39" s="868"/>
      <c r="DL39" s="869"/>
      <c r="DM39" s="687"/>
      <c r="DN39" s="870">
        <v>0</v>
      </c>
      <c r="DO39" s="688"/>
      <c r="DP39" s="870">
        <v>0</v>
      </c>
      <c r="DQ39" s="688"/>
      <c r="DR39" s="870">
        <v>0</v>
      </c>
      <c r="DS39" s="688"/>
      <c r="DT39" s="870">
        <v>0</v>
      </c>
      <c r="DU39" s="688"/>
      <c r="DV39" s="870">
        <v>0</v>
      </c>
      <c r="DW39" s="688"/>
      <c r="DX39" s="870">
        <v>0</v>
      </c>
      <c r="DY39" s="688"/>
      <c r="DZ39" s="870">
        <v>0</v>
      </c>
      <c r="EA39" s="688"/>
      <c r="EB39" s="870">
        <v>0</v>
      </c>
      <c r="EC39" s="688"/>
      <c r="ED39" s="870">
        <v>0</v>
      </c>
      <c r="EE39" s="688"/>
      <c r="EF39" s="870">
        <v>0</v>
      </c>
      <c r="EG39" s="688"/>
      <c r="EH39" s="870">
        <v>0</v>
      </c>
      <c r="EI39" s="688"/>
      <c r="EJ39" s="870">
        <v>0</v>
      </c>
      <c r="EK39" s="688"/>
      <c r="EL39" s="870">
        <v>0</v>
      </c>
      <c r="EM39" s="688"/>
      <c r="EN39" s="870">
        <v>0</v>
      </c>
      <c r="EO39" s="688"/>
      <c r="EP39" s="870">
        <v>0</v>
      </c>
      <c r="EQ39" s="688"/>
      <c r="ER39" s="870">
        <v>0</v>
      </c>
      <c r="ES39" s="688"/>
      <c r="ET39" s="870">
        <v>0</v>
      </c>
      <c r="EU39" s="688"/>
      <c r="EV39" s="870">
        <v>0</v>
      </c>
      <c r="EW39" s="688"/>
      <c r="EX39" s="870">
        <v>0</v>
      </c>
      <c r="EY39" s="688"/>
      <c r="EZ39" s="870">
        <v>0</v>
      </c>
      <c r="FA39" s="688"/>
      <c r="FB39" s="870">
        <v>0</v>
      </c>
      <c r="FC39" s="688"/>
      <c r="FD39" s="870">
        <v>0</v>
      </c>
      <c r="FE39" s="688"/>
      <c r="FF39" s="870">
        <v>0</v>
      </c>
      <c r="FG39" s="688"/>
      <c r="FH39" s="871">
        <v>0</v>
      </c>
      <c r="FI39" s="560"/>
      <c r="FJ39" s="830"/>
      <c r="FK39" s="865" t="s">
        <v>278</v>
      </c>
      <c r="FL39" s="866"/>
      <c r="FM39" s="867"/>
      <c r="FN39" s="868">
        <v>0</v>
      </c>
      <c r="FO39" s="869"/>
      <c r="FP39" s="689"/>
      <c r="FQ39" s="690"/>
      <c r="FR39" s="584">
        <v>0</v>
      </c>
      <c r="FS39" s="691"/>
      <c r="FT39" s="690"/>
      <c r="FU39" s="589">
        <v>0</v>
      </c>
      <c r="FV39" s="590"/>
      <c r="FW39" s="591"/>
      <c r="FX39" s="799"/>
      <c r="FY39" s="593"/>
      <c r="FZ39" s="800"/>
      <c r="GA39" s="595"/>
      <c r="GB39" s="801"/>
      <c r="GC39" s="597"/>
      <c r="GD39" s="801"/>
      <c r="GE39" s="598"/>
      <c r="GF39" s="681"/>
      <c r="GG39" s="599"/>
      <c r="GH39" s="599"/>
      <c r="GI39" s="599"/>
      <c r="GJ39" s="410"/>
      <c r="GK39" s="874"/>
      <c r="GL39" s="875"/>
      <c r="GM39" s="876" t="s">
        <v>493</v>
      </c>
      <c r="GN39" s="875"/>
      <c r="GO39" s="876" t="s">
        <v>494</v>
      </c>
      <c r="GP39" s="875"/>
      <c r="GQ39" s="876" t="s">
        <v>495</v>
      </c>
      <c r="GR39" s="877"/>
      <c r="GS39" s="414"/>
      <c r="GT39" s="682"/>
      <c r="GU39" s="527" t="s">
        <v>496</v>
      </c>
      <c r="GV39" s="527"/>
      <c r="GW39" s="527"/>
      <c r="GX39" s="527"/>
      <c r="GY39" s="527"/>
      <c r="GZ39" s="527"/>
      <c r="HA39" s="683">
        <v>3.18</v>
      </c>
      <c r="HB39" s="576"/>
      <c r="HC39" s="527"/>
      <c r="HD39" s="559"/>
    </row>
    <row r="40" spans="1:219" ht="20.100000000000001" customHeight="1">
      <c r="A40" s="878"/>
      <c r="B40" s="639"/>
      <c r="C40" s="639"/>
      <c r="D40" s="640" t="s">
        <v>422</v>
      </c>
      <c r="E40" s="639"/>
      <c r="F40" s="639"/>
      <c r="G40" s="834"/>
      <c r="H40" s="835">
        <v>0</v>
      </c>
      <c r="I40" s="836"/>
      <c r="J40" s="837">
        <v>0</v>
      </c>
      <c r="K40" s="838"/>
      <c r="L40" s="837">
        <v>0</v>
      </c>
      <c r="M40" s="838"/>
      <c r="N40" s="837">
        <v>0</v>
      </c>
      <c r="O40" s="838"/>
      <c r="P40" s="837">
        <v>0</v>
      </c>
      <c r="Q40" s="838"/>
      <c r="R40" s="837">
        <v>0</v>
      </c>
      <c r="S40" s="838"/>
      <c r="T40" s="837">
        <v>0</v>
      </c>
      <c r="U40" s="838"/>
      <c r="V40" s="837">
        <v>0</v>
      </c>
      <c r="W40" s="838"/>
      <c r="X40" s="837">
        <v>0</v>
      </c>
      <c r="Y40" s="838"/>
      <c r="Z40" s="837">
        <v>0</v>
      </c>
      <c r="AA40" s="838"/>
      <c r="AB40" s="837">
        <v>0</v>
      </c>
      <c r="AC40" s="838"/>
      <c r="AD40" s="837">
        <v>0</v>
      </c>
      <c r="AE40" s="838"/>
      <c r="AF40" s="837">
        <v>0</v>
      </c>
      <c r="AG40" s="838"/>
      <c r="AH40" s="837">
        <v>0</v>
      </c>
      <c r="AI40" s="838"/>
      <c r="AJ40" s="837">
        <v>0</v>
      </c>
      <c r="AK40" s="838"/>
      <c r="AL40" s="837">
        <v>0</v>
      </c>
      <c r="AM40" s="838"/>
      <c r="AN40" s="837">
        <v>0</v>
      </c>
      <c r="AO40" s="838"/>
      <c r="AP40" s="837">
        <v>0</v>
      </c>
      <c r="AQ40" s="838"/>
      <c r="AR40" s="837">
        <v>0</v>
      </c>
      <c r="AS40" s="838"/>
      <c r="AT40" s="837">
        <v>0</v>
      </c>
      <c r="AU40" s="838"/>
      <c r="AV40" s="837">
        <v>0</v>
      </c>
      <c r="AW40" s="838"/>
      <c r="AX40" s="837">
        <v>0</v>
      </c>
      <c r="AY40" s="838"/>
      <c r="AZ40" s="837">
        <v>0</v>
      </c>
      <c r="BA40" s="838"/>
      <c r="BB40" s="839">
        <v>0</v>
      </c>
      <c r="BC40" s="645"/>
      <c r="BD40" s="878"/>
      <c r="BE40" s="639"/>
      <c r="BF40" s="639"/>
      <c r="BG40" s="640" t="s">
        <v>422</v>
      </c>
      <c r="BH40" s="639"/>
      <c r="BI40" s="639"/>
      <c r="BJ40" s="834"/>
      <c r="BK40" s="835">
        <v>0</v>
      </c>
      <c r="BL40" s="836"/>
      <c r="BM40" s="837">
        <v>0</v>
      </c>
      <c r="BN40" s="838"/>
      <c r="BO40" s="837">
        <v>0</v>
      </c>
      <c r="BP40" s="838"/>
      <c r="BQ40" s="837">
        <v>0</v>
      </c>
      <c r="BR40" s="838"/>
      <c r="BS40" s="837">
        <v>0</v>
      </c>
      <c r="BT40" s="838"/>
      <c r="BU40" s="837">
        <v>0</v>
      </c>
      <c r="BV40" s="838"/>
      <c r="BW40" s="837">
        <v>0</v>
      </c>
      <c r="BX40" s="838"/>
      <c r="BY40" s="837">
        <v>0</v>
      </c>
      <c r="BZ40" s="838"/>
      <c r="CA40" s="837">
        <v>0</v>
      </c>
      <c r="CB40" s="838"/>
      <c r="CC40" s="837">
        <v>0</v>
      </c>
      <c r="CD40" s="838"/>
      <c r="CE40" s="837">
        <v>0</v>
      </c>
      <c r="CF40" s="838"/>
      <c r="CG40" s="837">
        <v>0</v>
      </c>
      <c r="CH40" s="838"/>
      <c r="CI40" s="837">
        <v>0</v>
      </c>
      <c r="CJ40" s="838"/>
      <c r="CK40" s="837">
        <v>0</v>
      </c>
      <c r="CL40" s="838"/>
      <c r="CM40" s="837">
        <v>0</v>
      </c>
      <c r="CN40" s="838"/>
      <c r="CO40" s="837">
        <v>0</v>
      </c>
      <c r="CP40" s="838"/>
      <c r="CQ40" s="837">
        <v>0</v>
      </c>
      <c r="CR40" s="838"/>
      <c r="CS40" s="837">
        <v>0</v>
      </c>
      <c r="CT40" s="838"/>
      <c r="CU40" s="837">
        <v>0</v>
      </c>
      <c r="CV40" s="838"/>
      <c r="CW40" s="837">
        <v>0</v>
      </c>
      <c r="CX40" s="838"/>
      <c r="CY40" s="837">
        <v>0</v>
      </c>
      <c r="CZ40" s="838"/>
      <c r="DA40" s="837">
        <v>0</v>
      </c>
      <c r="DB40" s="838"/>
      <c r="DC40" s="837">
        <v>0</v>
      </c>
      <c r="DD40" s="838"/>
      <c r="DE40" s="839">
        <v>0</v>
      </c>
      <c r="DF40" s="645"/>
      <c r="DG40" s="878"/>
      <c r="DH40" s="639"/>
      <c r="DI40" s="639"/>
      <c r="DJ40" s="640" t="s">
        <v>422</v>
      </c>
      <c r="DK40" s="639"/>
      <c r="DL40" s="639"/>
      <c r="DM40" s="834"/>
      <c r="DN40" s="835">
        <v>0</v>
      </c>
      <c r="DO40" s="836"/>
      <c r="DP40" s="837">
        <v>0</v>
      </c>
      <c r="DQ40" s="838"/>
      <c r="DR40" s="837">
        <v>0</v>
      </c>
      <c r="DS40" s="838"/>
      <c r="DT40" s="837">
        <v>0</v>
      </c>
      <c r="DU40" s="838"/>
      <c r="DV40" s="837">
        <v>0</v>
      </c>
      <c r="DW40" s="838"/>
      <c r="DX40" s="837">
        <v>0</v>
      </c>
      <c r="DY40" s="838"/>
      <c r="DZ40" s="837">
        <v>0</v>
      </c>
      <c r="EA40" s="838"/>
      <c r="EB40" s="837">
        <v>0</v>
      </c>
      <c r="EC40" s="838"/>
      <c r="ED40" s="837">
        <v>0</v>
      </c>
      <c r="EE40" s="838"/>
      <c r="EF40" s="837">
        <v>0</v>
      </c>
      <c r="EG40" s="838"/>
      <c r="EH40" s="837">
        <v>0</v>
      </c>
      <c r="EI40" s="838"/>
      <c r="EJ40" s="837">
        <v>0</v>
      </c>
      <c r="EK40" s="838"/>
      <c r="EL40" s="837">
        <v>0</v>
      </c>
      <c r="EM40" s="838"/>
      <c r="EN40" s="837">
        <v>0</v>
      </c>
      <c r="EO40" s="838"/>
      <c r="EP40" s="837">
        <v>0</v>
      </c>
      <c r="EQ40" s="838"/>
      <c r="ER40" s="837">
        <v>0</v>
      </c>
      <c r="ES40" s="838"/>
      <c r="ET40" s="837">
        <v>0</v>
      </c>
      <c r="EU40" s="838"/>
      <c r="EV40" s="837">
        <v>0</v>
      </c>
      <c r="EW40" s="838"/>
      <c r="EX40" s="837">
        <v>0</v>
      </c>
      <c r="EY40" s="838"/>
      <c r="EZ40" s="837">
        <v>0</v>
      </c>
      <c r="FA40" s="838"/>
      <c r="FB40" s="837">
        <v>0</v>
      </c>
      <c r="FC40" s="838"/>
      <c r="FD40" s="837">
        <v>0</v>
      </c>
      <c r="FE40" s="838"/>
      <c r="FF40" s="837">
        <v>0</v>
      </c>
      <c r="FG40" s="838"/>
      <c r="FH40" s="839">
        <v>0</v>
      </c>
      <c r="FI40" s="646"/>
      <c r="FJ40" s="830"/>
      <c r="FK40" s="639"/>
      <c r="FL40" s="639"/>
      <c r="FM40" s="640" t="s">
        <v>422</v>
      </c>
      <c r="FN40" s="639"/>
      <c r="FO40" s="639"/>
      <c r="FP40" s="647"/>
      <c r="FQ40" s="836"/>
      <c r="FR40" s="835">
        <v>0</v>
      </c>
      <c r="FS40" s="840"/>
      <c r="FT40" s="836"/>
      <c r="FU40" s="841">
        <v>0</v>
      </c>
      <c r="FV40" s="590"/>
      <c r="FW40" s="591"/>
      <c r="FX40" s="799"/>
      <c r="FY40" s="593"/>
      <c r="FZ40" s="800"/>
      <c r="GA40" s="595"/>
      <c r="GB40" s="801"/>
      <c r="GC40" s="597"/>
      <c r="GD40" s="801"/>
      <c r="GE40" s="598"/>
      <c r="GF40" s="651"/>
      <c r="GG40" s="652"/>
      <c r="GH40" s="652"/>
      <c r="GI40" s="652"/>
      <c r="GJ40" s="527"/>
      <c r="GK40" s="879"/>
      <c r="GL40" s="880"/>
      <c r="GM40" s="880"/>
      <c r="GN40" s="880"/>
      <c r="GO40" s="880"/>
      <c r="GP40" s="880"/>
      <c r="GQ40" s="880"/>
      <c r="GR40" s="881"/>
      <c r="GS40" s="882"/>
      <c r="GT40" s="682"/>
      <c r="GU40" s="527" t="s">
        <v>519</v>
      </c>
      <c r="GV40" s="527"/>
      <c r="GW40" s="527"/>
      <c r="GX40" s="527"/>
      <c r="GY40" s="527"/>
      <c r="GZ40" s="527"/>
      <c r="HA40" s="883">
        <v>56.4</v>
      </c>
      <c r="HB40" s="414"/>
      <c r="HC40" s="527"/>
      <c r="HD40" s="577"/>
      <c r="HK40" s="416"/>
    </row>
    <row r="41" spans="1:219" ht="20.100000000000001" customHeight="1">
      <c r="A41" s="851" t="s">
        <v>423</v>
      </c>
      <c r="B41" s="731"/>
      <c r="C41" s="884"/>
      <c r="D41" s="884"/>
      <c r="E41" s="884"/>
      <c r="F41" s="885"/>
      <c r="G41" s="733"/>
      <c r="H41" s="660" t="s">
        <v>398</v>
      </c>
      <c r="I41" s="734"/>
      <c r="J41" s="660" t="s">
        <v>398</v>
      </c>
      <c r="K41" s="735"/>
      <c r="L41" s="660" t="s">
        <v>398</v>
      </c>
      <c r="M41" s="735"/>
      <c r="N41" s="660" t="s">
        <v>398</v>
      </c>
      <c r="O41" s="735"/>
      <c r="P41" s="660" t="s">
        <v>398</v>
      </c>
      <c r="Q41" s="735"/>
      <c r="R41" s="660" t="s">
        <v>398</v>
      </c>
      <c r="S41" s="735"/>
      <c r="T41" s="660" t="s">
        <v>398</v>
      </c>
      <c r="U41" s="735"/>
      <c r="V41" s="660" t="s">
        <v>398</v>
      </c>
      <c r="W41" s="735"/>
      <c r="X41" s="660" t="s">
        <v>398</v>
      </c>
      <c r="Y41" s="735" t="s">
        <v>411</v>
      </c>
      <c r="Z41" s="660" t="s">
        <v>398</v>
      </c>
      <c r="AA41" s="735" t="s">
        <v>411</v>
      </c>
      <c r="AB41" s="660" t="s">
        <v>398</v>
      </c>
      <c r="AC41" s="735"/>
      <c r="AD41" s="660" t="s">
        <v>398</v>
      </c>
      <c r="AE41" s="735"/>
      <c r="AF41" s="660" t="s">
        <v>398</v>
      </c>
      <c r="AG41" s="735"/>
      <c r="AH41" s="660" t="s">
        <v>398</v>
      </c>
      <c r="AI41" s="735"/>
      <c r="AJ41" s="660" t="s">
        <v>398</v>
      </c>
      <c r="AK41" s="735"/>
      <c r="AL41" s="660" t="s">
        <v>398</v>
      </c>
      <c r="AM41" s="735"/>
      <c r="AN41" s="660" t="s">
        <v>398</v>
      </c>
      <c r="AO41" s="735"/>
      <c r="AP41" s="660" t="s">
        <v>398</v>
      </c>
      <c r="AQ41" s="735"/>
      <c r="AR41" s="660" t="s">
        <v>398</v>
      </c>
      <c r="AS41" s="735"/>
      <c r="AT41" s="660" t="s">
        <v>398</v>
      </c>
      <c r="AU41" s="735"/>
      <c r="AV41" s="660" t="s">
        <v>398</v>
      </c>
      <c r="AW41" s="735"/>
      <c r="AX41" s="660" t="s">
        <v>398</v>
      </c>
      <c r="AY41" s="735"/>
      <c r="AZ41" s="660" t="s">
        <v>398</v>
      </c>
      <c r="BA41" s="735"/>
      <c r="BB41" s="662" t="s">
        <v>398</v>
      </c>
      <c r="BC41" s="716"/>
      <c r="BD41" s="851" t="s">
        <v>423</v>
      </c>
      <c r="BE41" s="731"/>
      <c r="BF41" s="884"/>
      <c r="BG41" s="884"/>
      <c r="BH41" s="884"/>
      <c r="BI41" s="885"/>
      <c r="BJ41" s="733"/>
      <c r="BK41" s="660" t="s">
        <v>398</v>
      </c>
      <c r="BL41" s="734"/>
      <c r="BM41" s="660" t="s">
        <v>398</v>
      </c>
      <c r="BN41" s="735"/>
      <c r="BO41" s="660" t="s">
        <v>398</v>
      </c>
      <c r="BP41" s="735"/>
      <c r="BQ41" s="660" t="s">
        <v>398</v>
      </c>
      <c r="BR41" s="735"/>
      <c r="BS41" s="660" t="s">
        <v>398</v>
      </c>
      <c r="BT41" s="735"/>
      <c r="BU41" s="660" t="s">
        <v>398</v>
      </c>
      <c r="BV41" s="735"/>
      <c r="BW41" s="660" t="s">
        <v>398</v>
      </c>
      <c r="BX41" s="735"/>
      <c r="BY41" s="660" t="s">
        <v>398</v>
      </c>
      <c r="BZ41" s="735"/>
      <c r="CA41" s="660" t="s">
        <v>398</v>
      </c>
      <c r="CB41" s="735" t="s">
        <v>411</v>
      </c>
      <c r="CC41" s="660" t="s">
        <v>398</v>
      </c>
      <c r="CD41" s="735" t="s">
        <v>411</v>
      </c>
      <c r="CE41" s="660" t="s">
        <v>398</v>
      </c>
      <c r="CF41" s="735"/>
      <c r="CG41" s="660" t="s">
        <v>398</v>
      </c>
      <c r="CH41" s="735"/>
      <c r="CI41" s="660" t="s">
        <v>398</v>
      </c>
      <c r="CJ41" s="735"/>
      <c r="CK41" s="660" t="s">
        <v>398</v>
      </c>
      <c r="CL41" s="735"/>
      <c r="CM41" s="660" t="s">
        <v>398</v>
      </c>
      <c r="CN41" s="735"/>
      <c r="CO41" s="660" t="s">
        <v>398</v>
      </c>
      <c r="CP41" s="735"/>
      <c r="CQ41" s="660" t="s">
        <v>398</v>
      </c>
      <c r="CR41" s="735"/>
      <c r="CS41" s="660" t="s">
        <v>398</v>
      </c>
      <c r="CT41" s="735"/>
      <c r="CU41" s="660" t="s">
        <v>398</v>
      </c>
      <c r="CV41" s="735"/>
      <c r="CW41" s="660" t="s">
        <v>398</v>
      </c>
      <c r="CX41" s="735"/>
      <c r="CY41" s="660" t="s">
        <v>398</v>
      </c>
      <c r="CZ41" s="735"/>
      <c r="DA41" s="660" t="s">
        <v>398</v>
      </c>
      <c r="DB41" s="735"/>
      <c r="DC41" s="660" t="s">
        <v>398</v>
      </c>
      <c r="DD41" s="735"/>
      <c r="DE41" s="662" t="s">
        <v>398</v>
      </c>
      <c r="DF41" s="716"/>
      <c r="DG41" s="851" t="s">
        <v>423</v>
      </c>
      <c r="DH41" s="731"/>
      <c r="DI41" s="884"/>
      <c r="DJ41" s="884"/>
      <c r="DK41" s="884"/>
      <c r="DL41" s="885"/>
      <c r="DM41" s="733"/>
      <c r="DN41" s="660" t="s">
        <v>398</v>
      </c>
      <c r="DO41" s="734"/>
      <c r="DP41" s="660" t="s">
        <v>398</v>
      </c>
      <c r="DQ41" s="735"/>
      <c r="DR41" s="660" t="s">
        <v>398</v>
      </c>
      <c r="DS41" s="735"/>
      <c r="DT41" s="660" t="s">
        <v>398</v>
      </c>
      <c r="DU41" s="735"/>
      <c r="DV41" s="660" t="s">
        <v>398</v>
      </c>
      <c r="DW41" s="735"/>
      <c r="DX41" s="660" t="s">
        <v>398</v>
      </c>
      <c r="DY41" s="735"/>
      <c r="DZ41" s="660" t="s">
        <v>398</v>
      </c>
      <c r="EA41" s="735"/>
      <c r="EB41" s="660" t="s">
        <v>398</v>
      </c>
      <c r="EC41" s="735"/>
      <c r="ED41" s="660" t="s">
        <v>398</v>
      </c>
      <c r="EE41" s="735" t="s">
        <v>411</v>
      </c>
      <c r="EF41" s="660" t="s">
        <v>398</v>
      </c>
      <c r="EG41" s="735" t="s">
        <v>411</v>
      </c>
      <c r="EH41" s="660" t="s">
        <v>398</v>
      </c>
      <c r="EI41" s="735"/>
      <c r="EJ41" s="660" t="s">
        <v>398</v>
      </c>
      <c r="EK41" s="735"/>
      <c r="EL41" s="660" t="s">
        <v>398</v>
      </c>
      <c r="EM41" s="735"/>
      <c r="EN41" s="660" t="s">
        <v>398</v>
      </c>
      <c r="EO41" s="735"/>
      <c r="EP41" s="660" t="s">
        <v>398</v>
      </c>
      <c r="EQ41" s="735"/>
      <c r="ER41" s="660" t="s">
        <v>398</v>
      </c>
      <c r="ES41" s="735"/>
      <c r="ET41" s="660" t="s">
        <v>398</v>
      </c>
      <c r="EU41" s="735"/>
      <c r="EV41" s="660" t="s">
        <v>398</v>
      </c>
      <c r="EW41" s="735"/>
      <c r="EX41" s="660" t="s">
        <v>398</v>
      </c>
      <c r="EY41" s="735"/>
      <c r="EZ41" s="660" t="s">
        <v>398</v>
      </c>
      <c r="FA41" s="735"/>
      <c r="FB41" s="660" t="s">
        <v>398</v>
      </c>
      <c r="FC41" s="735"/>
      <c r="FD41" s="660" t="s">
        <v>398</v>
      </c>
      <c r="FE41" s="735"/>
      <c r="FF41" s="660" t="s">
        <v>398</v>
      </c>
      <c r="FG41" s="735"/>
      <c r="FH41" s="662" t="s">
        <v>398</v>
      </c>
      <c r="FI41" s="739"/>
      <c r="FJ41" s="816" t="s">
        <v>423</v>
      </c>
      <c r="FK41" s="736"/>
      <c r="FL41" s="886"/>
      <c r="FM41" s="886"/>
      <c r="FN41" s="886"/>
      <c r="FO41" s="887"/>
      <c r="FP41" s="740"/>
      <c r="FQ41" s="666"/>
      <c r="FR41" s="660" t="s">
        <v>402</v>
      </c>
      <c r="FS41" s="741"/>
      <c r="FT41" s="666"/>
      <c r="FU41" s="668" t="s">
        <v>402</v>
      </c>
      <c r="FV41" s="590"/>
      <c r="FW41" s="591"/>
      <c r="FX41" s="799"/>
      <c r="FY41" s="593"/>
      <c r="FZ41" s="800"/>
      <c r="GA41" s="595"/>
      <c r="GB41" s="801"/>
      <c r="GC41" s="597"/>
      <c r="GD41" s="801"/>
      <c r="GE41" s="598"/>
      <c r="GF41" s="742"/>
      <c r="GG41" s="743"/>
      <c r="GH41" s="743"/>
      <c r="GI41" s="743"/>
      <c r="GJ41" s="577"/>
      <c r="GK41" s="888" t="s">
        <v>497</v>
      </c>
      <c r="GL41" s="889"/>
      <c r="GM41" s="890" t="s">
        <v>498</v>
      </c>
      <c r="GN41" s="890"/>
      <c r="GO41" s="890" t="s">
        <v>499</v>
      </c>
      <c r="GP41" s="890"/>
      <c r="GQ41" s="890"/>
      <c r="GR41" s="891"/>
      <c r="GS41" s="850"/>
      <c r="GT41" s="682"/>
      <c r="GU41" s="527" t="s">
        <v>520</v>
      </c>
      <c r="GV41" s="527"/>
      <c r="GW41" s="527"/>
      <c r="GX41" s="527"/>
      <c r="GY41" s="527"/>
      <c r="GZ41" s="527"/>
      <c r="HA41" s="883">
        <v>38.4</v>
      </c>
      <c r="HB41" s="414"/>
      <c r="HC41" s="527"/>
      <c r="HD41" s="410"/>
    </row>
    <row r="42" spans="1:219" ht="20.100000000000001" customHeight="1">
      <c r="A42" s="821"/>
      <c r="B42" s="892" t="s">
        <v>424</v>
      </c>
      <c r="C42" s="893"/>
      <c r="D42" s="893"/>
      <c r="E42" s="894"/>
      <c r="F42" s="895"/>
      <c r="G42" s="825"/>
      <c r="H42" s="826"/>
      <c r="I42" s="827"/>
      <c r="J42" s="792"/>
      <c r="K42" s="828"/>
      <c r="L42" s="792"/>
      <c r="M42" s="828"/>
      <c r="N42" s="792"/>
      <c r="O42" s="828"/>
      <c r="P42" s="792"/>
      <c r="Q42" s="828"/>
      <c r="R42" s="792"/>
      <c r="S42" s="828"/>
      <c r="T42" s="792"/>
      <c r="U42" s="828"/>
      <c r="V42" s="792"/>
      <c r="W42" s="828"/>
      <c r="X42" s="792">
        <v>1589</v>
      </c>
      <c r="Y42" s="828"/>
      <c r="Z42" s="792">
        <v>1025</v>
      </c>
      <c r="AA42" s="828"/>
      <c r="AB42" s="792">
        <v>1003</v>
      </c>
      <c r="AC42" s="828"/>
      <c r="AD42" s="792">
        <v>975</v>
      </c>
      <c r="AE42" s="828"/>
      <c r="AF42" s="792">
        <v>959</v>
      </c>
      <c r="AG42" s="828"/>
      <c r="AH42" s="792">
        <v>937</v>
      </c>
      <c r="AI42" s="828"/>
      <c r="AJ42" s="792">
        <v>921</v>
      </c>
      <c r="AK42" s="828"/>
      <c r="AL42" s="792">
        <v>904</v>
      </c>
      <c r="AM42" s="828"/>
      <c r="AN42" s="792">
        <v>888</v>
      </c>
      <c r="AO42" s="828"/>
      <c r="AP42" s="792">
        <v>871</v>
      </c>
      <c r="AQ42" s="828"/>
      <c r="AR42" s="792"/>
      <c r="AS42" s="828"/>
      <c r="AT42" s="792"/>
      <c r="AU42" s="828"/>
      <c r="AV42" s="792"/>
      <c r="AW42" s="828"/>
      <c r="AX42" s="792"/>
      <c r="AY42" s="828"/>
      <c r="AZ42" s="792"/>
      <c r="BA42" s="828"/>
      <c r="BB42" s="829"/>
      <c r="BC42" s="559"/>
      <c r="BD42" s="821"/>
      <c r="BE42" s="896" t="s">
        <v>424</v>
      </c>
      <c r="BF42" s="893"/>
      <c r="BG42" s="893"/>
      <c r="BH42" s="894"/>
      <c r="BI42" s="895"/>
      <c r="BJ42" s="825"/>
      <c r="BK42" s="826"/>
      <c r="BL42" s="827"/>
      <c r="BM42" s="792"/>
      <c r="BN42" s="828"/>
      <c r="BO42" s="792"/>
      <c r="BP42" s="828"/>
      <c r="BQ42" s="792"/>
      <c r="BR42" s="828"/>
      <c r="BS42" s="792"/>
      <c r="BT42" s="828"/>
      <c r="BU42" s="792"/>
      <c r="BV42" s="828"/>
      <c r="BW42" s="792"/>
      <c r="BX42" s="828"/>
      <c r="BY42" s="792"/>
      <c r="BZ42" s="828"/>
      <c r="CA42" s="792">
        <v>1589</v>
      </c>
      <c r="CB42" s="828"/>
      <c r="CC42" s="792">
        <v>1025</v>
      </c>
      <c r="CD42" s="828"/>
      <c r="CE42" s="792">
        <v>1003</v>
      </c>
      <c r="CF42" s="828"/>
      <c r="CG42" s="792">
        <v>975</v>
      </c>
      <c r="CH42" s="828"/>
      <c r="CI42" s="792">
        <v>959</v>
      </c>
      <c r="CJ42" s="828"/>
      <c r="CK42" s="792">
        <v>937</v>
      </c>
      <c r="CL42" s="828"/>
      <c r="CM42" s="792">
        <v>921</v>
      </c>
      <c r="CN42" s="828"/>
      <c r="CO42" s="792">
        <v>904</v>
      </c>
      <c r="CP42" s="828"/>
      <c r="CQ42" s="792">
        <v>888</v>
      </c>
      <c r="CR42" s="828"/>
      <c r="CS42" s="792">
        <v>871</v>
      </c>
      <c r="CT42" s="828"/>
      <c r="CU42" s="792"/>
      <c r="CV42" s="828"/>
      <c r="CW42" s="792"/>
      <c r="CX42" s="828"/>
      <c r="CY42" s="792"/>
      <c r="CZ42" s="828"/>
      <c r="DA42" s="792"/>
      <c r="DB42" s="828"/>
      <c r="DC42" s="792"/>
      <c r="DD42" s="828"/>
      <c r="DE42" s="829"/>
      <c r="DF42" s="559"/>
      <c r="DG42" s="821"/>
      <c r="DH42" s="896" t="s">
        <v>424</v>
      </c>
      <c r="DI42" s="893"/>
      <c r="DJ42" s="893"/>
      <c r="DK42" s="894"/>
      <c r="DL42" s="895"/>
      <c r="DM42" s="825"/>
      <c r="DN42" s="826"/>
      <c r="DO42" s="827"/>
      <c r="DP42" s="792"/>
      <c r="DQ42" s="828"/>
      <c r="DR42" s="792"/>
      <c r="DS42" s="828"/>
      <c r="DT42" s="792"/>
      <c r="DU42" s="828"/>
      <c r="DV42" s="792"/>
      <c r="DW42" s="828"/>
      <c r="DX42" s="792"/>
      <c r="DY42" s="828"/>
      <c r="DZ42" s="792"/>
      <c r="EA42" s="828"/>
      <c r="EB42" s="792"/>
      <c r="EC42" s="828"/>
      <c r="ED42" s="792">
        <v>1589</v>
      </c>
      <c r="EE42" s="828"/>
      <c r="EF42" s="792">
        <v>1025</v>
      </c>
      <c r="EG42" s="828"/>
      <c r="EH42" s="792">
        <v>1003</v>
      </c>
      <c r="EI42" s="828"/>
      <c r="EJ42" s="792">
        <v>975</v>
      </c>
      <c r="EK42" s="828"/>
      <c r="EL42" s="792">
        <v>959</v>
      </c>
      <c r="EM42" s="828"/>
      <c r="EN42" s="792">
        <v>937</v>
      </c>
      <c r="EO42" s="828"/>
      <c r="EP42" s="792">
        <v>921</v>
      </c>
      <c r="EQ42" s="828"/>
      <c r="ER42" s="792">
        <v>904</v>
      </c>
      <c r="ES42" s="828"/>
      <c r="ET42" s="792">
        <v>888</v>
      </c>
      <c r="EU42" s="828"/>
      <c r="EV42" s="792">
        <v>871</v>
      </c>
      <c r="EW42" s="828"/>
      <c r="EX42" s="792"/>
      <c r="EY42" s="828"/>
      <c r="EZ42" s="792"/>
      <c r="FA42" s="828"/>
      <c r="FB42" s="792"/>
      <c r="FC42" s="828"/>
      <c r="FD42" s="792"/>
      <c r="FE42" s="828"/>
      <c r="FF42" s="792"/>
      <c r="FG42" s="828"/>
      <c r="FH42" s="829"/>
      <c r="FI42" s="560"/>
      <c r="FJ42" s="830"/>
      <c r="FK42" s="896" t="s">
        <v>424</v>
      </c>
      <c r="FL42" s="893"/>
      <c r="FM42" s="893"/>
      <c r="FN42" s="894"/>
      <c r="FO42" s="895"/>
      <c r="FP42" s="831"/>
      <c r="FQ42" s="827"/>
      <c r="FR42" s="826">
        <v>2729</v>
      </c>
      <c r="FS42" s="832"/>
      <c r="FT42" s="827"/>
      <c r="FU42" s="798">
        <v>2729</v>
      </c>
      <c r="FV42" s="590"/>
      <c r="FW42" s="591"/>
      <c r="FX42" s="799"/>
      <c r="FY42" s="593"/>
      <c r="FZ42" s="800"/>
      <c r="GA42" s="595"/>
      <c r="GB42" s="801"/>
      <c r="GC42" s="597"/>
      <c r="GD42" s="801"/>
      <c r="GE42" s="598"/>
      <c r="GF42" s="833"/>
      <c r="GG42" s="599"/>
      <c r="GH42" s="599"/>
      <c r="GI42" s="599"/>
      <c r="GJ42" s="410"/>
      <c r="GK42" s="897"/>
      <c r="GL42" s="898"/>
      <c r="GM42" s="899">
        <v>9.6</v>
      </c>
      <c r="GN42" s="899"/>
      <c r="GO42" s="899">
        <v>19.399999999999999</v>
      </c>
      <c r="GP42" s="899"/>
      <c r="GQ42" s="899">
        <v>29</v>
      </c>
      <c r="GR42" s="900"/>
      <c r="GS42" s="577"/>
      <c r="GT42" s="497"/>
      <c r="GU42" s="497"/>
      <c r="GV42" s="497"/>
      <c r="GW42" s="576"/>
      <c r="GX42" s="576"/>
      <c r="GY42" s="576"/>
      <c r="GZ42" s="575"/>
      <c r="HA42" s="497"/>
      <c r="HB42" s="497"/>
      <c r="HC42" s="527"/>
      <c r="HD42" s="527"/>
    </row>
    <row r="43" spans="1:219" ht="20.100000000000001" customHeight="1">
      <c r="A43" s="821"/>
      <c r="B43" s="901" t="s">
        <v>425</v>
      </c>
      <c r="C43" s="902"/>
      <c r="D43" s="902"/>
      <c r="E43" s="902"/>
      <c r="F43" s="903"/>
      <c r="G43" s="687"/>
      <c r="H43" s="904">
        <v>0</v>
      </c>
      <c r="I43" s="688"/>
      <c r="J43" s="904">
        <v>0</v>
      </c>
      <c r="K43" s="688"/>
      <c r="L43" s="904">
        <v>0</v>
      </c>
      <c r="M43" s="688"/>
      <c r="N43" s="904">
        <v>0</v>
      </c>
      <c r="O43" s="688"/>
      <c r="P43" s="904">
        <v>0</v>
      </c>
      <c r="Q43" s="688"/>
      <c r="R43" s="904">
        <v>0</v>
      </c>
      <c r="S43" s="688"/>
      <c r="T43" s="904">
        <v>0</v>
      </c>
      <c r="U43" s="688"/>
      <c r="V43" s="904">
        <v>0</v>
      </c>
      <c r="W43" s="905"/>
      <c r="X43" s="904">
        <v>0</v>
      </c>
      <c r="Y43" s="688"/>
      <c r="Z43" s="904">
        <v>0</v>
      </c>
      <c r="AA43" s="688"/>
      <c r="AB43" s="904">
        <v>0</v>
      </c>
      <c r="AC43" s="688"/>
      <c r="AD43" s="904">
        <v>0</v>
      </c>
      <c r="AE43" s="688"/>
      <c r="AF43" s="904">
        <v>0</v>
      </c>
      <c r="AG43" s="688"/>
      <c r="AH43" s="904">
        <v>0</v>
      </c>
      <c r="AI43" s="688"/>
      <c r="AJ43" s="904">
        <v>0</v>
      </c>
      <c r="AK43" s="688"/>
      <c r="AL43" s="904">
        <v>0</v>
      </c>
      <c r="AM43" s="688"/>
      <c r="AN43" s="904">
        <v>0</v>
      </c>
      <c r="AO43" s="688"/>
      <c r="AP43" s="904">
        <v>0</v>
      </c>
      <c r="AQ43" s="688"/>
      <c r="AR43" s="904">
        <v>0</v>
      </c>
      <c r="AS43" s="688"/>
      <c r="AT43" s="904">
        <v>0</v>
      </c>
      <c r="AU43" s="688"/>
      <c r="AV43" s="904">
        <v>0</v>
      </c>
      <c r="AW43" s="688"/>
      <c r="AX43" s="904">
        <v>0</v>
      </c>
      <c r="AY43" s="688"/>
      <c r="AZ43" s="904">
        <v>0</v>
      </c>
      <c r="BA43" s="688"/>
      <c r="BB43" s="871">
        <v>0</v>
      </c>
      <c r="BC43" s="559"/>
      <c r="BD43" s="821"/>
      <c r="BE43" s="906" t="s">
        <v>425</v>
      </c>
      <c r="BF43" s="902"/>
      <c r="BG43" s="902"/>
      <c r="BH43" s="902"/>
      <c r="BI43" s="903"/>
      <c r="BJ43" s="687"/>
      <c r="BK43" s="904">
        <v>0</v>
      </c>
      <c r="BL43" s="688"/>
      <c r="BM43" s="904">
        <v>0</v>
      </c>
      <c r="BN43" s="688"/>
      <c r="BO43" s="904">
        <v>0</v>
      </c>
      <c r="BP43" s="688"/>
      <c r="BQ43" s="904">
        <v>0</v>
      </c>
      <c r="BR43" s="688"/>
      <c r="BS43" s="904">
        <v>0</v>
      </c>
      <c r="BT43" s="688"/>
      <c r="BU43" s="904">
        <v>0</v>
      </c>
      <c r="BV43" s="688"/>
      <c r="BW43" s="904">
        <v>0</v>
      </c>
      <c r="BX43" s="688"/>
      <c r="BY43" s="904">
        <v>0</v>
      </c>
      <c r="BZ43" s="905"/>
      <c r="CA43" s="904">
        <v>0</v>
      </c>
      <c r="CB43" s="688"/>
      <c r="CC43" s="904">
        <v>0</v>
      </c>
      <c r="CD43" s="688"/>
      <c r="CE43" s="904">
        <v>0</v>
      </c>
      <c r="CF43" s="688"/>
      <c r="CG43" s="904">
        <v>0</v>
      </c>
      <c r="CH43" s="688"/>
      <c r="CI43" s="904">
        <v>0</v>
      </c>
      <c r="CJ43" s="688"/>
      <c r="CK43" s="904">
        <v>0</v>
      </c>
      <c r="CL43" s="688"/>
      <c r="CM43" s="904">
        <v>0</v>
      </c>
      <c r="CN43" s="688"/>
      <c r="CO43" s="904">
        <v>0</v>
      </c>
      <c r="CP43" s="688"/>
      <c r="CQ43" s="904">
        <v>0</v>
      </c>
      <c r="CR43" s="688"/>
      <c r="CS43" s="904">
        <v>0</v>
      </c>
      <c r="CT43" s="688"/>
      <c r="CU43" s="904">
        <v>0</v>
      </c>
      <c r="CV43" s="688"/>
      <c r="CW43" s="904">
        <v>0</v>
      </c>
      <c r="CX43" s="688"/>
      <c r="CY43" s="904">
        <v>0</v>
      </c>
      <c r="CZ43" s="688"/>
      <c r="DA43" s="904">
        <v>0</v>
      </c>
      <c r="DB43" s="688"/>
      <c r="DC43" s="904">
        <v>0</v>
      </c>
      <c r="DD43" s="688"/>
      <c r="DE43" s="871">
        <v>0</v>
      </c>
      <c r="DF43" s="559"/>
      <c r="DG43" s="821"/>
      <c r="DH43" s="906" t="s">
        <v>425</v>
      </c>
      <c r="DI43" s="902"/>
      <c r="DJ43" s="902"/>
      <c r="DK43" s="902"/>
      <c r="DL43" s="903"/>
      <c r="DM43" s="687"/>
      <c r="DN43" s="904">
        <v>0</v>
      </c>
      <c r="DO43" s="688"/>
      <c r="DP43" s="904">
        <v>0</v>
      </c>
      <c r="DQ43" s="688"/>
      <c r="DR43" s="904">
        <v>0</v>
      </c>
      <c r="DS43" s="688"/>
      <c r="DT43" s="904">
        <v>0</v>
      </c>
      <c r="DU43" s="688"/>
      <c r="DV43" s="904">
        <v>0</v>
      </c>
      <c r="DW43" s="688"/>
      <c r="DX43" s="904">
        <v>0</v>
      </c>
      <c r="DY43" s="688"/>
      <c r="DZ43" s="904">
        <v>0</v>
      </c>
      <c r="EA43" s="688"/>
      <c r="EB43" s="904">
        <v>0</v>
      </c>
      <c r="EC43" s="905"/>
      <c r="ED43" s="904">
        <v>0</v>
      </c>
      <c r="EE43" s="688"/>
      <c r="EF43" s="904">
        <v>0</v>
      </c>
      <c r="EG43" s="688"/>
      <c r="EH43" s="904">
        <v>0</v>
      </c>
      <c r="EI43" s="688"/>
      <c r="EJ43" s="904">
        <v>0</v>
      </c>
      <c r="EK43" s="688"/>
      <c r="EL43" s="904">
        <v>0</v>
      </c>
      <c r="EM43" s="688"/>
      <c r="EN43" s="904">
        <v>0</v>
      </c>
      <c r="EO43" s="688"/>
      <c r="EP43" s="904">
        <v>0</v>
      </c>
      <c r="EQ43" s="688"/>
      <c r="ER43" s="904">
        <v>0</v>
      </c>
      <c r="ES43" s="688"/>
      <c r="ET43" s="904">
        <v>0</v>
      </c>
      <c r="EU43" s="688"/>
      <c r="EV43" s="904">
        <v>0</v>
      </c>
      <c r="EW43" s="688"/>
      <c r="EX43" s="904">
        <v>0</v>
      </c>
      <c r="EY43" s="688"/>
      <c r="EZ43" s="904">
        <v>0</v>
      </c>
      <c r="FA43" s="688"/>
      <c r="FB43" s="904">
        <v>0</v>
      </c>
      <c r="FC43" s="688"/>
      <c r="FD43" s="904">
        <v>0</v>
      </c>
      <c r="FE43" s="688"/>
      <c r="FF43" s="904">
        <v>0</v>
      </c>
      <c r="FG43" s="688"/>
      <c r="FH43" s="871">
        <v>0</v>
      </c>
      <c r="FI43" s="560"/>
      <c r="FJ43" s="830"/>
      <c r="FK43" s="906" t="s">
        <v>425</v>
      </c>
      <c r="FL43" s="902"/>
      <c r="FM43" s="902"/>
      <c r="FN43" s="902"/>
      <c r="FO43" s="903"/>
      <c r="FP43" s="689"/>
      <c r="FQ43" s="690"/>
      <c r="FR43" s="584">
        <v>0</v>
      </c>
      <c r="FS43" s="691"/>
      <c r="FT43" s="690"/>
      <c r="FU43" s="589">
        <v>0</v>
      </c>
      <c r="FV43" s="907"/>
      <c r="FW43" s="908"/>
      <c r="FX43" s="909"/>
      <c r="FY43" s="910"/>
      <c r="FZ43" s="911"/>
      <c r="GA43" s="912"/>
      <c r="GB43" s="913"/>
      <c r="GC43" s="914"/>
      <c r="GD43" s="913"/>
      <c r="GE43" s="915"/>
      <c r="GF43" s="681"/>
      <c r="GG43" s="599"/>
      <c r="GH43" s="599"/>
      <c r="GI43" s="599"/>
      <c r="GJ43" s="916"/>
      <c r="GK43" s="917" t="s">
        <v>500</v>
      </c>
      <c r="GL43" s="918"/>
      <c r="GM43" s="919" t="s">
        <v>501</v>
      </c>
      <c r="GN43" s="919"/>
      <c r="GO43" s="919" t="s">
        <v>502</v>
      </c>
      <c r="GP43" s="919"/>
      <c r="GQ43" s="919"/>
      <c r="GR43" s="920"/>
      <c r="GS43" s="577"/>
      <c r="GT43" s="606"/>
      <c r="GU43" s="527" t="s">
        <v>472</v>
      </c>
      <c r="GV43" s="414"/>
      <c r="GW43" s="410"/>
      <c r="GX43" s="414"/>
      <c r="GY43" s="414"/>
      <c r="GZ43" s="414"/>
      <c r="HA43" s="410"/>
      <c r="HB43" s="414"/>
      <c r="HC43" s="921"/>
      <c r="HD43" s="416"/>
    </row>
    <row r="44" spans="1:219" ht="20.100000000000001" customHeight="1" thickBot="1">
      <c r="A44" s="922"/>
      <c r="B44" s="639"/>
      <c r="C44" s="639"/>
      <c r="D44" s="640" t="s">
        <v>426</v>
      </c>
      <c r="E44" s="639"/>
      <c r="F44" s="639"/>
      <c r="G44" s="834"/>
      <c r="H44" s="835">
        <v>0</v>
      </c>
      <c r="I44" s="836"/>
      <c r="J44" s="837">
        <v>0</v>
      </c>
      <c r="K44" s="838"/>
      <c r="L44" s="837">
        <v>0</v>
      </c>
      <c r="M44" s="838"/>
      <c r="N44" s="837">
        <v>0</v>
      </c>
      <c r="O44" s="838"/>
      <c r="P44" s="837">
        <v>0</v>
      </c>
      <c r="Q44" s="838"/>
      <c r="R44" s="837">
        <v>0</v>
      </c>
      <c r="S44" s="838"/>
      <c r="T44" s="837">
        <v>0</v>
      </c>
      <c r="U44" s="838"/>
      <c r="V44" s="837">
        <v>0</v>
      </c>
      <c r="W44" s="838"/>
      <c r="X44" s="837">
        <v>1589</v>
      </c>
      <c r="Y44" s="838"/>
      <c r="Z44" s="837">
        <v>1025</v>
      </c>
      <c r="AA44" s="838"/>
      <c r="AB44" s="837">
        <v>1003</v>
      </c>
      <c r="AC44" s="838"/>
      <c r="AD44" s="837">
        <v>975</v>
      </c>
      <c r="AE44" s="838"/>
      <c r="AF44" s="837">
        <v>959</v>
      </c>
      <c r="AG44" s="838"/>
      <c r="AH44" s="837">
        <v>937</v>
      </c>
      <c r="AI44" s="838"/>
      <c r="AJ44" s="837">
        <v>921</v>
      </c>
      <c r="AK44" s="838"/>
      <c r="AL44" s="837">
        <v>904</v>
      </c>
      <c r="AM44" s="838"/>
      <c r="AN44" s="837">
        <v>888</v>
      </c>
      <c r="AO44" s="838"/>
      <c r="AP44" s="837">
        <v>871</v>
      </c>
      <c r="AQ44" s="838"/>
      <c r="AR44" s="837">
        <v>0</v>
      </c>
      <c r="AS44" s="838"/>
      <c r="AT44" s="837">
        <v>0</v>
      </c>
      <c r="AU44" s="838"/>
      <c r="AV44" s="837">
        <v>0</v>
      </c>
      <c r="AW44" s="838"/>
      <c r="AX44" s="837">
        <v>0</v>
      </c>
      <c r="AY44" s="838"/>
      <c r="AZ44" s="837">
        <v>0</v>
      </c>
      <c r="BA44" s="838"/>
      <c r="BB44" s="839">
        <v>0</v>
      </c>
      <c r="BC44" s="645"/>
      <c r="BD44" s="922"/>
      <c r="BE44" s="639"/>
      <c r="BF44" s="639"/>
      <c r="BG44" s="640" t="s">
        <v>426</v>
      </c>
      <c r="BH44" s="639"/>
      <c r="BI44" s="639"/>
      <c r="BJ44" s="834"/>
      <c r="BK44" s="835">
        <v>0</v>
      </c>
      <c r="BL44" s="836"/>
      <c r="BM44" s="837">
        <v>0</v>
      </c>
      <c r="BN44" s="838"/>
      <c r="BO44" s="837">
        <v>0</v>
      </c>
      <c r="BP44" s="838"/>
      <c r="BQ44" s="837">
        <v>0</v>
      </c>
      <c r="BR44" s="838"/>
      <c r="BS44" s="837">
        <v>0</v>
      </c>
      <c r="BT44" s="838"/>
      <c r="BU44" s="837">
        <v>0</v>
      </c>
      <c r="BV44" s="838"/>
      <c r="BW44" s="837">
        <v>0</v>
      </c>
      <c r="BX44" s="838"/>
      <c r="BY44" s="837">
        <v>0</v>
      </c>
      <c r="BZ44" s="838"/>
      <c r="CA44" s="837">
        <v>1589</v>
      </c>
      <c r="CB44" s="838"/>
      <c r="CC44" s="837">
        <v>1025</v>
      </c>
      <c r="CD44" s="838"/>
      <c r="CE44" s="837">
        <v>1003</v>
      </c>
      <c r="CF44" s="838"/>
      <c r="CG44" s="837">
        <v>975</v>
      </c>
      <c r="CH44" s="838"/>
      <c r="CI44" s="837">
        <v>959</v>
      </c>
      <c r="CJ44" s="838"/>
      <c r="CK44" s="837">
        <v>937</v>
      </c>
      <c r="CL44" s="838"/>
      <c r="CM44" s="837">
        <v>921</v>
      </c>
      <c r="CN44" s="838"/>
      <c r="CO44" s="837">
        <v>904</v>
      </c>
      <c r="CP44" s="838"/>
      <c r="CQ44" s="837">
        <v>888</v>
      </c>
      <c r="CR44" s="838"/>
      <c r="CS44" s="837">
        <v>871</v>
      </c>
      <c r="CT44" s="838"/>
      <c r="CU44" s="837">
        <v>0</v>
      </c>
      <c r="CV44" s="838"/>
      <c r="CW44" s="837">
        <v>0</v>
      </c>
      <c r="CX44" s="838"/>
      <c r="CY44" s="837">
        <v>0</v>
      </c>
      <c r="CZ44" s="838"/>
      <c r="DA44" s="837">
        <v>0</v>
      </c>
      <c r="DB44" s="838"/>
      <c r="DC44" s="837">
        <v>0</v>
      </c>
      <c r="DD44" s="838"/>
      <c r="DE44" s="839">
        <v>0</v>
      </c>
      <c r="DF44" s="645"/>
      <c r="DG44" s="922"/>
      <c r="DH44" s="639"/>
      <c r="DI44" s="639"/>
      <c r="DJ44" s="640" t="s">
        <v>426</v>
      </c>
      <c r="DK44" s="639"/>
      <c r="DL44" s="639"/>
      <c r="DM44" s="834"/>
      <c r="DN44" s="835">
        <v>0</v>
      </c>
      <c r="DO44" s="836"/>
      <c r="DP44" s="837">
        <v>0</v>
      </c>
      <c r="DQ44" s="838"/>
      <c r="DR44" s="837">
        <v>0</v>
      </c>
      <c r="DS44" s="838"/>
      <c r="DT44" s="837">
        <v>0</v>
      </c>
      <c r="DU44" s="838"/>
      <c r="DV44" s="837">
        <v>0</v>
      </c>
      <c r="DW44" s="838"/>
      <c r="DX44" s="837">
        <v>0</v>
      </c>
      <c r="DY44" s="838"/>
      <c r="DZ44" s="837">
        <v>0</v>
      </c>
      <c r="EA44" s="838"/>
      <c r="EB44" s="837">
        <v>0</v>
      </c>
      <c r="EC44" s="838"/>
      <c r="ED44" s="837">
        <v>1589</v>
      </c>
      <c r="EE44" s="838"/>
      <c r="EF44" s="837">
        <v>1025</v>
      </c>
      <c r="EG44" s="838"/>
      <c r="EH44" s="837">
        <v>1003</v>
      </c>
      <c r="EI44" s="838"/>
      <c r="EJ44" s="837">
        <v>975</v>
      </c>
      <c r="EK44" s="838"/>
      <c r="EL44" s="837">
        <v>959</v>
      </c>
      <c r="EM44" s="838"/>
      <c r="EN44" s="837">
        <v>937</v>
      </c>
      <c r="EO44" s="838"/>
      <c r="EP44" s="837">
        <v>921</v>
      </c>
      <c r="EQ44" s="838"/>
      <c r="ER44" s="837">
        <v>904</v>
      </c>
      <c r="ES44" s="838"/>
      <c r="ET44" s="837">
        <v>888</v>
      </c>
      <c r="EU44" s="838"/>
      <c r="EV44" s="837">
        <v>871</v>
      </c>
      <c r="EW44" s="838"/>
      <c r="EX44" s="837">
        <v>0</v>
      </c>
      <c r="EY44" s="838"/>
      <c r="EZ44" s="837">
        <v>0</v>
      </c>
      <c r="FA44" s="838"/>
      <c r="FB44" s="837">
        <v>0</v>
      </c>
      <c r="FC44" s="838"/>
      <c r="FD44" s="837">
        <v>0</v>
      </c>
      <c r="FE44" s="838"/>
      <c r="FF44" s="837">
        <v>0</v>
      </c>
      <c r="FG44" s="838"/>
      <c r="FH44" s="839">
        <v>0</v>
      </c>
      <c r="FI44" s="646"/>
      <c r="FJ44" s="923"/>
      <c r="FK44" s="639"/>
      <c r="FL44" s="639"/>
      <c r="FM44" s="640" t="s">
        <v>426</v>
      </c>
      <c r="FN44" s="639"/>
      <c r="FO44" s="639"/>
      <c r="FP44" s="647"/>
      <c r="FQ44" s="836"/>
      <c r="FR44" s="835">
        <v>2729</v>
      </c>
      <c r="FS44" s="840"/>
      <c r="FT44" s="836"/>
      <c r="FU44" s="841">
        <v>2729</v>
      </c>
      <c r="FV44" s="590" t="s">
        <v>327</v>
      </c>
      <c r="FW44" s="591"/>
      <c r="FX44" s="799" t="s">
        <v>328</v>
      </c>
      <c r="FY44" s="593"/>
      <c r="FZ44" s="800" t="s">
        <v>329</v>
      </c>
      <c r="GA44" s="595"/>
      <c r="GB44" s="801" t="s">
        <v>330</v>
      </c>
      <c r="GC44" s="597"/>
      <c r="GD44" s="801" t="s">
        <v>331</v>
      </c>
      <c r="GE44" s="598"/>
      <c r="GF44" s="651"/>
      <c r="GG44" s="652"/>
      <c r="GH44" s="652"/>
      <c r="GI44" s="652"/>
      <c r="GJ44" s="527"/>
      <c r="GK44" s="897"/>
      <c r="GL44" s="898"/>
      <c r="GM44" s="924">
        <v>6.2</v>
      </c>
      <c r="GN44" s="924"/>
      <c r="GO44" s="924">
        <v>13</v>
      </c>
      <c r="GP44" s="924"/>
      <c r="GQ44" s="899">
        <v>19.2</v>
      </c>
      <c r="GR44" s="900"/>
      <c r="GS44" s="925"/>
      <c r="GT44" s="926"/>
      <c r="GU44" s="527" t="s">
        <v>503</v>
      </c>
      <c r="GV44" s="612"/>
      <c r="GW44" s="612"/>
      <c r="GX44" s="612"/>
      <c r="GY44" s="414"/>
      <c r="GZ44" s="414"/>
      <c r="HA44" s="744">
        <v>1.5</v>
      </c>
      <c r="HB44" s="414" t="s">
        <v>475</v>
      </c>
      <c r="HC44" s="927"/>
      <c r="HD44" s="416"/>
    </row>
    <row r="45" spans="1:219" ht="20.100000000000001" customHeight="1" thickTop="1">
      <c r="A45" s="928" t="s">
        <v>427</v>
      </c>
      <c r="B45" s="929"/>
      <c r="C45" s="929"/>
      <c r="D45" s="929"/>
      <c r="E45" s="929"/>
      <c r="F45" s="930"/>
      <c r="G45" s="931"/>
      <c r="H45" s="932">
        <v>0</v>
      </c>
      <c r="I45" s="933"/>
      <c r="J45" s="932">
        <v>0</v>
      </c>
      <c r="K45" s="933"/>
      <c r="L45" s="932">
        <v>0</v>
      </c>
      <c r="M45" s="933"/>
      <c r="N45" s="932">
        <v>0</v>
      </c>
      <c r="O45" s="933"/>
      <c r="P45" s="932">
        <v>0</v>
      </c>
      <c r="Q45" s="933"/>
      <c r="R45" s="932">
        <v>0</v>
      </c>
      <c r="S45" s="933"/>
      <c r="T45" s="932">
        <v>0</v>
      </c>
      <c r="U45" s="933"/>
      <c r="V45" s="932">
        <v>0</v>
      </c>
      <c r="W45" s="933"/>
      <c r="X45" s="932">
        <v>4760</v>
      </c>
      <c r="Y45" s="933"/>
      <c r="Z45" s="932">
        <v>4450</v>
      </c>
      <c r="AA45" s="933"/>
      <c r="AB45" s="932">
        <v>4703</v>
      </c>
      <c r="AC45" s="933"/>
      <c r="AD45" s="932">
        <v>4861</v>
      </c>
      <c r="AE45" s="933"/>
      <c r="AF45" s="932">
        <v>5311</v>
      </c>
      <c r="AG45" s="933"/>
      <c r="AH45" s="932">
        <v>5324</v>
      </c>
      <c r="AI45" s="933"/>
      <c r="AJ45" s="932">
        <v>5074</v>
      </c>
      <c r="AK45" s="933"/>
      <c r="AL45" s="932">
        <v>4710</v>
      </c>
      <c r="AM45" s="933"/>
      <c r="AN45" s="932">
        <v>4246</v>
      </c>
      <c r="AO45" s="933"/>
      <c r="AP45" s="932">
        <v>3821</v>
      </c>
      <c r="AQ45" s="933"/>
      <c r="AR45" s="932">
        <v>0</v>
      </c>
      <c r="AS45" s="933"/>
      <c r="AT45" s="932">
        <v>0</v>
      </c>
      <c r="AU45" s="933"/>
      <c r="AV45" s="932">
        <v>0</v>
      </c>
      <c r="AW45" s="933"/>
      <c r="AX45" s="932">
        <v>0</v>
      </c>
      <c r="AY45" s="933"/>
      <c r="AZ45" s="932">
        <v>0</v>
      </c>
      <c r="BA45" s="933"/>
      <c r="BB45" s="934">
        <v>0</v>
      </c>
      <c r="BC45" s="645"/>
      <c r="BD45" s="928" t="s">
        <v>427</v>
      </c>
      <c r="BE45" s="929"/>
      <c r="BF45" s="929"/>
      <c r="BG45" s="929"/>
      <c r="BH45" s="929"/>
      <c r="BI45" s="930"/>
      <c r="BJ45" s="931"/>
      <c r="BK45" s="932">
        <v>0</v>
      </c>
      <c r="BL45" s="933"/>
      <c r="BM45" s="932">
        <v>0</v>
      </c>
      <c r="BN45" s="933"/>
      <c r="BO45" s="932">
        <v>0</v>
      </c>
      <c r="BP45" s="933"/>
      <c r="BQ45" s="932">
        <v>0</v>
      </c>
      <c r="BR45" s="933"/>
      <c r="BS45" s="932">
        <v>0</v>
      </c>
      <c r="BT45" s="933"/>
      <c r="BU45" s="932">
        <v>0</v>
      </c>
      <c r="BV45" s="933"/>
      <c r="BW45" s="932">
        <v>0</v>
      </c>
      <c r="BX45" s="933"/>
      <c r="BY45" s="932">
        <v>0</v>
      </c>
      <c r="BZ45" s="933"/>
      <c r="CA45" s="932">
        <v>4654</v>
      </c>
      <c r="CB45" s="933"/>
      <c r="CC45" s="932">
        <v>4278</v>
      </c>
      <c r="CD45" s="933"/>
      <c r="CE45" s="932">
        <v>4619</v>
      </c>
      <c r="CF45" s="933"/>
      <c r="CG45" s="932">
        <v>4930</v>
      </c>
      <c r="CH45" s="933"/>
      <c r="CI45" s="932">
        <v>5492</v>
      </c>
      <c r="CJ45" s="933"/>
      <c r="CK45" s="932">
        <v>5559</v>
      </c>
      <c r="CL45" s="933"/>
      <c r="CM45" s="932">
        <v>5377</v>
      </c>
      <c r="CN45" s="933"/>
      <c r="CO45" s="932">
        <v>4983</v>
      </c>
      <c r="CP45" s="933"/>
      <c r="CQ45" s="932">
        <v>4484</v>
      </c>
      <c r="CR45" s="933"/>
      <c r="CS45" s="932">
        <v>3889</v>
      </c>
      <c r="CT45" s="933"/>
      <c r="CU45" s="932">
        <v>0</v>
      </c>
      <c r="CV45" s="933"/>
      <c r="CW45" s="932">
        <v>0</v>
      </c>
      <c r="CX45" s="933"/>
      <c r="CY45" s="932">
        <v>0</v>
      </c>
      <c r="CZ45" s="933"/>
      <c r="DA45" s="932">
        <v>0</v>
      </c>
      <c r="DB45" s="933"/>
      <c r="DC45" s="932">
        <v>0</v>
      </c>
      <c r="DD45" s="933"/>
      <c r="DE45" s="934">
        <v>0</v>
      </c>
      <c r="DF45" s="645"/>
      <c r="DG45" s="928" t="s">
        <v>427</v>
      </c>
      <c r="DH45" s="929"/>
      <c r="DI45" s="929"/>
      <c r="DJ45" s="929"/>
      <c r="DK45" s="929"/>
      <c r="DL45" s="930"/>
      <c r="DM45" s="931"/>
      <c r="DN45" s="932">
        <v>0</v>
      </c>
      <c r="DO45" s="933"/>
      <c r="DP45" s="932">
        <v>0</v>
      </c>
      <c r="DQ45" s="933"/>
      <c r="DR45" s="932">
        <v>0</v>
      </c>
      <c r="DS45" s="933"/>
      <c r="DT45" s="932">
        <v>0</v>
      </c>
      <c r="DU45" s="933"/>
      <c r="DV45" s="932">
        <v>0</v>
      </c>
      <c r="DW45" s="933"/>
      <c r="DX45" s="932">
        <v>0</v>
      </c>
      <c r="DY45" s="933"/>
      <c r="DZ45" s="932">
        <v>0</v>
      </c>
      <c r="EA45" s="933"/>
      <c r="EB45" s="932">
        <v>0</v>
      </c>
      <c r="EC45" s="933"/>
      <c r="ED45" s="932">
        <v>4213</v>
      </c>
      <c r="EE45" s="933"/>
      <c r="EF45" s="932">
        <v>4225</v>
      </c>
      <c r="EG45" s="933"/>
      <c r="EH45" s="932">
        <v>5084</v>
      </c>
      <c r="EI45" s="933"/>
      <c r="EJ45" s="932">
        <v>5491</v>
      </c>
      <c r="EK45" s="933"/>
      <c r="EL45" s="932">
        <v>5965</v>
      </c>
      <c r="EM45" s="933"/>
      <c r="EN45" s="932">
        <v>5933</v>
      </c>
      <c r="EO45" s="933"/>
      <c r="EP45" s="932">
        <v>5599</v>
      </c>
      <c r="EQ45" s="933"/>
      <c r="ER45" s="932">
        <v>4997</v>
      </c>
      <c r="ES45" s="933"/>
      <c r="ET45" s="932">
        <v>4199</v>
      </c>
      <c r="EU45" s="933"/>
      <c r="EV45" s="932">
        <v>3437</v>
      </c>
      <c r="EW45" s="933"/>
      <c r="EX45" s="932">
        <v>0</v>
      </c>
      <c r="EY45" s="933"/>
      <c r="EZ45" s="932">
        <v>0</v>
      </c>
      <c r="FA45" s="933"/>
      <c r="FB45" s="932">
        <v>0</v>
      </c>
      <c r="FC45" s="933"/>
      <c r="FD45" s="932">
        <v>0</v>
      </c>
      <c r="FE45" s="933"/>
      <c r="FF45" s="932">
        <v>0</v>
      </c>
      <c r="FG45" s="933"/>
      <c r="FH45" s="934">
        <v>0</v>
      </c>
      <c r="FI45" s="645"/>
      <c r="FJ45" s="928" t="s">
        <v>427</v>
      </c>
      <c r="FK45" s="929"/>
      <c r="FL45" s="929"/>
      <c r="FM45" s="929"/>
      <c r="FN45" s="929"/>
      <c r="FO45" s="930"/>
      <c r="FP45" s="935"/>
      <c r="FQ45" s="936"/>
      <c r="FR45" s="932">
        <v>6209</v>
      </c>
      <c r="FS45" s="937"/>
      <c r="FT45" s="936"/>
      <c r="FU45" s="938">
        <v>6289</v>
      </c>
      <c r="FV45" s="590"/>
      <c r="FW45" s="591"/>
      <c r="FX45" s="799"/>
      <c r="FY45" s="593"/>
      <c r="FZ45" s="800"/>
      <c r="GA45" s="595"/>
      <c r="GB45" s="801"/>
      <c r="GC45" s="597"/>
      <c r="GD45" s="801"/>
      <c r="GE45" s="598"/>
      <c r="GF45" s="651"/>
      <c r="GG45" s="652"/>
      <c r="GH45" s="652"/>
      <c r="GI45" s="652"/>
      <c r="GJ45" s="497"/>
      <c r="GK45" s="939"/>
      <c r="GL45" s="939"/>
      <c r="GM45" s="940"/>
      <c r="GN45" s="940"/>
      <c r="GO45" s="941"/>
      <c r="GP45" s="939"/>
      <c r="GQ45" s="939"/>
      <c r="GR45" s="939"/>
      <c r="GS45" s="942"/>
      <c r="GT45" s="850"/>
      <c r="GU45" s="527" t="s">
        <v>504</v>
      </c>
      <c r="GV45" s="414"/>
      <c r="GW45" s="414"/>
      <c r="GX45" s="414"/>
      <c r="GY45" s="527"/>
      <c r="GZ45" s="726"/>
      <c r="HA45" s="744">
        <v>22</v>
      </c>
      <c r="HB45" s="414" t="s">
        <v>475</v>
      </c>
      <c r="HC45" s="927"/>
      <c r="HD45" s="416"/>
    </row>
    <row r="46" spans="1:219" ht="20.100000000000001" customHeight="1">
      <c r="A46" s="943" t="s">
        <v>428</v>
      </c>
      <c r="B46" s="944"/>
      <c r="C46" s="944"/>
      <c r="D46" s="944"/>
      <c r="E46" s="944"/>
      <c r="F46" s="945"/>
      <c r="G46" s="946" t="s">
        <v>429</v>
      </c>
      <c r="H46" s="947"/>
      <c r="I46" s="948" t="s">
        <v>429</v>
      </c>
      <c r="J46" s="947"/>
      <c r="K46" s="948" t="s">
        <v>429</v>
      </c>
      <c r="L46" s="947"/>
      <c r="M46" s="948" t="s">
        <v>429</v>
      </c>
      <c r="N46" s="947"/>
      <c r="O46" s="948" t="s">
        <v>429</v>
      </c>
      <c r="P46" s="947"/>
      <c r="Q46" s="948" t="s">
        <v>429</v>
      </c>
      <c r="R46" s="947"/>
      <c r="S46" s="948" t="s">
        <v>429</v>
      </c>
      <c r="T46" s="947"/>
      <c r="U46" s="948" t="s">
        <v>429</v>
      </c>
      <c r="V46" s="947"/>
      <c r="W46" s="948" t="s">
        <v>429</v>
      </c>
      <c r="X46" s="947"/>
      <c r="Y46" s="948" t="s">
        <v>429</v>
      </c>
      <c r="Z46" s="947"/>
      <c r="AA46" s="948" t="s">
        <v>429</v>
      </c>
      <c r="AB46" s="947"/>
      <c r="AC46" s="948" t="s">
        <v>429</v>
      </c>
      <c r="AD46" s="947"/>
      <c r="AE46" s="948" t="s">
        <v>429</v>
      </c>
      <c r="AF46" s="947"/>
      <c r="AG46" s="948" t="s">
        <v>429</v>
      </c>
      <c r="AH46" s="947"/>
      <c r="AI46" s="948" t="s">
        <v>429</v>
      </c>
      <c r="AJ46" s="947"/>
      <c r="AK46" s="948" t="s">
        <v>429</v>
      </c>
      <c r="AL46" s="947"/>
      <c r="AM46" s="948" t="s">
        <v>429</v>
      </c>
      <c r="AN46" s="947"/>
      <c r="AO46" s="948" t="s">
        <v>429</v>
      </c>
      <c r="AP46" s="947"/>
      <c r="AQ46" s="948" t="s">
        <v>429</v>
      </c>
      <c r="AR46" s="947"/>
      <c r="AS46" s="948" t="s">
        <v>429</v>
      </c>
      <c r="AT46" s="947"/>
      <c r="AU46" s="948" t="s">
        <v>429</v>
      </c>
      <c r="AV46" s="947"/>
      <c r="AW46" s="948" t="s">
        <v>429</v>
      </c>
      <c r="AX46" s="947"/>
      <c r="AY46" s="948" t="s">
        <v>429</v>
      </c>
      <c r="AZ46" s="949"/>
      <c r="BA46" s="950" t="s">
        <v>429</v>
      </c>
      <c r="BB46" s="951"/>
      <c r="BC46" s="952"/>
      <c r="BD46" s="943" t="s">
        <v>430</v>
      </c>
      <c r="BE46" s="944"/>
      <c r="BF46" s="944"/>
      <c r="BG46" s="944"/>
      <c r="BH46" s="944"/>
      <c r="BI46" s="945"/>
      <c r="BJ46" s="946" t="s">
        <v>429</v>
      </c>
      <c r="BK46" s="947"/>
      <c r="BL46" s="948" t="s">
        <v>429</v>
      </c>
      <c r="BM46" s="947"/>
      <c r="BN46" s="948" t="s">
        <v>429</v>
      </c>
      <c r="BO46" s="947"/>
      <c r="BP46" s="948" t="s">
        <v>429</v>
      </c>
      <c r="BQ46" s="947"/>
      <c r="BR46" s="948" t="s">
        <v>429</v>
      </c>
      <c r="BS46" s="947"/>
      <c r="BT46" s="948" t="s">
        <v>429</v>
      </c>
      <c r="BU46" s="947"/>
      <c r="BV46" s="948" t="s">
        <v>429</v>
      </c>
      <c r="BW46" s="947"/>
      <c r="BX46" s="948" t="s">
        <v>429</v>
      </c>
      <c r="BY46" s="947"/>
      <c r="BZ46" s="948" t="s">
        <v>429</v>
      </c>
      <c r="CA46" s="947"/>
      <c r="CB46" s="948" t="s">
        <v>429</v>
      </c>
      <c r="CC46" s="947"/>
      <c r="CD46" s="948" t="s">
        <v>429</v>
      </c>
      <c r="CE46" s="947"/>
      <c r="CF46" s="948" t="s">
        <v>429</v>
      </c>
      <c r="CG46" s="947"/>
      <c r="CH46" s="948" t="s">
        <v>429</v>
      </c>
      <c r="CI46" s="947"/>
      <c r="CJ46" s="948" t="s">
        <v>429</v>
      </c>
      <c r="CK46" s="947"/>
      <c r="CL46" s="948" t="s">
        <v>429</v>
      </c>
      <c r="CM46" s="947"/>
      <c r="CN46" s="948" t="s">
        <v>429</v>
      </c>
      <c r="CO46" s="947"/>
      <c r="CP46" s="948" t="s">
        <v>429</v>
      </c>
      <c r="CQ46" s="947"/>
      <c r="CR46" s="948" t="s">
        <v>429</v>
      </c>
      <c r="CS46" s="947"/>
      <c r="CT46" s="948" t="s">
        <v>429</v>
      </c>
      <c r="CU46" s="947"/>
      <c r="CV46" s="948" t="s">
        <v>429</v>
      </c>
      <c r="CW46" s="947"/>
      <c r="CX46" s="948" t="s">
        <v>429</v>
      </c>
      <c r="CY46" s="947"/>
      <c r="CZ46" s="948" t="s">
        <v>429</v>
      </c>
      <c r="DA46" s="947"/>
      <c r="DB46" s="948" t="s">
        <v>429</v>
      </c>
      <c r="DC46" s="949"/>
      <c r="DD46" s="950" t="s">
        <v>429</v>
      </c>
      <c r="DE46" s="951"/>
      <c r="DF46" s="952"/>
      <c r="DG46" s="943" t="s">
        <v>428</v>
      </c>
      <c r="DH46" s="944"/>
      <c r="DI46" s="944"/>
      <c r="DJ46" s="944"/>
      <c r="DK46" s="944"/>
      <c r="DL46" s="945"/>
      <c r="DM46" s="946" t="s">
        <v>429</v>
      </c>
      <c r="DN46" s="947"/>
      <c r="DO46" s="948" t="s">
        <v>429</v>
      </c>
      <c r="DP46" s="947"/>
      <c r="DQ46" s="948" t="s">
        <v>429</v>
      </c>
      <c r="DR46" s="947"/>
      <c r="DS46" s="948" t="s">
        <v>429</v>
      </c>
      <c r="DT46" s="947"/>
      <c r="DU46" s="948" t="s">
        <v>429</v>
      </c>
      <c r="DV46" s="947"/>
      <c r="DW46" s="948" t="s">
        <v>429</v>
      </c>
      <c r="DX46" s="947"/>
      <c r="DY46" s="948" t="s">
        <v>429</v>
      </c>
      <c r="DZ46" s="947"/>
      <c r="EA46" s="948" t="s">
        <v>429</v>
      </c>
      <c r="EB46" s="947"/>
      <c r="EC46" s="948" t="s">
        <v>429</v>
      </c>
      <c r="ED46" s="947"/>
      <c r="EE46" s="948" t="s">
        <v>429</v>
      </c>
      <c r="EF46" s="947"/>
      <c r="EG46" s="948" t="s">
        <v>429</v>
      </c>
      <c r="EH46" s="947"/>
      <c r="EI46" s="948" t="s">
        <v>429</v>
      </c>
      <c r="EJ46" s="947"/>
      <c r="EK46" s="948" t="s">
        <v>429</v>
      </c>
      <c r="EL46" s="947"/>
      <c r="EM46" s="948" t="s">
        <v>429</v>
      </c>
      <c r="EN46" s="947"/>
      <c r="EO46" s="948" t="s">
        <v>429</v>
      </c>
      <c r="EP46" s="947"/>
      <c r="EQ46" s="948" t="s">
        <v>429</v>
      </c>
      <c r="ER46" s="947"/>
      <c r="ES46" s="948" t="s">
        <v>429</v>
      </c>
      <c r="ET46" s="947"/>
      <c r="EU46" s="948" t="s">
        <v>429</v>
      </c>
      <c r="EV46" s="947"/>
      <c r="EW46" s="948" t="s">
        <v>429</v>
      </c>
      <c r="EX46" s="947"/>
      <c r="EY46" s="948" t="s">
        <v>429</v>
      </c>
      <c r="EZ46" s="947"/>
      <c r="FA46" s="948" t="s">
        <v>429</v>
      </c>
      <c r="FB46" s="947"/>
      <c r="FC46" s="948" t="s">
        <v>429</v>
      </c>
      <c r="FD46" s="947"/>
      <c r="FE46" s="948" t="s">
        <v>429</v>
      </c>
      <c r="FF46" s="949"/>
      <c r="FG46" s="950" t="s">
        <v>429</v>
      </c>
      <c r="FH46" s="951"/>
      <c r="FI46" s="952"/>
      <c r="FJ46" s="943" t="s">
        <v>431</v>
      </c>
      <c r="FK46" s="944"/>
      <c r="FL46" s="944"/>
      <c r="FM46" s="944"/>
      <c r="FN46" s="944"/>
      <c r="FO46" s="945"/>
      <c r="FP46" s="953"/>
      <c r="FQ46" s="954">
        <v>1</v>
      </c>
      <c r="FR46" s="947"/>
      <c r="FS46" s="955"/>
      <c r="FT46" s="956">
        <v>1</v>
      </c>
      <c r="FU46" s="957"/>
      <c r="FV46" s="907"/>
      <c r="FW46" s="908"/>
      <c r="FX46" s="909"/>
      <c r="FY46" s="910"/>
      <c r="FZ46" s="911"/>
      <c r="GA46" s="912"/>
      <c r="GB46" s="913"/>
      <c r="GC46" s="914"/>
      <c r="GD46" s="913"/>
      <c r="GE46" s="915"/>
      <c r="GF46" s="681"/>
      <c r="GG46" s="958"/>
      <c r="GH46" s="958"/>
      <c r="GI46" s="958"/>
      <c r="GJ46" s="414"/>
      <c r="GK46" s="410" t="s">
        <v>505</v>
      </c>
      <c r="GL46" s="414"/>
      <c r="GM46" s="743"/>
      <c r="GN46" s="743"/>
      <c r="GO46" s="743"/>
      <c r="GP46" s="743"/>
      <c r="GQ46" s="743"/>
      <c r="GR46" s="850"/>
      <c r="GS46" s="577"/>
      <c r="GT46" s="756"/>
      <c r="GU46" s="767" t="s">
        <v>506</v>
      </c>
      <c r="GV46" s="767"/>
      <c r="GW46" s="767"/>
      <c r="GX46" s="767"/>
      <c r="GY46" s="612"/>
      <c r="GZ46" s="768"/>
      <c r="HA46" s="744">
        <v>20.5</v>
      </c>
      <c r="HB46" s="414" t="s">
        <v>475</v>
      </c>
      <c r="HC46" s="927"/>
      <c r="HD46" s="416"/>
    </row>
    <row r="47" spans="1:219" ht="20.100000000000001" customHeight="1" thickBot="1">
      <c r="A47" s="959" t="s">
        <v>432</v>
      </c>
      <c r="B47" s="960"/>
      <c r="C47" s="960"/>
      <c r="D47" s="961"/>
      <c r="E47" s="962"/>
      <c r="F47" s="962"/>
      <c r="G47" s="963"/>
      <c r="H47" s="964">
        <v>0</v>
      </c>
      <c r="I47" s="965"/>
      <c r="J47" s="964">
        <v>0</v>
      </c>
      <c r="K47" s="965"/>
      <c r="L47" s="964">
        <v>0</v>
      </c>
      <c r="M47" s="965"/>
      <c r="N47" s="964">
        <v>0</v>
      </c>
      <c r="O47" s="965"/>
      <c r="P47" s="964">
        <v>0</v>
      </c>
      <c r="Q47" s="965"/>
      <c r="R47" s="964">
        <v>0</v>
      </c>
      <c r="S47" s="965"/>
      <c r="T47" s="964">
        <v>0</v>
      </c>
      <c r="U47" s="965"/>
      <c r="V47" s="964">
        <v>0</v>
      </c>
      <c r="W47" s="965"/>
      <c r="X47" s="964">
        <v>4998</v>
      </c>
      <c r="Y47" s="965"/>
      <c r="Z47" s="964">
        <v>4673</v>
      </c>
      <c r="AA47" s="965"/>
      <c r="AB47" s="964">
        <v>4938</v>
      </c>
      <c r="AC47" s="965"/>
      <c r="AD47" s="964">
        <v>5104</v>
      </c>
      <c r="AE47" s="965"/>
      <c r="AF47" s="964">
        <v>5577</v>
      </c>
      <c r="AG47" s="965"/>
      <c r="AH47" s="964">
        <v>5590</v>
      </c>
      <c r="AI47" s="965"/>
      <c r="AJ47" s="964">
        <v>5328</v>
      </c>
      <c r="AK47" s="965"/>
      <c r="AL47" s="964">
        <v>4946</v>
      </c>
      <c r="AM47" s="965"/>
      <c r="AN47" s="964">
        <v>4458</v>
      </c>
      <c r="AO47" s="965"/>
      <c r="AP47" s="964">
        <v>4012</v>
      </c>
      <c r="AQ47" s="965"/>
      <c r="AR47" s="964">
        <v>0</v>
      </c>
      <c r="AS47" s="965"/>
      <c r="AT47" s="964">
        <v>0</v>
      </c>
      <c r="AU47" s="965"/>
      <c r="AV47" s="964">
        <v>0</v>
      </c>
      <c r="AW47" s="965"/>
      <c r="AX47" s="964">
        <v>0</v>
      </c>
      <c r="AY47" s="966"/>
      <c r="AZ47" s="967">
        <v>0</v>
      </c>
      <c r="BA47" s="968"/>
      <c r="BB47" s="969">
        <v>0</v>
      </c>
      <c r="BC47" s="970"/>
      <c r="BD47" s="959" t="s">
        <v>432</v>
      </c>
      <c r="BE47" s="960"/>
      <c r="BF47" s="960"/>
      <c r="BG47" s="961"/>
      <c r="BH47" s="962"/>
      <c r="BI47" s="962"/>
      <c r="BJ47" s="963"/>
      <c r="BK47" s="964">
        <v>0</v>
      </c>
      <c r="BL47" s="965"/>
      <c r="BM47" s="964">
        <v>0</v>
      </c>
      <c r="BN47" s="965"/>
      <c r="BO47" s="964">
        <v>0</v>
      </c>
      <c r="BP47" s="965"/>
      <c r="BQ47" s="964">
        <v>0</v>
      </c>
      <c r="BR47" s="965"/>
      <c r="BS47" s="964">
        <v>0</v>
      </c>
      <c r="BT47" s="965"/>
      <c r="BU47" s="964">
        <v>0</v>
      </c>
      <c r="BV47" s="965"/>
      <c r="BW47" s="964">
        <v>0</v>
      </c>
      <c r="BX47" s="965"/>
      <c r="BY47" s="964">
        <v>0</v>
      </c>
      <c r="BZ47" s="965"/>
      <c r="CA47" s="964">
        <v>4887</v>
      </c>
      <c r="CB47" s="965"/>
      <c r="CC47" s="964">
        <v>4492</v>
      </c>
      <c r="CD47" s="965"/>
      <c r="CE47" s="964">
        <v>4850</v>
      </c>
      <c r="CF47" s="965"/>
      <c r="CG47" s="964">
        <v>5177</v>
      </c>
      <c r="CH47" s="965"/>
      <c r="CI47" s="964">
        <v>5767</v>
      </c>
      <c r="CJ47" s="965"/>
      <c r="CK47" s="964">
        <v>5837</v>
      </c>
      <c r="CL47" s="965"/>
      <c r="CM47" s="964">
        <v>5646</v>
      </c>
      <c r="CN47" s="965"/>
      <c r="CO47" s="964">
        <v>5232</v>
      </c>
      <c r="CP47" s="965"/>
      <c r="CQ47" s="964">
        <v>4708</v>
      </c>
      <c r="CR47" s="965"/>
      <c r="CS47" s="964">
        <v>4083</v>
      </c>
      <c r="CT47" s="965"/>
      <c r="CU47" s="964">
        <v>0</v>
      </c>
      <c r="CV47" s="965"/>
      <c r="CW47" s="964">
        <v>0</v>
      </c>
      <c r="CX47" s="965"/>
      <c r="CY47" s="964">
        <v>0</v>
      </c>
      <c r="CZ47" s="965"/>
      <c r="DA47" s="964">
        <v>0</v>
      </c>
      <c r="DB47" s="966"/>
      <c r="DC47" s="967">
        <v>0</v>
      </c>
      <c r="DD47" s="968"/>
      <c r="DE47" s="969">
        <v>0</v>
      </c>
      <c r="DF47" s="970"/>
      <c r="DG47" s="959" t="s">
        <v>432</v>
      </c>
      <c r="DH47" s="960"/>
      <c r="DI47" s="960"/>
      <c r="DJ47" s="961"/>
      <c r="DK47" s="962"/>
      <c r="DL47" s="962"/>
      <c r="DM47" s="963"/>
      <c r="DN47" s="964">
        <v>0</v>
      </c>
      <c r="DO47" s="965"/>
      <c r="DP47" s="964">
        <v>0</v>
      </c>
      <c r="DQ47" s="965"/>
      <c r="DR47" s="964">
        <v>0</v>
      </c>
      <c r="DS47" s="965"/>
      <c r="DT47" s="964">
        <v>0</v>
      </c>
      <c r="DU47" s="965"/>
      <c r="DV47" s="964">
        <v>0</v>
      </c>
      <c r="DW47" s="965"/>
      <c r="DX47" s="964">
        <v>0</v>
      </c>
      <c r="DY47" s="965"/>
      <c r="DZ47" s="964">
        <v>0</v>
      </c>
      <c r="EA47" s="965"/>
      <c r="EB47" s="964">
        <v>0</v>
      </c>
      <c r="EC47" s="965"/>
      <c r="ED47" s="964">
        <v>4424</v>
      </c>
      <c r="EE47" s="965"/>
      <c r="EF47" s="964">
        <v>4436</v>
      </c>
      <c r="EG47" s="965"/>
      <c r="EH47" s="964">
        <v>5338</v>
      </c>
      <c r="EI47" s="965"/>
      <c r="EJ47" s="964">
        <v>5766</v>
      </c>
      <c r="EK47" s="965"/>
      <c r="EL47" s="964">
        <v>6263</v>
      </c>
      <c r="EM47" s="965"/>
      <c r="EN47" s="964">
        <v>6230</v>
      </c>
      <c r="EO47" s="965"/>
      <c r="EP47" s="964">
        <v>5879</v>
      </c>
      <c r="EQ47" s="965"/>
      <c r="ER47" s="964">
        <v>5247</v>
      </c>
      <c r="ES47" s="965"/>
      <c r="ET47" s="964">
        <v>4409</v>
      </c>
      <c r="EU47" s="965"/>
      <c r="EV47" s="964">
        <v>3609</v>
      </c>
      <c r="EW47" s="965"/>
      <c r="EX47" s="964">
        <v>0</v>
      </c>
      <c r="EY47" s="965"/>
      <c r="EZ47" s="964">
        <v>0</v>
      </c>
      <c r="FA47" s="965"/>
      <c r="FB47" s="964">
        <v>0</v>
      </c>
      <c r="FC47" s="965"/>
      <c r="FD47" s="964">
        <v>0</v>
      </c>
      <c r="FE47" s="966"/>
      <c r="FF47" s="967">
        <v>0</v>
      </c>
      <c r="FG47" s="968"/>
      <c r="FH47" s="969">
        <v>0</v>
      </c>
      <c r="FI47" s="970"/>
      <c r="FJ47" s="959" t="s">
        <v>432</v>
      </c>
      <c r="FK47" s="960"/>
      <c r="FL47" s="960"/>
      <c r="FM47" s="961"/>
      <c r="FN47" s="962"/>
      <c r="FO47" s="962"/>
      <c r="FP47" s="971"/>
      <c r="FQ47" s="972"/>
      <c r="FR47" s="964">
        <v>6209</v>
      </c>
      <c r="FS47" s="973"/>
      <c r="FT47" s="972"/>
      <c r="FU47" s="974">
        <v>6289</v>
      </c>
      <c r="FV47" s="975">
        <v>14</v>
      </c>
      <c r="FW47" s="964">
        <v>5590</v>
      </c>
      <c r="FX47" s="976">
        <v>14</v>
      </c>
      <c r="FY47" s="964">
        <v>5837</v>
      </c>
      <c r="FZ47" s="976">
        <v>13</v>
      </c>
      <c r="GA47" s="964">
        <v>6263</v>
      </c>
      <c r="GB47" s="977" t="s">
        <v>358</v>
      </c>
      <c r="GC47" s="964">
        <v>6263</v>
      </c>
      <c r="GD47" s="977" t="s">
        <v>360</v>
      </c>
      <c r="GE47" s="978">
        <v>6289</v>
      </c>
      <c r="GF47" s="681"/>
      <c r="GG47" s="979"/>
      <c r="GH47" s="979"/>
      <c r="GI47" s="979"/>
      <c r="GJ47" s="882"/>
      <c r="GK47" s="414" t="s">
        <v>507</v>
      </c>
      <c r="GL47" s="882"/>
      <c r="GM47" s="527"/>
      <c r="GN47" s="882"/>
      <c r="GO47" s="527"/>
      <c r="GP47" s="527"/>
      <c r="GQ47" s="527"/>
      <c r="GR47" s="882"/>
      <c r="GS47" s="527"/>
      <c r="GT47" s="756"/>
      <c r="GU47" s="767" t="s">
        <v>508</v>
      </c>
      <c r="GV47" s="767"/>
      <c r="GW47" s="767"/>
      <c r="GX47" s="767"/>
      <c r="GY47" s="527"/>
      <c r="GZ47" s="414"/>
      <c r="HA47" s="771">
        <v>0</v>
      </c>
      <c r="HB47" s="414"/>
      <c r="HC47" s="970"/>
      <c r="HD47" s="416"/>
    </row>
    <row r="48" spans="1:219" ht="20.100000000000001" customHeight="1">
      <c r="A48" s="980" t="s">
        <v>433</v>
      </c>
      <c r="B48" s="981" t="s">
        <v>434</v>
      </c>
      <c r="C48" s="884"/>
      <c r="D48" s="814"/>
      <c r="E48" s="814"/>
      <c r="F48" s="815"/>
      <c r="G48" s="733" t="s">
        <v>435</v>
      </c>
      <c r="H48" s="660" t="s">
        <v>398</v>
      </c>
      <c r="I48" s="735" t="s">
        <v>435</v>
      </c>
      <c r="J48" s="982" t="s">
        <v>398</v>
      </c>
      <c r="K48" s="735" t="s">
        <v>435</v>
      </c>
      <c r="L48" s="982" t="s">
        <v>398</v>
      </c>
      <c r="M48" s="735" t="s">
        <v>435</v>
      </c>
      <c r="N48" s="982" t="s">
        <v>398</v>
      </c>
      <c r="O48" s="735" t="s">
        <v>435</v>
      </c>
      <c r="P48" s="982" t="s">
        <v>398</v>
      </c>
      <c r="Q48" s="735" t="s">
        <v>435</v>
      </c>
      <c r="R48" s="982" t="s">
        <v>398</v>
      </c>
      <c r="S48" s="735" t="s">
        <v>435</v>
      </c>
      <c r="T48" s="982" t="s">
        <v>398</v>
      </c>
      <c r="U48" s="735" t="s">
        <v>435</v>
      </c>
      <c r="V48" s="982" t="s">
        <v>398</v>
      </c>
      <c r="W48" s="735" t="s">
        <v>435</v>
      </c>
      <c r="X48" s="982" t="s">
        <v>398</v>
      </c>
      <c r="Y48" s="735" t="s">
        <v>435</v>
      </c>
      <c r="Z48" s="982" t="s">
        <v>398</v>
      </c>
      <c r="AA48" s="735" t="s">
        <v>435</v>
      </c>
      <c r="AB48" s="982" t="s">
        <v>398</v>
      </c>
      <c r="AC48" s="735" t="s">
        <v>435</v>
      </c>
      <c r="AD48" s="982" t="s">
        <v>398</v>
      </c>
      <c r="AE48" s="735" t="s">
        <v>435</v>
      </c>
      <c r="AF48" s="982" t="s">
        <v>398</v>
      </c>
      <c r="AG48" s="735" t="s">
        <v>435</v>
      </c>
      <c r="AH48" s="982" t="s">
        <v>398</v>
      </c>
      <c r="AI48" s="735" t="s">
        <v>435</v>
      </c>
      <c r="AJ48" s="982" t="s">
        <v>398</v>
      </c>
      <c r="AK48" s="735" t="s">
        <v>435</v>
      </c>
      <c r="AL48" s="982" t="s">
        <v>398</v>
      </c>
      <c r="AM48" s="735" t="s">
        <v>435</v>
      </c>
      <c r="AN48" s="982" t="s">
        <v>398</v>
      </c>
      <c r="AO48" s="735" t="s">
        <v>435</v>
      </c>
      <c r="AP48" s="982" t="s">
        <v>398</v>
      </c>
      <c r="AQ48" s="735" t="s">
        <v>435</v>
      </c>
      <c r="AR48" s="982" t="s">
        <v>398</v>
      </c>
      <c r="AS48" s="735" t="s">
        <v>435</v>
      </c>
      <c r="AT48" s="982" t="s">
        <v>398</v>
      </c>
      <c r="AU48" s="735" t="s">
        <v>435</v>
      </c>
      <c r="AV48" s="982" t="s">
        <v>398</v>
      </c>
      <c r="AW48" s="735" t="s">
        <v>435</v>
      </c>
      <c r="AX48" s="982" t="s">
        <v>398</v>
      </c>
      <c r="AY48" s="735" t="s">
        <v>435</v>
      </c>
      <c r="AZ48" s="983" t="s">
        <v>398</v>
      </c>
      <c r="BA48" s="984" t="s">
        <v>435</v>
      </c>
      <c r="BB48" s="985" t="s">
        <v>398</v>
      </c>
      <c r="BC48" s="921"/>
      <c r="BD48" s="980" t="s">
        <v>433</v>
      </c>
      <c r="BE48" s="981" t="s">
        <v>434</v>
      </c>
      <c r="BF48" s="884"/>
      <c r="BG48" s="814"/>
      <c r="BH48" s="814"/>
      <c r="BI48" s="815"/>
      <c r="BJ48" s="733" t="s">
        <v>435</v>
      </c>
      <c r="BK48" s="660" t="s">
        <v>398</v>
      </c>
      <c r="BL48" s="735" t="s">
        <v>435</v>
      </c>
      <c r="BM48" s="982" t="s">
        <v>398</v>
      </c>
      <c r="BN48" s="735" t="s">
        <v>435</v>
      </c>
      <c r="BO48" s="982" t="s">
        <v>398</v>
      </c>
      <c r="BP48" s="735" t="s">
        <v>435</v>
      </c>
      <c r="BQ48" s="982" t="s">
        <v>398</v>
      </c>
      <c r="BR48" s="735" t="s">
        <v>435</v>
      </c>
      <c r="BS48" s="982" t="s">
        <v>398</v>
      </c>
      <c r="BT48" s="735" t="s">
        <v>435</v>
      </c>
      <c r="BU48" s="982" t="s">
        <v>398</v>
      </c>
      <c r="BV48" s="735" t="s">
        <v>435</v>
      </c>
      <c r="BW48" s="982" t="s">
        <v>398</v>
      </c>
      <c r="BX48" s="735" t="s">
        <v>435</v>
      </c>
      <c r="BY48" s="982" t="s">
        <v>398</v>
      </c>
      <c r="BZ48" s="735" t="s">
        <v>435</v>
      </c>
      <c r="CA48" s="982" t="s">
        <v>398</v>
      </c>
      <c r="CB48" s="735" t="s">
        <v>435</v>
      </c>
      <c r="CC48" s="982" t="s">
        <v>398</v>
      </c>
      <c r="CD48" s="735" t="s">
        <v>435</v>
      </c>
      <c r="CE48" s="982" t="s">
        <v>398</v>
      </c>
      <c r="CF48" s="735" t="s">
        <v>435</v>
      </c>
      <c r="CG48" s="982" t="s">
        <v>398</v>
      </c>
      <c r="CH48" s="735" t="s">
        <v>435</v>
      </c>
      <c r="CI48" s="982" t="s">
        <v>398</v>
      </c>
      <c r="CJ48" s="735" t="s">
        <v>435</v>
      </c>
      <c r="CK48" s="982" t="s">
        <v>398</v>
      </c>
      <c r="CL48" s="735" t="s">
        <v>435</v>
      </c>
      <c r="CM48" s="982" t="s">
        <v>398</v>
      </c>
      <c r="CN48" s="735" t="s">
        <v>435</v>
      </c>
      <c r="CO48" s="982" t="s">
        <v>398</v>
      </c>
      <c r="CP48" s="735" t="s">
        <v>435</v>
      </c>
      <c r="CQ48" s="982" t="s">
        <v>398</v>
      </c>
      <c r="CR48" s="735" t="s">
        <v>435</v>
      </c>
      <c r="CS48" s="982" t="s">
        <v>398</v>
      </c>
      <c r="CT48" s="735" t="s">
        <v>435</v>
      </c>
      <c r="CU48" s="982" t="s">
        <v>398</v>
      </c>
      <c r="CV48" s="735" t="s">
        <v>435</v>
      </c>
      <c r="CW48" s="982" t="s">
        <v>398</v>
      </c>
      <c r="CX48" s="735" t="s">
        <v>435</v>
      </c>
      <c r="CY48" s="982" t="s">
        <v>398</v>
      </c>
      <c r="CZ48" s="735" t="s">
        <v>435</v>
      </c>
      <c r="DA48" s="982" t="s">
        <v>398</v>
      </c>
      <c r="DB48" s="735" t="s">
        <v>435</v>
      </c>
      <c r="DC48" s="983" t="s">
        <v>398</v>
      </c>
      <c r="DD48" s="984" t="s">
        <v>435</v>
      </c>
      <c r="DE48" s="985" t="s">
        <v>398</v>
      </c>
      <c r="DF48" s="921"/>
      <c r="DG48" s="980" t="s">
        <v>433</v>
      </c>
      <c r="DH48" s="981" t="s">
        <v>434</v>
      </c>
      <c r="DI48" s="884"/>
      <c r="DJ48" s="814"/>
      <c r="DK48" s="814"/>
      <c r="DL48" s="815"/>
      <c r="DM48" s="733" t="s">
        <v>435</v>
      </c>
      <c r="DN48" s="660" t="s">
        <v>398</v>
      </c>
      <c r="DO48" s="735" t="s">
        <v>435</v>
      </c>
      <c r="DP48" s="982" t="s">
        <v>398</v>
      </c>
      <c r="DQ48" s="735" t="s">
        <v>435</v>
      </c>
      <c r="DR48" s="982" t="s">
        <v>398</v>
      </c>
      <c r="DS48" s="735" t="s">
        <v>435</v>
      </c>
      <c r="DT48" s="982" t="s">
        <v>398</v>
      </c>
      <c r="DU48" s="735" t="s">
        <v>435</v>
      </c>
      <c r="DV48" s="982" t="s">
        <v>398</v>
      </c>
      <c r="DW48" s="735" t="s">
        <v>435</v>
      </c>
      <c r="DX48" s="982" t="s">
        <v>398</v>
      </c>
      <c r="DY48" s="735" t="s">
        <v>435</v>
      </c>
      <c r="DZ48" s="982" t="s">
        <v>398</v>
      </c>
      <c r="EA48" s="735" t="s">
        <v>435</v>
      </c>
      <c r="EB48" s="982" t="s">
        <v>398</v>
      </c>
      <c r="EC48" s="735" t="s">
        <v>435</v>
      </c>
      <c r="ED48" s="982" t="s">
        <v>398</v>
      </c>
      <c r="EE48" s="735" t="s">
        <v>435</v>
      </c>
      <c r="EF48" s="982" t="s">
        <v>398</v>
      </c>
      <c r="EG48" s="735" t="s">
        <v>435</v>
      </c>
      <c r="EH48" s="982" t="s">
        <v>398</v>
      </c>
      <c r="EI48" s="735" t="s">
        <v>435</v>
      </c>
      <c r="EJ48" s="982" t="s">
        <v>398</v>
      </c>
      <c r="EK48" s="735" t="s">
        <v>435</v>
      </c>
      <c r="EL48" s="982" t="s">
        <v>398</v>
      </c>
      <c r="EM48" s="735" t="s">
        <v>435</v>
      </c>
      <c r="EN48" s="982" t="s">
        <v>398</v>
      </c>
      <c r="EO48" s="735" t="s">
        <v>435</v>
      </c>
      <c r="EP48" s="982" t="s">
        <v>398</v>
      </c>
      <c r="EQ48" s="735" t="s">
        <v>435</v>
      </c>
      <c r="ER48" s="982" t="s">
        <v>398</v>
      </c>
      <c r="ES48" s="735" t="s">
        <v>435</v>
      </c>
      <c r="ET48" s="982" t="s">
        <v>398</v>
      </c>
      <c r="EU48" s="735" t="s">
        <v>435</v>
      </c>
      <c r="EV48" s="982" t="s">
        <v>398</v>
      </c>
      <c r="EW48" s="735" t="s">
        <v>435</v>
      </c>
      <c r="EX48" s="982" t="s">
        <v>398</v>
      </c>
      <c r="EY48" s="735" t="s">
        <v>435</v>
      </c>
      <c r="EZ48" s="982" t="s">
        <v>398</v>
      </c>
      <c r="FA48" s="735" t="s">
        <v>435</v>
      </c>
      <c r="FB48" s="982" t="s">
        <v>398</v>
      </c>
      <c r="FC48" s="735" t="s">
        <v>435</v>
      </c>
      <c r="FD48" s="982" t="s">
        <v>398</v>
      </c>
      <c r="FE48" s="735" t="s">
        <v>435</v>
      </c>
      <c r="FF48" s="983" t="s">
        <v>398</v>
      </c>
      <c r="FG48" s="984" t="s">
        <v>435</v>
      </c>
      <c r="FH48" s="985" t="s">
        <v>398</v>
      </c>
      <c r="FI48" s="921"/>
      <c r="FJ48" s="980" t="s">
        <v>433</v>
      </c>
      <c r="FK48" s="731" t="s">
        <v>434</v>
      </c>
      <c r="FL48" s="884"/>
      <c r="FM48" s="814"/>
      <c r="FN48" s="814"/>
      <c r="FO48" s="815"/>
      <c r="FP48" s="740" t="s">
        <v>401</v>
      </c>
      <c r="FQ48" s="666" t="s">
        <v>435</v>
      </c>
      <c r="FR48" s="660" t="s">
        <v>402</v>
      </c>
      <c r="FS48" s="986" t="s">
        <v>401</v>
      </c>
      <c r="FT48" s="666" t="s">
        <v>435</v>
      </c>
      <c r="FU48" s="987" t="s">
        <v>402</v>
      </c>
      <c r="FV48" s="988"/>
      <c r="FW48" s="982" t="s">
        <v>322</v>
      </c>
      <c r="FX48" s="986"/>
      <c r="FY48" s="982" t="s">
        <v>322</v>
      </c>
      <c r="FZ48" s="986"/>
      <c r="GA48" s="982" t="s">
        <v>322</v>
      </c>
      <c r="GB48" s="986"/>
      <c r="GC48" s="982" t="s">
        <v>322</v>
      </c>
      <c r="GD48" s="986"/>
      <c r="GE48" s="989" t="s">
        <v>324</v>
      </c>
      <c r="GF48" s="681"/>
      <c r="GG48" s="652"/>
      <c r="GH48" s="652"/>
      <c r="GI48" s="652"/>
      <c r="GJ48" s="527"/>
      <c r="GK48" s="612" t="s">
        <v>509</v>
      </c>
      <c r="GL48" s="527"/>
      <c r="GM48" s="612"/>
      <c r="GN48" s="527"/>
      <c r="GO48" s="612"/>
      <c r="GP48" s="612"/>
      <c r="GQ48" s="612"/>
      <c r="GR48" s="527"/>
      <c r="GS48" s="527"/>
      <c r="GT48" s="497"/>
      <c r="GU48" s="497"/>
      <c r="GV48" s="497"/>
      <c r="GW48" s="576"/>
      <c r="GX48" s="576"/>
      <c r="GY48" s="576"/>
      <c r="GZ48" s="575"/>
      <c r="HA48" s="497"/>
      <c r="HB48" s="497"/>
      <c r="HC48" s="970"/>
      <c r="HD48" s="416"/>
    </row>
    <row r="49" spans="1:212" ht="20.100000000000001" customHeight="1">
      <c r="A49" s="990"/>
      <c r="B49" s="745" t="s">
        <v>403</v>
      </c>
      <c r="C49" s="991"/>
      <c r="D49" s="747">
        <v>53</v>
      </c>
      <c r="E49" s="748">
        <v>6</v>
      </c>
      <c r="F49" s="992" t="s">
        <v>404</v>
      </c>
      <c r="G49" s="750"/>
      <c r="H49" s="556"/>
      <c r="I49" s="751"/>
      <c r="J49" s="556"/>
      <c r="K49" s="751"/>
      <c r="L49" s="556"/>
      <c r="M49" s="751"/>
      <c r="N49" s="556"/>
      <c r="O49" s="751"/>
      <c r="P49" s="556"/>
      <c r="Q49" s="751"/>
      <c r="R49" s="556"/>
      <c r="S49" s="751"/>
      <c r="T49" s="556"/>
      <c r="U49" s="751"/>
      <c r="V49" s="556"/>
      <c r="W49" s="751">
        <v>1</v>
      </c>
      <c r="X49" s="556">
        <v>318</v>
      </c>
      <c r="Y49" s="751">
        <v>1</v>
      </c>
      <c r="Z49" s="556">
        <v>318</v>
      </c>
      <c r="AA49" s="751">
        <v>1</v>
      </c>
      <c r="AB49" s="556">
        <v>318</v>
      </c>
      <c r="AC49" s="751">
        <v>0.5</v>
      </c>
      <c r="AD49" s="556">
        <v>159</v>
      </c>
      <c r="AE49" s="751">
        <v>1</v>
      </c>
      <c r="AF49" s="556">
        <v>318</v>
      </c>
      <c r="AG49" s="751">
        <v>1</v>
      </c>
      <c r="AH49" s="556">
        <v>318</v>
      </c>
      <c r="AI49" s="751">
        <v>1</v>
      </c>
      <c r="AJ49" s="556">
        <v>318</v>
      </c>
      <c r="AK49" s="751">
        <v>1</v>
      </c>
      <c r="AL49" s="556">
        <v>318</v>
      </c>
      <c r="AM49" s="751">
        <v>1</v>
      </c>
      <c r="AN49" s="556">
        <v>318</v>
      </c>
      <c r="AO49" s="751">
        <v>1</v>
      </c>
      <c r="AP49" s="556">
        <v>318</v>
      </c>
      <c r="AQ49" s="751"/>
      <c r="AR49" s="556"/>
      <c r="AS49" s="751"/>
      <c r="AT49" s="556"/>
      <c r="AU49" s="751"/>
      <c r="AV49" s="556"/>
      <c r="AW49" s="751"/>
      <c r="AX49" s="556"/>
      <c r="AY49" s="993"/>
      <c r="AZ49" s="994"/>
      <c r="BA49" s="995"/>
      <c r="BB49" s="996"/>
      <c r="BC49" s="927"/>
      <c r="BD49" s="990"/>
      <c r="BE49" s="745" t="s">
        <v>403</v>
      </c>
      <c r="BF49" s="991"/>
      <c r="BG49" s="747"/>
      <c r="BH49" s="748">
        <v>6</v>
      </c>
      <c r="BI49" s="992" t="s">
        <v>404</v>
      </c>
      <c r="BJ49" s="750"/>
      <c r="BK49" s="556"/>
      <c r="BL49" s="751"/>
      <c r="BM49" s="556"/>
      <c r="BN49" s="751"/>
      <c r="BO49" s="556"/>
      <c r="BP49" s="751"/>
      <c r="BQ49" s="556"/>
      <c r="BR49" s="751"/>
      <c r="BS49" s="556"/>
      <c r="BT49" s="751"/>
      <c r="BU49" s="556"/>
      <c r="BV49" s="751"/>
      <c r="BW49" s="556"/>
      <c r="BX49" s="751"/>
      <c r="BY49" s="556"/>
      <c r="BZ49" s="751">
        <v>1</v>
      </c>
      <c r="CA49" s="556">
        <v>318</v>
      </c>
      <c r="CB49" s="751">
        <v>1</v>
      </c>
      <c r="CC49" s="556">
        <v>318</v>
      </c>
      <c r="CD49" s="751">
        <v>1</v>
      </c>
      <c r="CE49" s="556">
        <v>318</v>
      </c>
      <c r="CF49" s="751">
        <v>0.5</v>
      </c>
      <c r="CG49" s="556">
        <v>159</v>
      </c>
      <c r="CH49" s="751">
        <v>1</v>
      </c>
      <c r="CI49" s="556">
        <v>318</v>
      </c>
      <c r="CJ49" s="751">
        <v>1</v>
      </c>
      <c r="CK49" s="556">
        <v>318</v>
      </c>
      <c r="CL49" s="751">
        <v>1</v>
      </c>
      <c r="CM49" s="556">
        <v>318</v>
      </c>
      <c r="CN49" s="751">
        <v>1</v>
      </c>
      <c r="CO49" s="556">
        <v>318</v>
      </c>
      <c r="CP49" s="751">
        <v>1</v>
      </c>
      <c r="CQ49" s="556">
        <v>318</v>
      </c>
      <c r="CR49" s="751">
        <v>1</v>
      </c>
      <c r="CS49" s="556">
        <v>318</v>
      </c>
      <c r="CT49" s="751"/>
      <c r="CU49" s="556"/>
      <c r="CV49" s="751"/>
      <c r="CW49" s="556"/>
      <c r="CX49" s="751"/>
      <c r="CY49" s="556"/>
      <c r="CZ49" s="751"/>
      <c r="DA49" s="556"/>
      <c r="DB49" s="993"/>
      <c r="DC49" s="994"/>
      <c r="DD49" s="995"/>
      <c r="DE49" s="996"/>
      <c r="DF49" s="927"/>
      <c r="DG49" s="990"/>
      <c r="DH49" s="745" t="s">
        <v>403</v>
      </c>
      <c r="DI49" s="991"/>
      <c r="DJ49" s="747"/>
      <c r="DK49" s="748">
        <v>6</v>
      </c>
      <c r="DL49" s="992" t="s">
        <v>404</v>
      </c>
      <c r="DM49" s="750"/>
      <c r="DN49" s="556"/>
      <c r="DO49" s="751"/>
      <c r="DP49" s="556"/>
      <c r="DQ49" s="751"/>
      <c r="DR49" s="556"/>
      <c r="DS49" s="751"/>
      <c r="DT49" s="556"/>
      <c r="DU49" s="751"/>
      <c r="DV49" s="556"/>
      <c r="DW49" s="751"/>
      <c r="DX49" s="556"/>
      <c r="DY49" s="751"/>
      <c r="DZ49" s="556"/>
      <c r="EA49" s="751"/>
      <c r="EB49" s="556"/>
      <c r="EC49" s="751">
        <v>1</v>
      </c>
      <c r="ED49" s="556">
        <v>318</v>
      </c>
      <c r="EE49" s="751">
        <v>1</v>
      </c>
      <c r="EF49" s="556">
        <v>318</v>
      </c>
      <c r="EG49" s="751">
        <v>1</v>
      </c>
      <c r="EH49" s="556">
        <v>318</v>
      </c>
      <c r="EI49" s="751">
        <v>0.5</v>
      </c>
      <c r="EJ49" s="556">
        <v>159</v>
      </c>
      <c r="EK49" s="751">
        <v>1</v>
      </c>
      <c r="EL49" s="556">
        <v>318</v>
      </c>
      <c r="EM49" s="751">
        <v>1</v>
      </c>
      <c r="EN49" s="556">
        <v>318</v>
      </c>
      <c r="EO49" s="751">
        <v>1</v>
      </c>
      <c r="EP49" s="556">
        <v>318</v>
      </c>
      <c r="EQ49" s="751">
        <v>1</v>
      </c>
      <c r="ER49" s="556">
        <v>318</v>
      </c>
      <c r="ES49" s="751">
        <v>1</v>
      </c>
      <c r="ET49" s="556">
        <v>318</v>
      </c>
      <c r="EU49" s="751">
        <v>1</v>
      </c>
      <c r="EV49" s="556">
        <v>318</v>
      </c>
      <c r="EW49" s="751"/>
      <c r="EX49" s="556"/>
      <c r="EY49" s="751"/>
      <c r="EZ49" s="556"/>
      <c r="FA49" s="751"/>
      <c r="FB49" s="556"/>
      <c r="FC49" s="751"/>
      <c r="FD49" s="556"/>
      <c r="FE49" s="993"/>
      <c r="FF49" s="994"/>
      <c r="FG49" s="995"/>
      <c r="FH49" s="996"/>
      <c r="FI49" s="927"/>
      <c r="FJ49" s="990"/>
      <c r="FK49" s="745" t="s">
        <v>403</v>
      </c>
      <c r="FL49" s="991"/>
      <c r="FM49" s="752"/>
      <c r="FN49" s="748">
        <v>0</v>
      </c>
      <c r="FO49" s="992"/>
      <c r="FP49" s="678"/>
      <c r="FQ49" s="753"/>
      <c r="FR49" s="584">
        <v>0</v>
      </c>
      <c r="FS49" s="754"/>
      <c r="FT49" s="753"/>
      <c r="FU49" s="564">
        <v>0</v>
      </c>
      <c r="FV49" s="997" t="s">
        <v>332</v>
      </c>
      <c r="FW49" s="998"/>
      <c r="FX49" s="999" t="s">
        <v>333</v>
      </c>
      <c r="FY49" s="1000"/>
      <c r="FZ49" s="1001" t="s">
        <v>334</v>
      </c>
      <c r="GA49" s="1002"/>
      <c r="GB49" s="1003" t="s">
        <v>335</v>
      </c>
      <c r="GC49" s="1004"/>
      <c r="GD49" s="1003" t="s">
        <v>336</v>
      </c>
      <c r="GE49" s="1005"/>
      <c r="GF49" s="681"/>
      <c r="GG49" s="599"/>
      <c r="GH49" s="599"/>
      <c r="GI49" s="599"/>
      <c r="GJ49" s="577"/>
      <c r="GK49" s="414" t="s">
        <v>510</v>
      </c>
      <c r="GL49" s="577"/>
      <c r="GM49" s="414"/>
      <c r="GN49" s="577"/>
      <c r="GO49" s="414"/>
      <c r="GP49" s="414"/>
      <c r="GQ49" s="414"/>
      <c r="GR49" s="577"/>
      <c r="GS49" s="527"/>
      <c r="GT49" s="850"/>
      <c r="GU49" s="527" t="s">
        <v>488</v>
      </c>
      <c r="GV49" s="612"/>
      <c r="GW49" s="527"/>
      <c r="GX49" s="612"/>
      <c r="GY49" s="527"/>
      <c r="GZ49" s="392"/>
      <c r="HA49" s="577"/>
      <c r="HB49" s="392"/>
      <c r="HC49" s="1006"/>
      <c r="HD49" s="416"/>
    </row>
    <row r="50" spans="1:212" ht="20.100000000000001" customHeight="1">
      <c r="A50" s="990"/>
      <c r="B50" s="757" t="s">
        <v>410</v>
      </c>
      <c r="C50" s="1007"/>
      <c r="D50" s="1008">
        <v>0</v>
      </c>
      <c r="E50" s="1009">
        <v>0</v>
      </c>
      <c r="F50" s="1010"/>
      <c r="G50" s="1011"/>
      <c r="H50" s="584">
        <v>0</v>
      </c>
      <c r="I50" s="1012"/>
      <c r="J50" s="584">
        <v>0</v>
      </c>
      <c r="K50" s="1012"/>
      <c r="L50" s="584">
        <v>0</v>
      </c>
      <c r="M50" s="1012"/>
      <c r="N50" s="584">
        <v>0</v>
      </c>
      <c r="O50" s="1012"/>
      <c r="P50" s="584">
        <v>0</v>
      </c>
      <c r="Q50" s="1012"/>
      <c r="R50" s="584">
        <v>0</v>
      </c>
      <c r="S50" s="1012"/>
      <c r="T50" s="584">
        <v>0</v>
      </c>
      <c r="U50" s="1012"/>
      <c r="V50" s="584">
        <v>0</v>
      </c>
      <c r="W50" s="1012"/>
      <c r="X50" s="584">
        <v>0</v>
      </c>
      <c r="Y50" s="1012"/>
      <c r="Z50" s="584">
        <v>0</v>
      </c>
      <c r="AA50" s="1012"/>
      <c r="AB50" s="584">
        <v>0</v>
      </c>
      <c r="AC50" s="1012"/>
      <c r="AD50" s="584">
        <v>0</v>
      </c>
      <c r="AE50" s="1012"/>
      <c r="AF50" s="584">
        <v>0</v>
      </c>
      <c r="AG50" s="1012"/>
      <c r="AH50" s="584">
        <v>0</v>
      </c>
      <c r="AI50" s="1012"/>
      <c r="AJ50" s="584">
        <v>0</v>
      </c>
      <c r="AK50" s="1012"/>
      <c r="AL50" s="584">
        <v>0</v>
      </c>
      <c r="AM50" s="1012"/>
      <c r="AN50" s="584">
        <v>0</v>
      </c>
      <c r="AO50" s="1012"/>
      <c r="AP50" s="584">
        <v>0</v>
      </c>
      <c r="AQ50" s="1012"/>
      <c r="AR50" s="584">
        <v>0</v>
      </c>
      <c r="AS50" s="1012"/>
      <c r="AT50" s="584">
        <v>0</v>
      </c>
      <c r="AU50" s="1012"/>
      <c r="AV50" s="584">
        <v>0</v>
      </c>
      <c r="AW50" s="1012"/>
      <c r="AX50" s="584">
        <v>0</v>
      </c>
      <c r="AY50" s="1013"/>
      <c r="AZ50" s="1014">
        <v>0</v>
      </c>
      <c r="BA50" s="1015"/>
      <c r="BB50" s="1016">
        <v>0</v>
      </c>
      <c r="BC50" s="927"/>
      <c r="BD50" s="990"/>
      <c r="BE50" s="757" t="s">
        <v>410</v>
      </c>
      <c r="BF50" s="1007"/>
      <c r="BG50" s="1008">
        <v>0</v>
      </c>
      <c r="BH50" s="1009">
        <v>0</v>
      </c>
      <c r="BI50" s="1010"/>
      <c r="BJ50" s="1011"/>
      <c r="BK50" s="584">
        <v>0</v>
      </c>
      <c r="BL50" s="1012"/>
      <c r="BM50" s="584">
        <v>0</v>
      </c>
      <c r="BN50" s="1012"/>
      <c r="BO50" s="584">
        <v>0</v>
      </c>
      <c r="BP50" s="1012"/>
      <c r="BQ50" s="584">
        <v>0</v>
      </c>
      <c r="BR50" s="1012"/>
      <c r="BS50" s="584">
        <v>0</v>
      </c>
      <c r="BT50" s="1012"/>
      <c r="BU50" s="584">
        <v>0</v>
      </c>
      <c r="BV50" s="1012"/>
      <c r="BW50" s="584">
        <v>0</v>
      </c>
      <c r="BX50" s="1012"/>
      <c r="BY50" s="584">
        <v>0</v>
      </c>
      <c r="BZ50" s="1012"/>
      <c r="CA50" s="584">
        <v>0</v>
      </c>
      <c r="CB50" s="1012"/>
      <c r="CC50" s="584">
        <v>0</v>
      </c>
      <c r="CD50" s="1012"/>
      <c r="CE50" s="584">
        <v>0</v>
      </c>
      <c r="CF50" s="1012"/>
      <c r="CG50" s="584">
        <v>0</v>
      </c>
      <c r="CH50" s="1012"/>
      <c r="CI50" s="584">
        <v>0</v>
      </c>
      <c r="CJ50" s="1012"/>
      <c r="CK50" s="584">
        <v>0</v>
      </c>
      <c r="CL50" s="1012"/>
      <c r="CM50" s="584">
        <v>0</v>
      </c>
      <c r="CN50" s="1012"/>
      <c r="CO50" s="584">
        <v>0</v>
      </c>
      <c r="CP50" s="1012"/>
      <c r="CQ50" s="584">
        <v>0</v>
      </c>
      <c r="CR50" s="1012"/>
      <c r="CS50" s="584">
        <v>0</v>
      </c>
      <c r="CT50" s="1012"/>
      <c r="CU50" s="584">
        <v>0</v>
      </c>
      <c r="CV50" s="1012"/>
      <c r="CW50" s="584">
        <v>0</v>
      </c>
      <c r="CX50" s="1012"/>
      <c r="CY50" s="584">
        <v>0</v>
      </c>
      <c r="CZ50" s="1012"/>
      <c r="DA50" s="584">
        <v>0</v>
      </c>
      <c r="DB50" s="1013"/>
      <c r="DC50" s="1014">
        <v>0</v>
      </c>
      <c r="DD50" s="1015"/>
      <c r="DE50" s="1016">
        <v>0</v>
      </c>
      <c r="DF50" s="927"/>
      <c r="DG50" s="990"/>
      <c r="DH50" s="757" t="s">
        <v>410</v>
      </c>
      <c r="DI50" s="1007"/>
      <c r="DJ50" s="1008">
        <v>0</v>
      </c>
      <c r="DK50" s="1009">
        <v>0</v>
      </c>
      <c r="DL50" s="1010"/>
      <c r="DM50" s="1011"/>
      <c r="DN50" s="584">
        <v>0</v>
      </c>
      <c r="DO50" s="1012"/>
      <c r="DP50" s="584">
        <v>0</v>
      </c>
      <c r="DQ50" s="1012"/>
      <c r="DR50" s="584">
        <v>0</v>
      </c>
      <c r="DS50" s="1012"/>
      <c r="DT50" s="584">
        <v>0</v>
      </c>
      <c r="DU50" s="1012"/>
      <c r="DV50" s="584">
        <v>0</v>
      </c>
      <c r="DW50" s="1012"/>
      <c r="DX50" s="584">
        <v>0</v>
      </c>
      <c r="DY50" s="1012"/>
      <c r="DZ50" s="584">
        <v>0</v>
      </c>
      <c r="EA50" s="1012"/>
      <c r="EB50" s="584">
        <v>0</v>
      </c>
      <c r="EC50" s="1012"/>
      <c r="ED50" s="584">
        <v>0</v>
      </c>
      <c r="EE50" s="1012"/>
      <c r="EF50" s="584">
        <v>0</v>
      </c>
      <c r="EG50" s="1012"/>
      <c r="EH50" s="584">
        <v>0</v>
      </c>
      <c r="EI50" s="1012"/>
      <c r="EJ50" s="584">
        <v>0</v>
      </c>
      <c r="EK50" s="1012"/>
      <c r="EL50" s="584">
        <v>0</v>
      </c>
      <c r="EM50" s="1012"/>
      <c r="EN50" s="584">
        <v>0</v>
      </c>
      <c r="EO50" s="1012"/>
      <c r="EP50" s="584">
        <v>0</v>
      </c>
      <c r="EQ50" s="1012"/>
      <c r="ER50" s="584">
        <v>0</v>
      </c>
      <c r="ES50" s="1012"/>
      <c r="ET50" s="584">
        <v>0</v>
      </c>
      <c r="EU50" s="1012"/>
      <c r="EV50" s="584">
        <v>0</v>
      </c>
      <c r="EW50" s="1012"/>
      <c r="EX50" s="584">
        <v>0</v>
      </c>
      <c r="EY50" s="1012"/>
      <c r="EZ50" s="584">
        <v>0</v>
      </c>
      <c r="FA50" s="1012"/>
      <c r="FB50" s="584">
        <v>0</v>
      </c>
      <c r="FC50" s="1012"/>
      <c r="FD50" s="584">
        <v>0</v>
      </c>
      <c r="FE50" s="1013"/>
      <c r="FF50" s="1014">
        <v>0</v>
      </c>
      <c r="FG50" s="1015"/>
      <c r="FH50" s="1016">
        <v>0</v>
      </c>
      <c r="FI50" s="927"/>
      <c r="FJ50" s="990"/>
      <c r="FK50" s="757" t="s">
        <v>410</v>
      </c>
      <c r="FL50" s="1007"/>
      <c r="FM50" s="1008">
        <v>0</v>
      </c>
      <c r="FN50" s="1009">
        <v>0</v>
      </c>
      <c r="FO50" s="1010"/>
      <c r="FP50" s="689"/>
      <c r="FQ50" s="1017"/>
      <c r="FR50" s="584">
        <v>0</v>
      </c>
      <c r="FS50" s="766"/>
      <c r="FT50" s="1017"/>
      <c r="FU50" s="589">
        <v>0</v>
      </c>
      <c r="FV50" s="1018"/>
      <c r="FW50" s="1019"/>
      <c r="FX50" s="1020"/>
      <c r="FY50" s="1021"/>
      <c r="FZ50" s="1022"/>
      <c r="GA50" s="1023"/>
      <c r="GB50" s="1024"/>
      <c r="GC50" s="1025"/>
      <c r="GD50" s="1024"/>
      <c r="GE50" s="1026"/>
      <c r="GF50" s="681"/>
      <c r="GG50" s="599"/>
      <c r="GH50" s="599"/>
      <c r="GI50" s="599"/>
      <c r="GJ50" s="577"/>
      <c r="GK50" s="414" t="s">
        <v>511</v>
      </c>
      <c r="GL50" s="577"/>
      <c r="GM50" s="414"/>
      <c r="GN50" s="577"/>
      <c r="GO50" s="414"/>
      <c r="GP50" s="414"/>
      <c r="GQ50" s="414"/>
      <c r="GR50" s="577"/>
      <c r="GS50" s="942"/>
      <c r="GT50" s="926"/>
      <c r="GU50" s="577" t="s">
        <v>512</v>
      </c>
      <c r="GV50" s="577"/>
      <c r="GW50" s="577"/>
      <c r="GX50" s="577"/>
      <c r="GY50" s="612"/>
      <c r="GZ50" s="576"/>
      <c r="HA50" s="612">
        <v>36.4</v>
      </c>
      <c r="HB50" s="576" t="s">
        <v>470</v>
      </c>
      <c r="HC50" s="1027"/>
      <c r="HD50" s="416"/>
    </row>
    <row r="51" spans="1:212" ht="20.100000000000001" customHeight="1" thickBot="1">
      <c r="A51" s="1028"/>
      <c r="B51" s="463" t="s">
        <v>436</v>
      </c>
      <c r="C51" s="1029"/>
      <c r="D51" s="778"/>
      <c r="E51" s="789"/>
      <c r="F51" s="1030"/>
      <c r="G51" s="791"/>
      <c r="H51" s="792">
        <v>0</v>
      </c>
      <c r="I51" s="793"/>
      <c r="J51" s="792">
        <v>0</v>
      </c>
      <c r="K51" s="793"/>
      <c r="L51" s="792">
        <v>0</v>
      </c>
      <c r="M51" s="793"/>
      <c r="N51" s="792">
        <v>0</v>
      </c>
      <c r="O51" s="793"/>
      <c r="P51" s="792">
        <v>0</v>
      </c>
      <c r="Q51" s="793"/>
      <c r="R51" s="792">
        <v>0</v>
      </c>
      <c r="S51" s="793"/>
      <c r="T51" s="792">
        <v>0</v>
      </c>
      <c r="U51" s="793"/>
      <c r="V51" s="792">
        <v>0</v>
      </c>
      <c r="W51" s="793"/>
      <c r="X51" s="792">
        <v>0</v>
      </c>
      <c r="Y51" s="793"/>
      <c r="Z51" s="792">
        <v>0</v>
      </c>
      <c r="AA51" s="793"/>
      <c r="AB51" s="792">
        <v>0</v>
      </c>
      <c r="AC51" s="793"/>
      <c r="AD51" s="792">
        <v>0</v>
      </c>
      <c r="AE51" s="793"/>
      <c r="AF51" s="792">
        <v>0</v>
      </c>
      <c r="AG51" s="793"/>
      <c r="AH51" s="792">
        <v>0</v>
      </c>
      <c r="AI51" s="793"/>
      <c r="AJ51" s="792">
        <v>0</v>
      </c>
      <c r="AK51" s="793"/>
      <c r="AL51" s="792">
        <v>0</v>
      </c>
      <c r="AM51" s="793"/>
      <c r="AN51" s="792">
        <v>0</v>
      </c>
      <c r="AO51" s="793"/>
      <c r="AP51" s="792">
        <v>0</v>
      </c>
      <c r="AQ51" s="793"/>
      <c r="AR51" s="792">
        <v>0</v>
      </c>
      <c r="AS51" s="793"/>
      <c r="AT51" s="792">
        <v>0</v>
      </c>
      <c r="AU51" s="793"/>
      <c r="AV51" s="792">
        <v>0</v>
      </c>
      <c r="AW51" s="793"/>
      <c r="AX51" s="792">
        <v>0</v>
      </c>
      <c r="AY51" s="1031"/>
      <c r="AZ51" s="1032">
        <v>0</v>
      </c>
      <c r="BA51" s="1033"/>
      <c r="BB51" s="1034">
        <v>0</v>
      </c>
      <c r="BC51" s="927"/>
      <c r="BD51" s="1028"/>
      <c r="BE51" s="463" t="s">
        <v>436</v>
      </c>
      <c r="BF51" s="1029"/>
      <c r="BG51" s="778"/>
      <c r="BH51" s="789"/>
      <c r="BI51" s="1030"/>
      <c r="BJ51" s="791"/>
      <c r="BK51" s="792">
        <v>0</v>
      </c>
      <c r="BL51" s="793"/>
      <c r="BM51" s="792">
        <v>0</v>
      </c>
      <c r="BN51" s="793"/>
      <c r="BO51" s="792">
        <v>0</v>
      </c>
      <c r="BP51" s="793"/>
      <c r="BQ51" s="792">
        <v>0</v>
      </c>
      <c r="BR51" s="793"/>
      <c r="BS51" s="792">
        <v>0</v>
      </c>
      <c r="BT51" s="793"/>
      <c r="BU51" s="792">
        <v>0</v>
      </c>
      <c r="BV51" s="793"/>
      <c r="BW51" s="792">
        <v>0</v>
      </c>
      <c r="BX51" s="793"/>
      <c r="BY51" s="792">
        <v>0</v>
      </c>
      <c r="BZ51" s="793"/>
      <c r="CA51" s="792">
        <v>0</v>
      </c>
      <c r="CB51" s="793"/>
      <c r="CC51" s="792">
        <v>0</v>
      </c>
      <c r="CD51" s="793"/>
      <c r="CE51" s="792">
        <v>0</v>
      </c>
      <c r="CF51" s="793"/>
      <c r="CG51" s="792">
        <v>0</v>
      </c>
      <c r="CH51" s="793"/>
      <c r="CI51" s="792">
        <v>0</v>
      </c>
      <c r="CJ51" s="793"/>
      <c r="CK51" s="792">
        <v>0</v>
      </c>
      <c r="CL51" s="793"/>
      <c r="CM51" s="792">
        <v>0</v>
      </c>
      <c r="CN51" s="793"/>
      <c r="CO51" s="792">
        <v>0</v>
      </c>
      <c r="CP51" s="793"/>
      <c r="CQ51" s="792">
        <v>0</v>
      </c>
      <c r="CR51" s="793"/>
      <c r="CS51" s="792">
        <v>0</v>
      </c>
      <c r="CT51" s="793"/>
      <c r="CU51" s="792">
        <v>0</v>
      </c>
      <c r="CV51" s="793"/>
      <c r="CW51" s="792">
        <v>0</v>
      </c>
      <c r="CX51" s="793"/>
      <c r="CY51" s="792">
        <v>0</v>
      </c>
      <c r="CZ51" s="793"/>
      <c r="DA51" s="792">
        <v>0</v>
      </c>
      <c r="DB51" s="1031"/>
      <c r="DC51" s="1032">
        <v>0</v>
      </c>
      <c r="DD51" s="1033"/>
      <c r="DE51" s="1034">
        <v>0</v>
      </c>
      <c r="DF51" s="927"/>
      <c r="DG51" s="1028"/>
      <c r="DH51" s="463" t="s">
        <v>436</v>
      </c>
      <c r="DI51" s="1029"/>
      <c r="DJ51" s="778"/>
      <c r="DK51" s="789"/>
      <c r="DL51" s="1030"/>
      <c r="DM51" s="791"/>
      <c r="DN51" s="792">
        <v>0</v>
      </c>
      <c r="DO51" s="793"/>
      <c r="DP51" s="792">
        <v>0</v>
      </c>
      <c r="DQ51" s="793"/>
      <c r="DR51" s="792">
        <v>0</v>
      </c>
      <c r="DS51" s="793"/>
      <c r="DT51" s="792">
        <v>0</v>
      </c>
      <c r="DU51" s="793"/>
      <c r="DV51" s="792">
        <v>0</v>
      </c>
      <c r="DW51" s="793"/>
      <c r="DX51" s="792">
        <v>0</v>
      </c>
      <c r="DY51" s="793"/>
      <c r="DZ51" s="792">
        <v>0</v>
      </c>
      <c r="EA51" s="793"/>
      <c r="EB51" s="792">
        <v>0</v>
      </c>
      <c r="EC51" s="793"/>
      <c r="ED51" s="792">
        <v>0</v>
      </c>
      <c r="EE51" s="793"/>
      <c r="EF51" s="792">
        <v>0</v>
      </c>
      <c r="EG51" s="793"/>
      <c r="EH51" s="792">
        <v>0</v>
      </c>
      <c r="EI51" s="793"/>
      <c r="EJ51" s="792">
        <v>0</v>
      </c>
      <c r="EK51" s="793"/>
      <c r="EL51" s="792">
        <v>0</v>
      </c>
      <c r="EM51" s="793"/>
      <c r="EN51" s="792">
        <v>0</v>
      </c>
      <c r="EO51" s="793"/>
      <c r="EP51" s="792">
        <v>0</v>
      </c>
      <c r="EQ51" s="793"/>
      <c r="ER51" s="792">
        <v>0</v>
      </c>
      <c r="ES51" s="793"/>
      <c r="ET51" s="792">
        <v>0</v>
      </c>
      <c r="EU51" s="793"/>
      <c r="EV51" s="792">
        <v>0</v>
      </c>
      <c r="EW51" s="793"/>
      <c r="EX51" s="792">
        <v>0</v>
      </c>
      <c r="EY51" s="793"/>
      <c r="EZ51" s="792">
        <v>0</v>
      </c>
      <c r="FA51" s="793"/>
      <c r="FB51" s="792">
        <v>0</v>
      </c>
      <c r="FC51" s="793"/>
      <c r="FD51" s="792">
        <v>0</v>
      </c>
      <c r="FE51" s="1031"/>
      <c r="FF51" s="1032">
        <v>0</v>
      </c>
      <c r="FG51" s="1033"/>
      <c r="FH51" s="1034">
        <v>0</v>
      </c>
      <c r="FI51" s="927"/>
      <c r="FJ51" s="1028"/>
      <c r="FK51" s="463" t="s">
        <v>436</v>
      </c>
      <c r="FL51" s="1029"/>
      <c r="FM51" s="781"/>
      <c r="FN51" s="789">
        <v>0</v>
      </c>
      <c r="FO51" s="1030"/>
      <c r="FP51" s="795"/>
      <c r="FQ51" s="796"/>
      <c r="FR51" s="792">
        <v>0</v>
      </c>
      <c r="FS51" s="797"/>
      <c r="FT51" s="796"/>
      <c r="FU51" s="798">
        <v>0</v>
      </c>
      <c r="FV51" s="1018"/>
      <c r="FW51" s="1019"/>
      <c r="FX51" s="1020"/>
      <c r="FY51" s="1021"/>
      <c r="FZ51" s="1022"/>
      <c r="GA51" s="1023"/>
      <c r="GB51" s="1024"/>
      <c r="GC51" s="1025"/>
      <c r="GD51" s="1024"/>
      <c r="GE51" s="1026"/>
      <c r="GF51" s="681"/>
      <c r="GG51" s="599"/>
      <c r="GH51" s="599"/>
      <c r="GI51" s="599"/>
      <c r="GJ51" s="925"/>
      <c r="GK51" s="726"/>
      <c r="GL51" s="1035" t="s">
        <v>401</v>
      </c>
      <c r="GM51" s="1036" t="s">
        <v>513</v>
      </c>
      <c r="GN51" s="1037" t="s">
        <v>514</v>
      </c>
      <c r="GO51" s="1038" t="s">
        <v>515</v>
      </c>
      <c r="GP51" s="1038" t="s">
        <v>494</v>
      </c>
      <c r="GQ51" s="1039" t="s">
        <v>495</v>
      </c>
      <c r="GR51" s="726"/>
      <c r="GS51" s="942"/>
      <c r="GT51" s="756"/>
      <c r="GU51" s="577" t="s">
        <v>516</v>
      </c>
      <c r="GV51" s="577"/>
      <c r="GW51" s="577"/>
      <c r="GX51" s="577"/>
      <c r="GY51" s="414"/>
      <c r="GZ51" s="1040"/>
      <c r="HA51" s="612">
        <v>36.4</v>
      </c>
      <c r="HB51" s="576" t="s">
        <v>470</v>
      </c>
      <c r="HC51" s="1041"/>
      <c r="HD51" s="416"/>
    </row>
    <row r="52" spans="1:212" ht="20.100000000000001" customHeight="1" thickBot="1">
      <c r="A52" s="1042" t="s">
        <v>437</v>
      </c>
      <c r="B52" s="1043"/>
      <c r="C52" s="1044"/>
      <c r="D52" s="1044"/>
      <c r="E52" s="1045"/>
      <c r="F52" s="1044"/>
      <c r="G52" s="1046"/>
      <c r="H52" s="1047">
        <v>0</v>
      </c>
      <c r="I52" s="1048"/>
      <c r="J52" s="1047">
        <v>0</v>
      </c>
      <c r="K52" s="1048"/>
      <c r="L52" s="1047">
        <v>0</v>
      </c>
      <c r="M52" s="1048"/>
      <c r="N52" s="1047">
        <v>0</v>
      </c>
      <c r="O52" s="1048"/>
      <c r="P52" s="1047">
        <v>0</v>
      </c>
      <c r="Q52" s="1048"/>
      <c r="R52" s="1047">
        <v>0</v>
      </c>
      <c r="S52" s="1048"/>
      <c r="T52" s="1047">
        <v>0</v>
      </c>
      <c r="U52" s="1048"/>
      <c r="V52" s="1047">
        <v>0</v>
      </c>
      <c r="W52" s="1048"/>
      <c r="X52" s="1047">
        <v>318</v>
      </c>
      <c r="Y52" s="1048"/>
      <c r="Z52" s="1047">
        <v>318</v>
      </c>
      <c r="AA52" s="1048"/>
      <c r="AB52" s="1047">
        <v>318</v>
      </c>
      <c r="AC52" s="1048"/>
      <c r="AD52" s="1047">
        <v>159</v>
      </c>
      <c r="AE52" s="1048"/>
      <c r="AF52" s="1047">
        <v>318</v>
      </c>
      <c r="AG52" s="1048"/>
      <c r="AH52" s="1047">
        <v>318</v>
      </c>
      <c r="AI52" s="1048"/>
      <c r="AJ52" s="1047">
        <v>318</v>
      </c>
      <c r="AK52" s="1048"/>
      <c r="AL52" s="1047">
        <v>318</v>
      </c>
      <c r="AM52" s="1048"/>
      <c r="AN52" s="1047">
        <v>318</v>
      </c>
      <c r="AO52" s="1048"/>
      <c r="AP52" s="1047">
        <v>318</v>
      </c>
      <c r="AQ52" s="1048"/>
      <c r="AR52" s="1047">
        <v>0</v>
      </c>
      <c r="AS52" s="1048"/>
      <c r="AT52" s="1047">
        <v>0</v>
      </c>
      <c r="AU52" s="1048"/>
      <c r="AV52" s="1047">
        <v>0</v>
      </c>
      <c r="AW52" s="1048"/>
      <c r="AX52" s="1047">
        <v>0</v>
      </c>
      <c r="AY52" s="1049"/>
      <c r="AZ52" s="1050">
        <v>0</v>
      </c>
      <c r="BA52" s="1051"/>
      <c r="BB52" s="1052">
        <v>0</v>
      </c>
      <c r="BC52" s="970"/>
      <c r="BD52" s="1042" t="s">
        <v>437</v>
      </c>
      <c r="BE52" s="1043"/>
      <c r="BF52" s="1044"/>
      <c r="BG52" s="1044"/>
      <c r="BH52" s="1045"/>
      <c r="BI52" s="1044"/>
      <c r="BJ52" s="1046"/>
      <c r="BK52" s="1047">
        <v>0</v>
      </c>
      <c r="BL52" s="1048"/>
      <c r="BM52" s="1047">
        <v>0</v>
      </c>
      <c r="BN52" s="1048"/>
      <c r="BO52" s="1047">
        <v>0</v>
      </c>
      <c r="BP52" s="1048"/>
      <c r="BQ52" s="1047">
        <v>0</v>
      </c>
      <c r="BR52" s="1048"/>
      <c r="BS52" s="1047">
        <v>0</v>
      </c>
      <c r="BT52" s="1048"/>
      <c r="BU52" s="1047">
        <v>0</v>
      </c>
      <c r="BV52" s="1048"/>
      <c r="BW52" s="1047">
        <v>0</v>
      </c>
      <c r="BX52" s="1048"/>
      <c r="BY52" s="1047">
        <v>0</v>
      </c>
      <c r="BZ52" s="1048"/>
      <c r="CA52" s="1047">
        <v>318</v>
      </c>
      <c r="CB52" s="1048"/>
      <c r="CC52" s="1047">
        <v>318</v>
      </c>
      <c r="CD52" s="1048"/>
      <c r="CE52" s="1047">
        <v>318</v>
      </c>
      <c r="CF52" s="1048"/>
      <c r="CG52" s="1047">
        <v>159</v>
      </c>
      <c r="CH52" s="1048"/>
      <c r="CI52" s="1047">
        <v>318</v>
      </c>
      <c r="CJ52" s="1048"/>
      <c r="CK52" s="1047">
        <v>318</v>
      </c>
      <c r="CL52" s="1048"/>
      <c r="CM52" s="1047">
        <v>318</v>
      </c>
      <c r="CN52" s="1048"/>
      <c r="CO52" s="1047">
        <v>318</v>
      </c>
      <c r="CP52" s="1048"/>
      <c r="CQ52" s="1047">
        <v>318</v>
      </c>
      <c r="CR52" s="1048"/>
      <c r="CS52" s="1047">
        <v>318</v>
      </c>
      <c r="CT52" s="1048"/>
      <c r="CU52" s="1047">
        <v>0</v>
      </c>
      <c r="CV52" s="1048"/>
      <c r="CW52" s="1047">
        <v>0</v>
      </c>
      <c r="CX52" s="1048"/>
      <c r="CY52" s="1047">
        <v>0</v>
      </c>
      <c r="CZ52" s="1048"/>
      <c r="DA52" s="1047">
        <v>0</v>
      </c>
      <c r="DB52" s="1049"/>
      <c r="DC52" s="1050">
        <v>0</v>
      </c>
      <c r="DD52" s="1051"/>
      <c r="DE52" s="1052">
        <v>0</v>
      </c>
      <c r="DF52" s="970"/>
      <c r="DG52" s="1042" t="s">
        <v>437</v>
      </c>
      <c r="DH52" s="1043"/>
      <c r="DI52" s="1044"/>
      <c r="DJ52" s="1044"/>
      <c r="DK52" s="1045"/>
      <c r="DL52" s="1044"/>
      <c r="DM52" s="1046"/>
      <c r="DN52" s="1047">
        <v>0</v>
      </c>
      <c r="DO52" s="1048"/>
      <c r="DP52" s="1047">
        <v>0</v>
      </c>
      <c r="DQ52" s="1048"/>
      <c r="DR52" s="1047">
        <v>0</v>
      </c>
      <c r="DS52" s="1048"/>
      <c r="DT52" s="1047">
        <v>0</v>
      </c>
      <c r="DU52" s="1048"/>
      <c r="DV52" s="1047">
        <v>0</v>
      </c>
      <c r="DW52" s="1048"/>
      <c r="DX52" s="1047">
        <v>0</v>
      </c>
      <c r="DY52" s="1048"/>
      <c r="DZ52" s="1047">
        <v>0</v>
      </c>
      <c r="EA52" s="1048"/>
      <c r="EB52" s="1047">
        <v>0</v>
      </c>
      <c r="EC52" s="1048"/>
      <c r="ED52" s="1047">
        <v>318</v>
      </c>
      <c r="EE52" s="1048"/>
      <c r="EF52" s="1047">
        <v>318</v>
      </c>
      <c r="EG52" s="1048"/>
      <c r="EH52" s="1047">
        <v>318</v>
      </c>
      <c r="EI52" s="1048"/>
      <c r="EJ52" s="1047">
        <v>159</v>
      </c>
      <c r="EK52" s="1048"/>
      <c r="EL52" s="1047">
        <v>318</v>
      </c>
      <c r="EM52" s="1048"/>
      <c r="EN52" s="1047">
        <v>318</v>
      </c>
      <c r="EO52" s="1048"/>
      <c r="EP52" s="1047">
        <v>318</v>
      </c>
      <c r="EQ52" s="1048"/>
      <c r="ER52" s="1047">
        <v>318</v>
      </c>
      <c r="ES52" s="1048"/>
      <c r="ET52" s="1047">
        <v>318</v>
      </c>
      <c r="EU52" s="1048"/>
      <c r="EV52" s="1047">
        <v>318</v>
      </c>
      <c r="EW52" s="1048"/>
      <c r="EX52" s="1047">
        <v>0</v>
      </c>
      <c r="EY52" s="1048"/>
      <c r="EZ52" s="1047">
        <v>0</v>
      </c>
      <c r="FA52" s="1048"/>
      <c r="FB52" s="1047">
        <v>0</v>
      </c>
      <c r="FC52" s="1048"/>
      <c r="FD52" s="1047">
        <v>0</v>
      </c>
      <c r="FE52" s="1049"/>
      <c r="FF52" s="1050">
        <v>0</v>
      </c>
      <c r="FG52" s="1051"/>
      <c r="FH52" s="1052">
        <v>0</v>
      </c>
      <c r="FI52" s="970"/>
      <c r="FJ52" s="1042" t="s">
        <v>437</v>
      </c>
      <c r="FK52" s="1043"/>
      <c r="FL52" s="1044"/>
      <c r="FM52" s="1044"/>
      <c r="FN52" s="1045"/>
      <c r="FO52" s="1044"/>
      <c r="FP52" s="1053"/>
      <c r="FQ52" s="1054"/>
      <c r="FR52" s="1047">
        <v>0</v>
      </c>
      <c r="FS52" s="1055"/>
      <c r="FT52" s="1054"/>
      <c r="FU52" s="1056">
        <v>0</v>
      </c>
      <c r="FV52" s="1057">
        <v>14</v>
      </c>
      <c r="FW52" s="1058">
        <v>318</v>
      </c>
      <c r="FX52" s="1059">
        <v>14</v>
      </c>
      <c r="FY52" s="1058">
        <v>318</v>
      </c>
      <c r="FZ52" s="1059">
        <v>13</v>
      </c>
      <c r="GA52" s="1058">
        <v>318</v>
      </c>
      <c r="GB52" s="1060" t="s">
        <v>358</v>
      </c>
      <c r="GC52" s="1061">
        <v>318</v>
      </c>
      <c r="GD52" s="1060" t="s">
        <v>360</v>
      </c>
      <c r="GE52" s="1062">
        <v>0</v>
      </c>
      <c r="GF52" s="681"/>
      <c r="GG52" s="979"/>
      <c r="GH52" s="979"/>
      <c r="GI52" s="979"/>
      <c r="GJ52" s="925"/>
      <c r="GK52" s="726"/>
      <c r="GL52" s="1063"/>
      <c r="GM52" s="1064"/>
      <c r="GN52" s="1064"/>
      <c r="GO52" s="1065"/>
      <c r="GP52" s="1065"/>
      <c r="GQ52" s="1066"/>
      <c r="GR52" s="942"/>
      <c r="GS52" s="882"/>
      <c r="GT52" s="850"/>
      <c r="GU52" s="527" t="s">
        <v>490</v>
      </c>
      <c r="GV52" s="726"/>
      <c r="GW52" s="925"/>
      <c r="GX52" s="726"/>
      <c r="GY52" s="414"/>
      <c r="GZ52" s="1067"/>
      <c r="HA52" s="942"/>
      <c r="HB52" s="1067"/>
      <c r="HC52" s="559"/>
      <c r="HD52" s="416"/>
    </row>
    <row r="53" spans="1:212" ht="20.100000000000001" customHeight="1" thickTop="1">
      <c r="A53" s="1068" t="s">
        <v>438</v>
      </c>
      <c r="B53" s="1069"/>
      <c r="C53" s="1070"/>
      <c r="D53" s="1070"/>
      <c r="E53" s="1071"/>
      <c r="F53" s="1072"/>
      <c r="G53" s="1073"/>
      <c r="H53" s="1074">
        <v>0</v>
      </c>
      <c r="I53" s="1075"/>
      <c r="J53" s="1074">
        <v>0</v>
      </c>
      <c r="K53" s="1075"/>
      <c r="L53" s="1074">
        <v>0</v>
      </c>
      <c r="M53" s="1075"/>
      <c r="N53" s="1074">
        <v>0</v>
      </c>
      <c r="O53" s="1075"/>
      <c r="P53" s="1074">
        <v>0</v>
      </c>
      <c r="Q53" s="1075"/>
      <c r="R53" s="1074">
        <v>0</v>
      </c>
      <c r="S53" s="1075"/>
      <c r="T53" s="1074">
        <v>0</v>
      </c>
      <c r="U53" s="1075"/>
      <c r="V53" s="1074">
        <v>0</v>
      </c>
      <c r="W53" s="1075"/>
      <c r="X53" s="1074">
        <v>5316</v>
      </c>
      <c r="Y53" s="1075"/>
      <c r="Z53" s="1074">
        <v>4991</v>
      </c>
      <c r="AA53" s="1075"/>
      <c r="AB53" s="1074">
        <v>5256</v>
      </c>
      <c r="AC53" s="1075"/>
      <c r="AD53" s="1074">
        <v>5263</v>
      </c>
      <c r="AE53" s="1075"/>
      <c r="AF53" s="1074">
        <v>5895</v>
      </c>
      <c r="AG53" s="1075"/>
      <c r="AH53" s="1074">
        <v>5908</v>
      </c>
      <c r="AI53" s="1075"/>
      <c r="AJ53" s="1074">
        <v>5646</v>
      </c>
      <c r="AK53" s="1075"/>
      <c r="AL53" s="1074">
        <v>5264</v>
      </c>
      <c r="AM53" s="1075"/>
      <c r="AN53" s="1074">
        <v>4776</v>
      </c>
      <c r="AO53" s="1075"/>
      <c r="AP53" s="1074">
        <v>4330</v>
      </c>
      <c r="AQ53" s="1075"/>
      <c r="AR53" s="1074">
        <v>0</v>
      </c>
      <c r="AS53" s="1075"/>
      <c r="AT53" s="1074">
        <v>0</v>
      </c>
      <c r="AU53" s="1075"/>
      <c r="AV53" s="1074">
        <v>0</v>
      </c>
      <c r="AW53" s="1075"/>
      <c r="AX53" s="1074">
        <v>0</v>
      </c>
      <c r="AY53" s="1076"/>
      <c r="AZ53" s="1077">
        <v>0</v>
      </c>
      <c r="BA53" s="1078"/>
      <c r="BB53" s="1079">
        <v>0</v>
      </c>
      <c r="BC53" s="970"/>
      <c r="BD53" s="1068" t="s">
        <v>438</v>
      </c>
      <c r="BE53" s="1069"/>
      <c r="BF53" s="1070"/>
      <c r="BG53" s="1070"/>
      <c r="BH53" s="1071"/>
      <c r="BI53" s="1072"/>
      <c r="BJ53" s="1073"/>
      <c r="BK53" s="1074">
        <v>0</v>
      </c>
      <c r="BL53" s="1075"/>
      <c r="BM53" s="1074">
        <v>0</v>
      </c>
      <c r="BN53" s="1075"/>
      <c r="BO53" s="1074">
        <v>0</v>
      </c>
      <c r="BP53" s="1075"/>
      <c r="BQ53" s="1074">
        <v>0</v>
      </c>
      <c r="BR53" s="1075"/>
      <c r="BS53" s="1074">
        <v>0</v>
      </c>
      <c r="BT53" s="1075"/>
      <c r="BU53" s="1074">
        <v>0</v>
      </c>
      <c r="BV53" s="1075"/>
      <c r="BW53" s="1074">
        <v>0</v>
      </c>
      <c r="BX53" s="1075"/>
      <c r="BY53" s="1074">
        <v>0</v>
      </c>
      <c r="BZ53" s="1075"/>
      <c r="CA53" s="1074">
        <v>5205</v>
      </c>
      <c r="CB53" s="1075"/>
      <c r="CC53" s="1074">
        <v>4810</v>
      </c>
      <c r="CD53" s="1075"/>
      <c r="CE53" s="1074">
        <v>5168</v>
      </c>
      <c r="CF53" s="1075"/>
      <c r="CG53" s="1074">
        <v>5336</v>
      </c>
      <c r="CH53" s="1075"/>
      <c r="CI53" s="1074">
        <v>6085</v>
      </c>
      <c r="CJ53" s="1075"/>
      <c r="CK53" s="1074">
        <v>6155</v>
      </c>
      <c r="CL53" s="1075"/>
      <c r="CM53" s="1074">
        <v>5964</v>
      </c>
      <c r="CN53" s="1075"/>
      <c r="CO53" s="1074">
        <v>5550</v>
      </c>
      <c r="CP53" s="1075"/>
      <c r="CQ53" s="1074">
        <v>5026</v>
      </c>
      <c r="CR53" s="1075"/>
      <c r="CS53" s="1074">
        <v>4401</v>
      </c>
      <c r="CT53" s="1075"/>
      <c r="CU53" s="1074">
        <v>0</v>
      </c>
      <c r="CV53" s="1075"/>
      <c r="CW53" s="1074">
        <v>0</v>
      </c>
      <c r="CX53" s="1075"/>
      <c r="CY53" s="1074">
        <v>0</v>
      </c>
      <c r="CZ53" s="1075"/>
      <c r="DA53" s="1074">
        <v>0</v>
      </c>
      <c r="DB53" s="1076"/>
      <c r="DC53" s="1077">
        <v>0</v>
      </c>
      <c r="DD53" s="1078"/>
      <c r="DE53" s="1079">
        <v>0</v>
      </c>
      <c r="DF53" s="970"/>
      <c r="DG53" s="1068" t="s">
        <v>438</v>
      </c>
      <c r="DH53" s="1069"/>
      <c r="DI53" s="1070"/>
      <c r="DJ53" s="1070"/>
      <c r="DK53" s="1071"/>
      <c r="DL53" s="1072"/>
      <c r="DM53" s="1073"/>
      <c r="DN53" s="1074">
        <v>0</v>
      </c>
      <c r="DO53" s="1075"/>
      <c r="DP53" s="1074">
        <v>0</v>
      </c>
      <c r="DQ53" s="1075"/>
      <c r="DR53" s="1074">
        <v>0</v>
      </c>
      <c r="DS53" s="1075"/>
      <c r="DT53" s="1074">
        <v>0</v>
      </c>
      <c r="DU53" s="1075"/>
      <c r="DV53" s="1074">
        <v>0</v>
      </c>
      <c r="DW53" s="1075"/>
      <c r="DX53" s="1074">
        <v>0</v>
      </c>
      <c r="DY53" s="1075"/>
      <c r="DZ53" s="1074">
        <v>0</v>
      </c>
      <c r="EA53" s="1075"/>
      <c r="EB53" s="1074">
        <v>0</v>
      </c>
      <c r="EC53" s="1075"/>
      <c r="ED53" s="1074">
        <v>4742</v>
      </c>
      <c r="EE53" s="1075"/>
      <c r="EF53" s="1074">
        <v>4754</v>
      </c>
      <c r="EG53" s="1075"/>
      <c r="EH53" s="1074">
        <v>5656</v>
      </c>
      <c r="EI53" s="1075"/>
      <c r="EJ53" s="1074">
        <v>5925</v>
      </c>
      <c r="EK53" s="1075"/>
      <c r="EL53" s="1074">
        <v>6581</v>
      </c>
      <c r="EM53" s="1075"/>
      <c r="EN53" s="1074">
        <v>6548</v>
      </c>
      <c r="EO53" s="1075"/>
      <c r="EP53" s="1074">
        <v>6197</v>
      </c>
      <c r="EQ53" s="1075"/>
      <c r="ER53" s="1074">
        <v>5565</v>
      </c>
      <c r="ES53" s="1075"/>
      <c r="ET53" s="1074">
        <v>4727</v>
      </c>
      <c r="EU53" s="1075"/>
      <c r="EV53" s="1074">
        <v>3927</v>
      </c>
      <c r="EW53" s="1075"/>
      <c r="EX53" s="1074">
        <v>0</v>
      </c>
      <c r="EY53" s="1075"/>
      <c r="EZ53" s="1074">
        <v>0</v>
      </c>
      <c r="FA53" s="1075"/>
      <c r="FB53" s="1074">
        <v>0</v>
      </c>
      <c r="FC53" s="1075"/>
      <c r="FD53" s="1074">
        <v>0</v>
      </c>
      <c r="FE53" s="1076"/>
      <c r="FF53" s="1077">
        <v>0</v>
      </c>
      <c r="FG53" s="1078"/>
      <c r="FH53" s="1079">
        <v>0</v>
      </c>
      <c r="FI53" s="970"/>
      <c r="FJ53" s="1068" t="s">
        <v>438</v>
      </c>
      <c r="FK53" s="1069"/>
      <c r="FL53" s="1070"/>
      <c r="FM53" s="1070"/>
      <c r="FN53" s="1071"/>
      <c r="FO53" s="1072"/>
      <c r="FP53" s="1080"/>
      <c r="FQ53" s="1081"/>
      <c r="FR53" s="1074">
        <v>6209</v>
      </c>
      <c r="FS53" s="1082"/>
      <c r="FT53" s="1081"/>
      <c r="FU53" s="1083">
        <v>6289</v>
      </c>
      <c r="FV53" s="1084">
        <v>14</v>
      </c>
      <c r="FW53" s="1085">
        <v>5908</v>
      </c>
      <c r="FX53" s="1086">
        <v>14</v>
      </c>
      <c r="FY53" s="1085">
        <v>6155</v>
      </c>
      <c r="FZ53" s="1086">
        <v>13</v>
      </c>
      <c r="GA53" s="1085">
        <v>6581</v>
      </c>
      <c r="GB53" s="1087" t="s">
        <v>358</v>
      </c>
      <c r="GC53" s="1085">
        <v>6581</v>
      </c>
      <c r="GD53" s="1087" t="s">
        <v>360</v>
      </c>
      <c r="GE53" s="1088">
        <v>6289</v>
      </c>
      <c r="GF53" s="681"/>
      <c r="GG53" s="979"/>
      <c r="GH53" s="979"/>
      <c r="GI53" s="979"/>
      <c r="GJ53" s="942"/>
      <c r="GK53" s="414"/>
      <c r="GL53" s="1089">
        <v>10</v>
      </c>
      <c r="GM53" s="1090">
        <v>1</v>
      </c>
      <c r="GN53" s="1091">
        <v>0.92</v>
      </c>
      <c r="GO53" s="1092">
        <v>5.7</v>
      </c>
      <c r="GP53" s="1092">
        <v>13</v>
      </c>
      <c r="GQ53" s="1093">
        <v>18.7</v>
      </c>
      <c r="GR53" s="577"/>
      <c r="GS53" s="480"/>
      <c r="GT53" s="850"/>
      <c r="GU53" s="577" t="s">
        <v>517</v>
      </c>
      <c r="GV53" s="577"/>
      <c r="GW53" s="577"/>
      <c r="GX53" s="577"/>
      <c r="GY53" s="414"/>
      <c r="GZ53" s="410"/>
      <c r="HA53" s="612">
        <v>13.4</v>
      </c>
      <c r="HB53" s="576" t="s">
        <v>470</v>
      </c>
      <c r="HC53" s="792"/>
      <c r="HD53" s="416"/>
    </row>
    <row r="54" spans="1:212" ht="20.100000000000001" customHeight="1">
      <c r="A54" s="1094" t="s">
        <v>439</v>
      </c>
      <c r="B54" s="1095"/>
      <c r="C54" s="1096"/>
      <c r="D54" s="1097"/>
      <c r="E54" s="1098"/>
      <c r="F54" s="1099"/>
      <c r="G54" s="1100"/>
      <c r="H54" s="1101">
        <v>0</v>
      </c>
      <c r="I54" s="1102"/>
      <c r="J54" s="1101">
        <v>0</v>
      </c>
      <c r="K54" s="1102"/>
      <c r="L54" s="1101">
        <v>0</v>
      </c>
      <c r="M54" s="1102"/>
      <c r="N54" s="1101">
        <v>0</v>
      </c>
      <c r="O54" s="1102"/>
      <c r="P54" s="1101">
        <v>0</v>
      </c>
      <c r="Q54" s="1102"/>
      <c r="R54" s="1101">
        <v>0</v>
      </c>
      <c r="S54" s="1102"/>
      <c r="T54" s="1101">
        <v>0</v>
      </c>
      <c r="U54" s="1102"/>
      <c r="V54" s="1101">
        <v>0</v>
      </c>
      <c r="W54" s="1102"/>
      <c r="X54" s="1101">
        <v>97</v>
      </c>
      <c r="Y54" s="1102"/>
      <c r="Z54" s="1101">
        <v>91.1</v>
      </c>
      <c r="AA54" s="1102"/>
      <c r="AB54" s="1101">
        <v>95.9</v>
      </c>
      <c r="AC54" s="1102"/>
      <c r="AD54" s="1101">
        <v>96</v>
      </c>
      <c r="AE54" s="1102"/>
      <c r="AF54" s="1101">
        <v>107.6</v>
      </c>
      <c r="AG54" s="1102"/>
      <c r="AH54" s="1101">
        <v>107.8</v>
      </c>
      <c r="AI54" s="1102"/>
      <c r="AJ54" s="1101">
        <v>103</v>
      </c>
      <c r="AK54" s="1102"/>
      <c r="AL54" s="1101">
        <v>96.1</v>
      </c>
      <c r="AM54" s="1102"/>
      <c r="AN54" s="1101">
        <v>87.2</v>
      </c>
      <c r="AO54" s="1102"/>
      <c r="AP54" s="1101">
        <v>79</v>
      </c>
      <c r="AQ54" s="1102"/>
      <c r="AR54" s="1101">
        <v>0</v>
      </c>
      <c r="AS54" s="1102"/>
      <c r="AT54" s="1101">
        <v>0</v>
      </c>
      <c r="AU54" s="1102"/>
      <c r="AV54" s="1101">
        <v>0</v>
      </c>
      <c r="AW54" s="1102"/>
      <c r="AX54" s="1101">
        <v>0</v>
      </c>
      <c r="AY54" s="1102"/>
      <c r="AZ54" s="1101">
        <v>0</v>
      </c>
      <c r="BA54" s="1102"/>
      <c r="BB54" s="1103">
        <v>0</v>
      </c>
      <c r="BC54" s="1006"/>
      <c r="BD54" s="1094" t="s">
        <v>439</v>
      </c>
      <c r="BE54" s="1095"/>
      <c r="BF54" s="1096"/>
      <c r="BG54" s="1097"/>
      <c r="BH54" s="1098"/>
      <c r="BI54" s="1099"/>
      <c r="BJ54" s="1100"/>
      <c r="BK54" s="1101">
        <v>0</v>
      </c>
      <c r="BL54" s="1102"/>
      <c r="BM54" s="1101">
        <v>0</v>
      </c>
      <c r="BN54" s="1102"/>
      <c r="BO54" s="1101">
        <v>0</v>
      </c>
      <c r="BP54" s="1102"/>
      <c r="BQ54" s="1101">
        <v>0</v>
      </c>
      <c r="BR54" s="1102"/>
      <c r="BS54" s="1101">
        <v>0</v>
      </c>
      <c r="BT54" s="1102"/>
      <c r="BU54" s="1101">
        <v>0</v>
      </c>
      <c r="BV54" s="1102"/>
      <c r="BW54" s="1101">
        <v>0</v>
      </c>
      <c r="BX54" s="1102"/>
      <c r="BY54" s="1101">
        <v>0</v>
      </c>
      <c r="BZ54" s="1102"/>
      <c r="CA54" s="1101">
        <v>95</v>
      </c>
      <c r="CB54" s="1102"/>
      <c r="CC54" s="1101">
        <v>87.8</v>
      </c>
      <c r="CD54" s="1102"/>
      <c r="CE54" s="1101">
        <v>94.3</v>
      </c>
      <c r="CF54" s="1102"/>
      <c r="CG54" s="1101">
        <v>97.4</v>
      </c>
      <c r="CH54" s="1102"/>
      <c r="CI54" s="1101">
        <v>111</v>
      </c>
      <c r="CJ54" s="1102"/>
      <c r="CK54" s="1101">
        <v>112.3</v>
      </c>
      <c r="CL54" s="1102"/>
      <c r="CM54" s="1101">
        <v>108.8</v>
      </c>
      <c r="CN54" s="1102"/>
      <c r="CO54" s="1101">
        <v>101.3</v>
      </c>
      <c r="CP54" s="1102"/>
      <c r="CQ54" s="1101">
        <v>91.7</v>
      </c>
      <c r="CR54" s="1102"/>
      <c r="CS54" s="1101">
        <v>80.3</v>
      </c>
      <c r="CT54" s="1102"/>
      <c r="CU54" s="1101">
        <v>0</v>
      </c>
      <c r="CV54" s="1102"/>
      <c r="CW54" s="1101">
        <v>0</v>
      </c>
      <c r="CX54" s="1102"/>
      <c r="CY54" s="1101">
        <v>0</v>
      </c>
      <c r="CZ54" s="1102"/>
      <c r="DA54" s="1101">
        <v>0</v>
      </c>
      <c r="DB54" s="1102"/>
      <c r="DC54" s="1101">
        <v>0</v>
      </c>
      <c r="DD54" s="1102"/>
      <c r="DE54" s="1103">
        <v>0</v>
      </c>
      <c r="DF54" s="1006"/>
      <c r="DG54" s="1094" t="s">
        <v>439</v>
      </c>
      <c r="DH54" s="1095"/>
      <c r="DI54" s="1096"/>
      <c r="DJ54" s="1097"/>
      <c r="DK54" s="1098"/>
      <c r="DL54" s="1099"/>
      <c r="DM54" s="1100"/>
      <c r="DN54" s="1101">
        <v>0</v>
      </c>
      <c r="DO54" s="1102"/>
      <c r="DP54" s="1101">
        <v>0</v>
      </c>
      <c r="DQ54" s="1102"/>
      <c r="DR54" s="1101">
        <v>0</v>
      </c>
      <c r="DS54" s="1102"/>
      <c r="DT54" s="1101">
        <v>0</v>
      </c>
      <c r="DU54" s="1102"/>
      <c r="DV54" s="1101">
        <v>0</v>
      </c>
      <c r="DW54" s="1102"/>
      <c r="DX54" s="1101">
        <v>0</v>
      </c>
      <c r="DY54" s="1102"/>
      <c r="DZ54" s="1101">
        <v>0</v>
      </c>
      <c r="EA54" s="1102"/>
      <c r="EB54" s="1101">
        <v>0</v>
      </c>
      <c r="EC54" s="1102"/>
      <c r="ED54" s="1101">
        <v>86.5</v>
      </c>
      <c r="EE54" s="1102"/>
      <c r="EF54" s="1101">
        <v>86.8</v>
      </c>
      <c r="EG54" s="1102"/>
      <c r="EH54" s="1101">
        <v>103.2</v>
      </c>
      <c r="EI54" s="1102"/>
      <c r="EJ54" s="1101">
        <v>108.1</v>
      </c>
      <c r="EK54" s="1102"/>
      <c r="EL54" s="1101">
        <v>120.1</v>
      </c>
      <c r="EM54" s="1102"/>
      <c r="EN54" s="1101">
        <v>119.5</v>
      </c>
      <c r="EO54" s="1102"/>
      <c r="EP54" s="1101">
        <v>113.1</v>
      </c>
      <c r="EQ54" s="1102"/>
      <c r="ER54" s="1101">
        <v>101.6</v>
      </c>
      <c r="ES54" s="1102"/>
      <c r="ET54" s="1101">
        <v>86.3</v>
      </c>
      <c r="EU54" s="1102"/>
      <c r="EV54" s="1101">
        <v>71.7</v>
      </c>
      <c r="EW54" s="1102"/>
      <c r="EX54" s="1101">
        <v>0</v>
      </c>
      <c r="EY54" s="1102"/>
      <c r="EZ54" s="1101">
        <v>0</v>
      </c>
      <c r="FA54" s="1102"/>
      <c r="FB54" s="1101">
        <v>0</v>
      </c>
      <c r="FC54" s="1102"/>
      <c r="FD54" s="1101">
        <v>0</v>
      </c>
      <c r="FE54" s="1102"/>
      <c r="FF54" s="1101">
        <v>0</v>
      </c>
      <c r="FG54" s="1102"/>
      <c r="FH54" s="1103">
        <v>0</v>
      </c>
      <c r="FI54" s="1006"/>
      <c r="FJ54" s="1094" t="s">
        <v>439</v>
      </c>
      <c r="FK54" s="1095"/>
      <c r="FL54" s="1096"/>
      <c r="FM54" s="1097"/>
      <c r="FN54" s="1098"/>
      <c r="FO54" s="1099"/>
      <c r="FP54" s="1104"/>
      <c r="FQ54" s="1102"/>
      <c r="FR54" s="1101">
        <v>113.3</v>
      </c>
      <c r="FS54" s="1105"/>
      <c r="FT54" s="1102"/>
      <c r="FU54" s="1106">
        <v>114.8</v>
      </c>
      <c r="FV54" s="1105"/>
      <c r="FW54" s="1101">
        <f>IF(面積=0,0,ROUND(FW53/面積,1))</f>
        <v>107.8</v>
      </c>
      <c r="FX54" s="1105"/>
      <c r="FY54" s="1101">
        <f>IF(面積=0,0,ROUND(FY53/面積,1))</f>
        <v>112.3</v>
      </c>
      <c r="FZ54" s="1105"/>
      <c r="GA54" s="1101">
        <f>IF(面積=0,0,ROUND(GA53/面積,1))</f>
        <v>120.1</v>
      </c>
      <c r="GB54" s="1105"/>
      <c r="GC54" s="1101">
        <f>IF(面積=0,0,ROUND(GC53/面積,1))</f>
        <v>120.1</v>
      </c>
      <c r="GD54" s="1105"/>
      <c r="GE54" s="1103">
        <f>IF(面積=0,0,ROUND(GE53/面積,1))</f>
        <v>114.8</v>
      </c>
      <c r="GF54" s="681"/>
      <c r="GG54" s="926"/>
      <c r="GH54" s="926"/>
      <c r="GI54" s="926"/>
      <c r="GJ54" s="577"/>
      <c r="GK54" s="576"/>
      <c r="GL54" s="1089">
        <v>11</v>
      </c>
      <c r="GM54" s="1090">
        <v>2</v>
      </c>
      <c r="GN54" s="1091">
        <v>0.85</v>
      </c>
      <c r="GO54" s="1092">
        <v>5.3</v>
      </c>
      <c r="GP54" s="1092">
        <v>13</v>
      </c>
      <c r="GQ54" s="1093">
        <v>18.3</v>
      </c>
      <c r="GR54" s="527"/>
      <c r="GS54" s="577"/>
      <c r="GT54" s="850"/>
      <c r="GU54" s="1107" t="s">
        <v>518</v>
      </c>
      <c r="GV54" s="1107"/>
      <c r="GW54" s="1107"/>
      <c r="GX54" s="1107"/>
      <c r="GY54" s="768"/>
      <c r="GZ54" s="1108"/>
      <c r="HA54" s="1109">
        <v>49.8</v>
      </c>
      <c r="HB54" s="1110" t="s">
        <v>470</v>
      </c>
      <c r="HC54" s="526"/>
      <c r="HD54" s="416"/>
    </row>
    <row r="55" spans="1:212" ht="20.100000000000001" customHeight="1" thickBot="1">
      <c r="A55" s="387"/>
      <c r="B55" s="387"/>
      <c r="C55" s="387"/>
      <c r="D55" s="387"/>
      <c r="E55" s="388"/>
      <c r="F55" s="388"/>
      <c r="G55" s="388"/>
      <c r="H55" s="1111"/>
      <c r="I55" s="416"/>
      <c r="J55" s="416"/>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90"/>
      <c r="BD55" s="387"/>
      <c r="BE55" s="387"/>
      <c r="BF55" s="387"/>
      <c r="BG55" s="387"/>
      <c r="BH55" s="388"/>
      <c r="BI55" s="388"/>
      <c r="BJ55" s="388"/>
      <c r="BK55" s="1111"/>
      <c r="BL55" s="416"/>
      <c r="BM55" s="416"/>
      <c r="BN55" s="388"/>
      <c r="BO55" s="388"/>
      <c r="BP55" s="388"/>
      <c r="BQ55" s="388"/>
      <c r="BR55" s="388"/>
      <c r="BS55" s="388"/>
      <c r="BT55" s="388"/>
      <c r="BU55" s="388"/>
      <c r="BV55" s="388"/>
      <c r="BW55" s="388"/>
      <c r="BX55" s="388"/>
      <c r="BY55" s="388"/>
      <c r="BZ55" s="388"/>
      <c r="CA55" s="388"/>
      <c r="CB55" s="388"/>
      <c r="CC55" s="388"/>
      <c r="CD55" s="388"/>
      <c r="CE55" s="388"/>
      <c r="CF55" s="388"/>
      <c r="CG55" s="388"/>
      <c r="CH55" s="388"/>
      <c r="CI55" s="388"/>
      <c r="CJ55" s="388"/>
      <c r="CK55" s="388"/>
      <c r="CL55" s="388"/>
      <c r="CM55" s="388"/>
      <c r="CN55" s="388"/>
      <c r="CO55" s="388"/>
      <c r="CP55" s="388"/>
      <c r="CQ55" s="388"/>
      <c r="CR55" s="388"/>
      <c r="CS55" s="388"/>
      <c r="CT55" s="388"/>
      <c r="CU55" s="388"/>
      <c r="CV55" s="388"/>
      <c r="CW55" s="388"/>
      <c r="CX55" s="388"/>
      <c r="CY55" s="388"/>
      <c r="CZ55" s="388"/>
      <c r="DA55" s="388"/>
      <c r="DB55" s="388"/>
      <c r="DC55" s="388"/>
      <c r="DD55" s="388"/>
      <c r="DE55" s="388"/>
      <c r="DF55" s="390"/>
      <c r="DG55" s="387"/>
      <c r="DH55" s="387"/>
      <c r="DI55" s="387"/>
      <c r="DJ55" s="387"/>
      <c r="DK55" s="388"/>
      <c r="DL55" s="388"/>
      <c r="DM55" s="388"/>
      <c r="DN55" s="1111"/>
      <c r="DO55" s="416"/>
      <c r="DP55" s="416"/>
      <c r="DQ55" s="388"/>
      <c r="DR55" s="388"/>
      <c r="DS55" s="388"/>
      <c r="DT55" s="388"/>
      <c r="DU55" s="388"/>
      <c r="DV55" s="388"/>
      <c r="DW55" s="388"/>
      <c r="DX55" s="388"/>
      <c r="DY55" s="388"/>
      <c r="DZ55" s="388"/>
      <c r="EA55" s="388"/>
      <c r="EB55" s="388"/>
      <c r="EC55" s="388"/>
      <c r="ED55" s="388"/>
      <c r="EE55" s="388"/>
      <c r="EF55" s="388"/>
      <c r="EG55" s="388"/>
      <c r="EH55" s="388"/>
      <c r="EI55" s="388"/>
      <c r="EJ55" s="388"/>
      <c r="EK55" s="388"/>
      <c r="EL55" s="388"/>
      <c r="EM55" s="388"/>
      <c r="EN55" s="388"/>
      <c r="EO55" s="388"/>
      <c r="EP55" s="388"/>
      <c r="EQ55" s="388"/>
      <c r="ER55" s="388"/>
      <c r="ES55" s="388"/>
      <c r="ET55" s="388"/>
      <c r="EU55" s="388"/>
      <c r="EV55" s="388"/>
      <c r="EW55" s="388"/>
      <c r="EX55" s="388"/>
      <c r="EY55" s="388"/>
      <c r="EZ55" s="388"/>
      <c r="FA55" s="388"/>
      <c r="FB55" s="388"/>
      <c r="FC55" s="388"/>
      <c r="FD55" s="388"/>
      <c r="FE55" s="388"/>
      <c r="FF55" s="388"/>
      <c r="FG55" s="388"/>
      <c r="FH55" s="388"/>
      <c r="FI55" s="390"/>
      <c r="FJ55" s="387"/>
      <c r="FK55" s="387"/>
      <c r="FL55" s="387"/>
      <c r="FM55" s="387"/>
      <c r="FN55" s="388"/>
      <c r="FO55" s="388"/>
      <c r="FP55" s="388"/>
      <c r="FQ55" s="416"/>
      <c r="FR55" s="1111"/>
      <c r="FS55" s="416"/>
      <c r="FT55" s="416"/>
      <c r="FU55" s="416"/>
      <c r="FV55" s="387"/>
      <c r="FW55" s="387"/>
      <c r="FX55" s="387"/>
      <c r="FY55" s="387"/>
      <c r="FZ55" s="387"/>
      <c r="GA55" s="387"/>
      <c r="GB55" s="387"/>
      <c r="GC55" s="387"/>
      <c r="GD55" s="387"/>
      <c r="GE55" s="1112"/>
      <c r="GF55" s="681"/>
      <c r="GG55" s="392"/>
      <c r="GH55" s="392"/>
      <c r="GI55" s="392"/>
      <c r="GJ55" s="527"/>
      <c r="GK55" s="414"/>
      <c r="GL55" s="1113">
        <v>12</v>
      </c>
      <c r="GM55" s="1114">
        <v>3</v>
      </c>
      <c r="GN55" s="1091">
        <v>0.78</v>
      </c>
      <c r="GO55" s="1092">
        <v>4.8</v>
      </c>
      <c r="GP55" s="1092">
        <v>13</v>
      </c>
      <c r="GQ55" s="1093">
        <v>17.8</v>
      </c>
      <c r="GR55" s="527"/>
      <c r="GS55" s="527"/>
      <c r="GT55" s="1115"/>
      <c r="GU55" s="1116"/>
      <c r="GV55" s="576"/>
      <c r="GW55" s="527"/>
      <c r="GX55" s="576"/>
      <c r="GY55" s="392"/>
      <c r="GZ55" s="526"/>
      <c r="HA55" s="577"/>
      <c r="HB55" s="526"/>
      <c r="HC55" s="392"/>
      <c r="HD55" s="388"/>
    </row>
    <row r="56" spans="1:212" ht="20.100000000000001" customHeight="1">
      <c r="A56" s="1117" t="s">
        <v>337</v>
      </c>
      <c r="B56" s="1118"/>
      <c r="C56" s="1118"/>
      <c r="D56" s="1118"/>
      <c r="E56" s="1119"/>
      <c r="F56" s="1120"/>
      <c r="G56" s="1121">
        <v>1</v>
      </c>
      <c r="H56" s="1122"/>
      <c r="I56" s="1123">
        <v>2</v>
      </c>
      <c r="J56" s="1122"/>
      <c r="K56" s="1123">
        <v>3</v>
      </c>
      <c r="L56" s="1122"/>
      <c r="M56" s="1123">
        <v>4</v>
      </c>
      <c r="N56" s="1122"/>
      <c r="O56" s="1123">
        <v>5</v>
      </c>
      <c r="P56" s="1122"/>
      <c r="Q56" s="1123">
        <v>6</v>
      </c>
      <c r="R56" s="1122"/>
      <c r="S56" s="1123">
        <v>7</v>
      </c>
      <c r="T56" s="1122"/>
      <c r="U56" s="1123">
        <v>8</v>
      </c>
      <c r="V56" s="1122"/>
      <c r="W56" s="1123">
        <v>9</v>
      </c>
      <c r="X56" s="1122"/>
      <c r="Y56" s="1123">
        <v>10</v>
      </c>
      <c r="Z56" s="1122"/>
      <c r="AA56" s="1123">
        <v>11</v>
      </c>
      <c r="AB56" s="1122"/>
      <c r="AC56" s="1123">
        <v>12</v>
      </c>
      <c r="AD56" s="1122"/>
      <c r="AE56" s="1123">
        <v>13</v>
      </c>
      <c r="AF56" s="1122"/>
      <c r="AG56" s="1123">
        <v>14</v>
      </c>
      <c r="AH56" s="1122"/>
      <c r="AI56" s="1123">
        <v>15</v>
      </c>
      <c r="AJ56" s="1122"/>
      <c r="AK56" s="1123">
        <v>16</v>
      </c>
      <c r="AL56" s="1122"/>
      <c r="AM56" s="1123">
        <v>17</v>
      </c>
      <c r="AN56" s="1122"/>
      <c r="AO56" s="1123">
        <v>18</v>
      </c>
      <c r="AP56" s="1122"/>
      <c r="AQ56" s="1123">
        <v>19</v>
      </c>
      <c r="AR56" s="1122"/>
      <c r="AS56" s="1123">
        <v>20</v>
      </c>
      <c r="AT56" s="1122"/>
      <c r="AU56" s="1123">
        <v>21</v>
      </c>
      <c r="AV56" s="1122"/>
      <c r="AW56" s="1123">
        <v>22</v>
      </c>
      <c r="AX56" s="1122"/>
      <c r="AY56" s="1123">
        <v>23</v>
      </c>
      <c r="AZ56" s="1122"/>
      <c r="BA56" s="1123">
        <v>24</v>
      </c>
      <c r="BB56" s="1124"/>
      <c r="BC56" s="1027"/>
      <c r="BD56" s="1117" t="s">
        <v>337</v>
      </c>
      <c r="BE56" s="1118"/>
      <c r="BF56" s="1118"/>
      <c r="BG56" s="1118"/>
      <c r="BH56" s="1119"/>
      <c r="BI56" s="1120"/>
      <c r="BJ56" s="1121">
        <v>1</v>
      </c>
      <c r="BK56" s="1122"/>
      <c r="BL56" s="1123">
        <v>2</v>
      </c>
      <c r="BM56" s="1122"/>
      <c r="BN56" s="1123">
        <v>3</v>
      </c>
      <c r="BO56" s="1122"/>
      <c r="BP56" s="1123">
        <v>4</v>
      </c>
      <c r="BQ56" s="1122"/>
      <c r="BR56" s="1123">
        <v>5</v>
      </c>
      <c r="BS56" s="1122"/>
      <c r="BT56" s="1123">
        <v>6</v>
      </c>
      <c r="BU56" s="1122"/>
      <c r="BV56" s="1123">
        <v>7</v>
      </c>
      <c r="BW56" s="1122"/>
      <c r="BX56" s="1123">
        <v>8</v>
      </c>
      <c r="BY56" s="1122"/>
      <c r="BZ56" s="1123">
        <v>9</v>
      </c>
      <c r="CA56" s="1122"/>
      <c r="CB56" s="1123">
        <v>10</v>
      </c>
      <c r="CC56" s="1122"/>
      <c r="CD56" s="1123">
        <v>11</v>
      </c>
      <c r="CE56" s="1122"/>
      <c r="CF56" s="1123">
        <v>12</v>
      </c>
      <c r="CG56" s="1122"/>
      <c r="CH56" s="1123">
        <v>13</v>
      </c>
      <c r="CI56" s="1122"/>
      <c r="CJ56" s="1123">
        <v>14</v>
      </c>
      <c r="CK56" s="1122"/>
      <c r="CL56" s="1123">
        <v>15</v>
      </c>
      <c r="CM56" s="1122"/>
      <c r="CN56" s="1123">
        <v>16</v>
      </c>
      <c r="CO56" s="1122"/>
      <c r="CP56" s="1123">
        <v>17</v>
      </c>
      <c r="CQ56" s="1122"/>
      <c r="CR56" s="1123">
        <v>18</v>
      </c>
      <c r="CS56" s="1122"/>
      <c r="CT56" s="1123">
        <v>19</v>
      </c>
      <c r="CU56" s="1122"/>
      <c r="CV56" s="1123">
        <v>20</v>
      </c>
      <c r="CW56" s="1122"/>
      <c r="CX56" s="1123">
        <v>21</v>
      </c>
      <c r="CY56" s="1122"/>
      <c r="CZ56" s="1123">
        <v>22</v>
      </c>
      <c r="DA56" s="1122"/>
      <c r="DB56" s="1123">
        <v>23</v>
      </c>
      <c r="DC56" s="1122"/>
      <c r="DD56" s="1123">
        <v>24</v>
      </c>
      <c r="DE56" s="1124"/>
      <c r="DF56" s="1027"/>
      <c r="DG56" s="1117" t="s">
        <v>337</v>
      </c>
      <c r="DH56" s="1118"/>
      <c r="DI56" s="1118"/>
      <c r="DJ56" s="1118"/>
      <c r="DK56" s="1119"/>
      <c r="DL56" s="1120"/>
      <c r="DM56" s="1121">
        <v>1</v>
      </c>
      <c r="DN56" s="1122"/>
      <c r="DO56" s="1123">
        <v>2</v>
      </c>
      <c r="DP56" s="1122"/>
      <c r="DQ56" s="1123">
        <v>3</v>
      </c>
      <c r="DR56" s="1122"/>
      <c r="DS56" s="1123">
        <v>4</v>
      </c>
      <c r="DT56" s="1122"/>
      <c r="DU56" s="1123">
        <v>5</v>
      </c>
      <c r="DV56" s="1122"/>
      <c r="DW56" s="1123">
        <v>6</v>
      </c>
      <c r="DX56" s="1122"/>
      <c r="DY56" s="1123">
        <v>7</v>
      </c>
      <c r="DZ56" s="1122"/>
      <c r="EA56" s="1123">
        <v>8</v>
      </c>
      <c r="EB56" s="1122"/>
      <c r="EC56" s="1123">
        <v>9</v>
      </c>
      <c r="ED56" s="1122"/>
      <c r="EE56" s="1123">
        <v>10</v>
      </c>
      <c r="EF56" s="1122"/>
      <c r="EG56" s="1123">
        <v>11</v>
      </c>
      <c r="EH56" s="1122"/>
      <c r="EI56" s="1123">
        <v>12</v>
      </c>
      <c r="EJ56" s="1122"/>
      <c r="EK56" s="1123">
        <v>13</v>
      </c>
      <c r="EL56" s="1122"/>
      <c r="EM56" s="1123">
        <v>14</v>
      </c>
      <c r="EN56" s="1122"/>
      <c r="EO56" s="1123">
        <v>15</v>
      </c>
      <c r="EP56" s="1122"/>
      <c r="EQ56" s="1123">
        <v>16</v>
      </c>
      <c r="ER56" s="1122"/>
      <c r="ES56" s="1123">
        <v>17</v>
      </c>
      <c r="ET56" s="1122"/>
      <c r="EU56" s="1123">
        <v>18</v>
      </c>
      <c r="EV56" s="1122"/>
      <c r="EW56" s="1123">
        <v>19</v>
      </c>
      <c r="EX56" s="1122"/>
      <c r="EY56" s="1123">
        <v>20</v>
      </c>
      <c r="EZ56" s="1122"/>
      <c r="FA56" s="1123">
        <v>21</v>
      </c>
      <c r="FB56" s="1122"/>
      <c r="FC56" s="1123">
        <v>22</v>
      </c>
      <c r="FD56" s="1122"/>
      <c r="FE56" s="1123">
        <v>23</v>
      </c>
      <c r="FF56" s="1122"/>
      <c r="FG56" s="1123">
        <v>24</v>
      </c>
      <c r="FH56" s="1124"/>
      <c r="FI56" s="1027"/>
      <c r="FJ56" s="1117" t="s">
        <v>338</v>
      </c>
      <c r="FK56" s="1118"/>
      <c r="FL56" s="1118"/>
      <c r="FM56" s="1118"/>
      <c r="FN56" s="1119"/>
      <c r="FO56" s="1119"/>
      <c r="FP56" s="1125" t="s">
        <v>339</v>
      </c>
      <c r="FQ56" s="1126"/>
      <c r="FR56" s="1127"/>
      <c r="FS56" s="1128" t="s">
        <v>297</v>
      </c>
      <c r="FT56" s="1129"/>
      <c r="FU56" s="1130"/>
      <c r="FV56" s="1131" t="s">
        <v>340</v>
      </c>
      <c r="FW56" s="1132"/>
      <c r="FX56" s="1133" t="s">
        <v>341</v>
      </c>
      <c r="FY56" s="1134"/>
      <c r="FZ56" s="1135" t="s">
        <v>342</v>
      </c>
      <c r="GA56" s="1136"/>
      <c r="GB56" s="1137" t="s">
        <v>343</v>
      </c>
      <c r="GC56" s="1122"/>
      <c r="GD56" s="1137" t="s">
        <v>344</v>
      </c>
      <c r="GE56" s="1124"/>
      <c r="GF56" s="681"/>
      <c r="GG56" s="480"/>
      <c r="GH56" s="480"/>
      <c r="GI56" s="480"/>
      <c r="GJ56" s="527"/>
      <c r="GK56" s="576"/>
      <c r="GL56" s="1089">
        <v>13</v>
      </c>
      <c r="GM56" s="1090">
        <v>4</v>
      </c>
      <c r="GN56" s="1091">
        <v>0.72</v>
      </c>
      <c r="GO56" s="1092">
        <v>4.5</v>
      </c>
      <c r="GP56" s="1092">
        <v>13</v>
      </c>
      <c r="GQ56" s="1093">
        <v>17.5</v>
      </c>
      <c r="GR56" s="527"/>
      <c r="GS56" s="526"/>
      <c r="GT56" s="1253"/>
      <c r="GU56" s="575"/>
      <c r="GV56" s="576"/>
      <c r="GW56" s="575"/>
      <c r="GX56" s="576"/>
      <c r="GY56" s="576"/>
      <c r="GZ56" s="497"/>
      <c r="HA56" s="575"/>
      <c r="HB56" s="497"/>
      <c r="HC56" s="483"/>
    </row>
    <row r="57" spans="1:212" ht="20.100000000000001" customHeight="1">
      <c r="A57" s="1138"/>
      <c r="B57" s="1139"/>
      <c r="C57" s="1139"/>
      <c r="D57" s="1139"/>
      <c r="E57" s="1140"/>
      <c r="F57" s="1141"/>
      <c r="G57" s="1142" t="s">
        <v>345</v>
      </c>
      <c r="H57" s="1143" t="s">
        <v>322</v>
      </c>
      <c r="I57" s="1144" t="s">
        <v>345</v>
      </c>
      <c r="J57" s="1143" t="s">
        <v>322</v>
      </c>
      <c r="K57" s="1144" t="s">
        <v>345</v>
      </c>
      <c r="L57" s="1143" t="s">
        <v>322</v>
      </c>
      <c r="M57" s="1144" t="s">
        <v>345</v>
      </c>
      <c r="N57" s="1143" t="s">
        <v>322</v>
      </c>
      <c r="O57" s="1144" t="s">
        <v>345</v>
      </c>
      <c r="P57" s="1143" t="s">
        <v>322</v>
      </c>
      <c r="Q57" s="1144" t="s">
        <v>345</v>
      </c>
      <c r="R57" s="1143" t="s">
        <v>322</v>
      </c>
      <c r="S57" s="1144" t="s">
        <v>345</v>
      </c>
      <c r="T57" s="1143" t="s">
        <v>322</v>
      </c>
      <c r="U57" s="1144" t="s">
        <v>345</v>
      </c>
      <c r="V57" s="1143" t="s">
        <v>322</v>
      </c>
      <c r="W57" s="1144" t="s">
        <v>345</v>
      </c>
      <c r="X57" s="1143" t="s">
        <v>322</v>
      </c>
      <c r="Y57" s="1144" t="s">
        <v>345</v>
      </c>
      <c r="Z57" s="1143" t="s">
        <v>322</v>
      </c>
      <c r="AA57" s="1144" t="s">
        <v>345</v>
      </c>
      <c r="AB57" s="1143" t="s">
        <v>322</v>
      </c>
      <c r="AC57" s="1144" t="s">
        <v>345</v>
      </c>
      <c r="AD57" s="1143" t="s">
        <v>345</v>
      </c>
      <c r="AE57" s="1144" t="s">
        <v>345</v>
      </c>
      <c r="AF57" s="1143" t="s">
        <v>322</v>
      </c>
      <c r="AG57" s="1144" t="s">
        <v>345</v>
      </c>
      <c r="AH57" s="1143" t="s">
        <v>322</v>
      </c>
      <c r="AI57" s="1144" t="s">
        <v>345</v>
      </c>
      <c r="AJ57" s="1143" t="s">
        <v>322</v>
      </c>
      <c r="AK57" s="1144" t="s">
        <v>345</v>
      </c>
      <c r="AL57" s="1143" t="s">
        <v>322</v>
      </c>
      <c r="AM57" s="1144" t="s">
        <v>345</v>
      </c>
      <c r="AN57" s="1143" t="s">
        <v>322</v>
      </c>
      <c r="AO57" s="1144" t="s">
        <v>345</v>
      </c>
      <c r="AP57" s="1143" t="s">
        <v>322</v>
      </c>
      <c r="AQ57" s="1144" t="s">
        <v>345</v>
      </c>
      <c r="AR57" s="1143" t="s">
        <v>322</v>
      </c>
      <c r="AS57" s="1144" t="s">
        <v>345</v>
      </c>
      <c r="AT57" s="1143" t="s">
        <v>322</v>
      </c>
      <c r="AU57" s="1144" t="s">
        <v>345</v>
      </c>
      <c r="AV57" s="1143" t="s">
        <v>322</v>
      </c>
      <c r="AW57" s="1144" t="s">
        <v>345</v>
      </c>
      <c r="AX57" s="1143" t="s">
        <v>322</v>
      </c>
      <c r="AY57" s="1144" t="s">
        <v>345</v>
      </c>
      <c r="AZ57" s="1143" t="s">
        <v>322</v>
      </c>
      <c r="BA57" s="1145" t="s">
        <v>345</v>
      </c>
      <c r="BB57" s="1146" t="s">
        <v>322</v>
      </c>
      <c r="BC57" s="1041"/>
      <c r="BD57" s="1138"/>
      <c r="BE57" s="1139"/>
      <c r="BF57" s="1139"/>
      <c r="BG57" s="1139"/>
      <c r="BH57" s="1140"/>
      <c r="BI57" s="1141"/>
      <c r="BJ57" s="1142" t="s">
        <v>345</v>
      </c>
      <c r="BK57" s="1143" t="s">
        <v>322</v>
      </c>
      <c r="BL57" s="1144" t="s">
        <v>345</v>
      </c>
      <c r="BM57" s="1143" t="s">
        <v>322</v>
      </c>
      <c r="BN57" s="1144" t="s">
        <v>345</v>
      </c>
      <c r="BO57" s="1143" t="s">
        <v>322</v>
      </c>
      <c r="BP57" s="1144" t="s">
        <v>345</v>
      </c>
      <c r="BQ57" s="1143" t="s">
        <v>322</v>
      </c>
      <c r="BR57" s="1144" t="s">
        <v>345</v>
      </c>
      <c r="BS57" s="1143" t="s">
        <v>322</v>
      </c>
      <c r="BT57" s="1144" t="s">
        <v>345</v>
      </c>
      <c r="BU57" s="1143" t="s">
        <v>322</v>
      </c>
      <c r="BV57" s="1144" t="s">
        <v>345</v>
      </c>
      <c r="BW57" s="1143" t="s">
        <v>322</v>
      </c>
      <c r="BX57" s="1144" t="s">
        <v>345</v>
      </c>
      <c r="BY57" s="1143" t="s">
        <v>322</v>
      </c>
      <c r="BZ57" s="1144" t="s">
        <v>345</v>
      </c>
      <c r="CA57" s="1143" t="s">
        <v>322</v>
      </c>
      <c r="CB57" s="1144" t="s">
        <v>345</v>
      </c>
      <c r="CC57" s="1143" t="s">
        <v>322</v>
      </c>
      <c r="CD57" s="1144" t="s">
        <v>345</v>
      </c>
      <c r="CE57" s="1143" t="s">
        <v>322</v>
      </c>
      <c r="CF57" s="1144" t="s">
        <v>345</v>
      </c>
      <c r="CG57" s="1143" t="s">
        <v>345</v>
      </c>
      <c r="CH57" s="1144" t="s">
        <v>345</v>
      </c>
      <c r="CI57" s="1143" t="s">
        <v>322</v>
      </c>
      <c r="CJ57" s="1144" t="s">
        <v>345</v>
      </c>
      <c r="CK57" s="1143" t="s">
        <v>322</v>
      </c>
      <c r="CL57" s="1144" t="s">
        <v>345</v>
      </c>
      <c r="CM57" s="1143" t="s">
        <v>322</v>
      </c>
      <c r="CN57" s="1144" t="s">
        <v>345</v>
      </c>
      <c r="CO57" s="1143" t="s">
        <v>322</v>
      </c>
      <c r="CP57" s="1144" t="s">
        <v>345</v>
      </c>
      <c r="CQ57" s="1143" t="s">
        <v>322</v>
      </c>
      <c r="CR57" s="1144" t="s">
        <v>345</v>
      </c>
      <c r="CS57" s="1143" t="s">
        <v>322</v>
      </c>
      <c r="CT57" s="1144" t="s">
        <v>345</v>
      </c>
      <c r="CU57" s="1143" t="s">
        <v>322</v>
      </c>
      <c r="CV57" s="1144" t="s">
        <v>345</v>
      </c>
      <c r="CW57" s="1143" t="s">
        <v>322</v>
      </c>
      <c r="CX57" s="1144" t="s">
        <v>345</v>
      </c>
      <c r="CY57" s="1143" t="s">
        <v>322</v>
      </c>
      <c r="CZ57" s="1144" t="s">
        <v>345</v>
      </c>
      <c r="DA57" s="1143" t="s">
        <v>322</v>
      </c>
      <c r="DB57" s="1144" t="s">
        <v>345</v>
      </c>
      <c r="DC57" s="1143" t="s">
        <v>322</v>
      </c>
      <c r="DD57" s="1145" t="s">
        <v>345</v>
      </c>
      <c r="DE57" s="1146" t="s">
        <v>322</v>
      </c>
      <c r="DF57" s="1041"/>
      <c r="DG57" s="1138"/>
      <c r="DH57" s="1139"/>
      <c r="DI57" s="1139"/>
      <c r="DJ57" s="1139"/>
      <c r="DK57" s="1140"/>
      <c r="DL57" s="1141"/>
      <c r="DM57" s="1142" t="s">
        <v>345</v>
      </c>
      <c r="DN57" s="1143" t="s">
        <v>322</v>
      </c>
      <c r="DO57" s="1144" t="s">
        <v>345</v>
      </c>
      <c r="DP57" s="1143" t="s">
        <v>322</v>
      </c>
      <c r="DQ57" s="1144" t="s">
        <v>345</v>
      </c>
      <c r="DR57" s="1143" t="s">
        <v>322</v>
      </c>
      <c r="DS57" s="1144" t="s">
        <v>345</v>
      </c>
      <c r="DT57" s="1143" t="s">
        <v>322</v>
      </c>
      <c r="DU57" s="1144" t="s">
        <v>345</v>
      </c>
      <c r="DV57" s="1143" t="s">
        <v>322</v>
      </c>
      <c r="DW57" s="1144" t="s">
        <v>345</v>
      </c>
      <c r="DX57" s="1143" t="s">
        <v>322</v>
      </c>
      <c r="DY57" s="1144" t="s">
        <v>345</v>
      </c>
      <c r="DZ57" s="1143" t="s">
        <v>322</v>
      </c>
      <c r="EA57" s="1144" t="s">
        <v>345</v>
      </c>
      <c r="EB57" s="1143" t="s">
        <v>322</v>
      </c>
      <c r="EC57" s="1144" t="s">
        <v>345</v>
      </c>
      <c r="ED57" s="1143" t="s">
        <v>322</v>
      </c>
      <c r="EE57" s="1144" t="s">
        <v>345</v>
      </c>
      <c r="EF57" s="1143" t="s">
        <v>322</v>
      </c>
      <c r="EG57" s="1144" t="s">
        <v>345</v>
      </c>
      <c r="EH57" s="1143" t="s">
        <v>322</v>
      </c>
      <c r="EI57" s="1144" t="s">
        <v>345</v>
      </c>
      <c r="EJ57" s="1143" t="s">
        <v>345</v>
      </c>
      <c r="EK57" s="1144" t="s">
        <v>345</v>
      </c>
      <c r="EL57" s="1143" t="s">
        <v>322</v>
      </c>
      <c r="EM57" s="1144" t="s">
        <v>345</v>
      </c>
      <c r="EN57" s="1143" t="s">
        <v>322</v>
      </c>
      <c r="EO57" s="1144" t="s">
        <v>345</v>
      </c>
      <c r="EP57" s="1143" t="s">
        <v>322</v>
      </c>
      <c r="EQ57" s="1144" t="s">
        <v>345</v>
      </c>
      <c r="ER57" s="1143" t="s">
        <v>322</v>
      </c>
      <c r="ES57" s="1144" t="s">
        <v>345</v>
      </c>
      <c r="ET57" s="1143" t="s">
        <v>322</v>
      </c>
      <c r="EU57" s="1144" t="s">
        <v>345</v>
      </c>
      <c r="EV57" s="1143" t="s">
        <v>322</v>
      </c>
      <c r="EW57" s="1144" t="s">
        <v>345</v>
      </c>
      <c r="EX57" s="1143" t="s">
        <v>322</v>
      </c>
      <c r="EY57" s="1144" t="s">
        <v>345</v>
      </c>
      <c r="EZ57" s="1143" t="s">
        <v>322</v>
      </c>
      <c r="FA57" s="1144" t="s">
        <v>345</v>
      </c>
      <c r="FB57" s="1143" t="s">
        <v>322</v>
      </c>
      <c r="FC57" s="1144" t="s">
        <v>345</v>
      </c>
      <c r="FD57" s="1143" t="s">
        <v>322</v>
      </c>
      <c r="FE57" s="1144" t="s">
        <v>345</v>
      </c>
      <c r="FF57" s="1143" t="s">
        <v>322</v>
      </c>
      <c r="FG57" s="1145" t="s">
        <v>345</v>
      </c>
      <c r="FH57" s="1146" t="s">
        <v>322</v>
      </c>
      <c r="FI57" s="1041"/>
      <c r="FJ57" s="1138"/>
      <c r="FK57" s="1139"/>
      <c r="FL57" s="1139"/>
      <c r="FM57" s="1139"/>
      <c r="FN57" s="1140"/>
      <c r="FO57" s="1141"/>
      <c r="FP57" s="1147" t="s">
        <v>45</v>
      </c>
      <c r="FQ57" s="1145" t="s">
        <v>345</v>
      </c>
      <c r="FR57" s="1143" t="s">
        <v>324</v>
      </c>
      <c r="FS57" s="1148" t="s">
        <v>45</v>
      </c>
      <c r="FT57" s="1145" t="s">
        <v>345</v>
      </c>
      <c r="FU57" s="1149" t="s">
        <v>324</v>
      </c>
      <c r="FV57" s="1150" t="s">
        <v>45</v>
      </c>
      <c r="FW57" s="1143" t="s">
        <v>322</v>
      </c>
      <c r="FX57" s="1148" t="s">
        <v>45</v>
      </c>
      <c r="FY57" s="1143" t="s">
        <v>322</v>
      </c>
      <c r="FZ57" s="1148" t="s">
        <v>45</v>
      </c>
      <c r="GA57" s="1143" t="s">
        <v>322</v>
      </c>
      <c r="GB57" s="1148" t="s">
        <v>45</v>
      </c>
      <c r="GC57" s="1143" t="s">
        <v>322</v>
      </c>
      <c r="GD57" s="1148" t="s">
        <v>45</v>
      </c>
      <c r="GE57" s="1146" t="s">
        <v>324</v>
      </c>
      <c r="GF57" s="681"/>
      <c r="GG57" s="652"/>
      <c r="GH57" s="652"/>
      <c r="GI57" s="652"/>
      <c r="GJ57" s="942"/>
      <c r="GK57" s="410"/>
      <c r="GL57" s="1113">
        <v>14</v>
      </c>
      <c r="GM57" s="1114">
        <v>5</v>
      </c>
      <c r="GN57" s="1091">
        <v>0.66</v>
      </c>
      <c r="GO57" s="1092">
        <v>4.0999999999999996</v>
      </c>
      <c r="GP57" s="1092">
        <v>13</v>
      </c>
      <c r="GQ57" s="1093">
        <v>17.100000000000001</v>
      </c>
      <c r="GR57" s="942"/>
      <c r="GS57" s="526"/>
      <c r="GT57" s="1253"/>
      <c r="GU57" s="575"/>
      <c r="GV57" s="575"/>
      <c r="GW57" s="497"/>
      <c r="GX57" s="1256"/>
      <c r="GY57" s="576"/>
      <c r="GZ57" s="497"/>
      <c r="HA57" s="575"/>
      <c r="HB57" s="497"/>
      <c r="HC57" s="1041"/>
    </row>
    <row r="58" spans="1:212" ht="20.100000000000001" customHeight="1">
      <c r="A58" s="1151" t="s">
        <v>659</v>
      </c>
      <c r="B58" s="1152"/>
      <c r="C58" s="1152"/>
      <c r="D58" s="1152"/>
      <c r="E58" s="1153"/>
      <c r="F58" s="1154"/>
      <c r="G58" s="1155"/>
      <c r="H58" s="1156"/>
      <c r="I58" s="1157"/>
      <c r="J58" s="1156"/>
      <c r="K58" s="1157"/>
      <c r="L58" s="1156"/>
      <c r="M58" s="1157"/>
      <c r="N58" s="1156"/>
      <c r="O58" s="1157"/>
      <c r="P58" s="1156"/>
      <c r="Q58" s="1157"/>
      <c r="R58" s="1156"/>
      <c r="S58" s="1157"/>
      <c r="T58" s="1156"/>
      <c r="U58" s="1157"/>
      <c r="V58" s="1156"/>
      <c r="W58" s="1157"/>
      <c r="X58" s="1156">
        <v>180</v>
      </c>
      <c r="Y58" s="1157"/>
      <c r="Z58" s="1156">
        <v>180</v>
      </c>
      <c r="AA58" s="1157"/>
      <c r="AB58" s="1156">
        <v>180</v>
      </c>
      <c r="AC58" s="1157"/>
      <c r="AD58" s="1156">
        <v>180</v>
      </c>
      <c r="AE58" s="1157"/>
      <c r="AF58" s="1156">
        <v>180</v>
      </c>
      <c r="AG58" s="1157"/>
      <c r="AH58" s="1156">
        <v>180</v>
      </c>
      <c r="AI58" s="1157"/>
      <c r="AJ58" s="1156">
        <v>180</v>
      </c>
      <c r="AK58" s="1157"/>
      <c r="AL58" s="1156">
        <v>180</v>
      </c>
      <c r="AM58" s="1157"/>
      <c r="AN58" s="1156">
        <v>180</v>
      </c>
      <c r="AO58" s="1157"/>
      <c r="AP58" s="1156">
        <v>180</v>
      </c>
      <c r="AQ58" s="1157"/>
      <c r="AR58" s="1156"/>
      <c r="AS58" s="1157"/>
      <c r="AT58" s="1156"/>
      <c r="AU58" s="1157"/>
      <c r="AV58" s="1156"/>
      <c r="AW58" s="1157"/>
      <c r="AX58" s="1156"/>
      <c r="AY58" s="1157"/>
      <c r="AZ58" s="1156"/>
      <c r="BA58" s="1157"/>
      <c r="BB58" s="558"/>
      <c r="BC58" s="560"/>
      <c r="BD58" s="1151" t="s">
        <v>660</v>
      </c>
      <c r="BE58" s="1152"/>
      <c r="BF58" s="1152"/>
      <c r="BG58" s="1152"/>
      <c r="BH58" s="1153"/>
      <c r="BI58" s="1154"/>
      <c r="BJ58" s="1155"/>
      <c r="BK58" s="1156"/>
      <c r="BL58" s="1157"/>
      <c r="BM58" s="1156"/>
      <c r="BN58" s="1157"/>
      <c r="BO58" s="1156"/>
      <c r="BP58" s="1157"/>
      <c r="BQ58" s="1156"/>
      <c r="BR58" s="1157"/>
      <c r="BS58" s="1156"/>
      <c r="BT58" s="1157"/>
      <c r="BU58" s="1156"/>
      <c r="BV58" s="1157"/>
      <c r="BW58" s="1156"/>
      <c r="BX58" s="1157"/>
      <c r="BY58" s="1156"/>
      <c r="BZ58" s="1157"/>
      <c r="CA58" s="1156">
        <v>180</v>
      </c>
      <c r="CB58" s="1157"/>
      <c r="CC58" s="1156">
        <v>180</v>
      </c>
      <c r="CD58" s="1157"/>
      <c r="CE58" s="1156">
        <v>180</v>
      </c>
      <c r="CF58" s="1157"/>
      <c r="CG58" s="1156">
        <v>180</v>
      </c>
      <c r="CH58" s="1157"/>
      <c r="CI58" s="1156">
        <v>180</v>
      </c>
      <c r="CJ58" s="1157"/>
      <c r="CK58" s="1156">
        <v>180</v>
      </c>
      <c r="CL58" s="1157"/>
      <c r="CM58" s="1156">
        <v>180</v>
      </c>
      <c r="CN58" s="1157"/>
      <c r="CO58" s="1156">
        <v>180</v>
      </c>
      <c r="CP58" s="1157"/>
      <c r="CQ58" s="1156">
        <v>180</v>
      </c>
      <c r="CR58" s="1157"/>
      <c r="CS58" s="1156">
        <v>180</v>
      </c>
      <c r="CT58" s="1157"/>
      <c r="CU58" s="1156"/>
      <c r="CV58" s="1157"/>
      <c r="CW58" s="1156"/>
      <c r="CX58" s="1157"/>
      <c r="CY58" s="1156"/>
      <c r="CZ58" s="1157"/>
      <c r="DA58" s="1156"/>
      <c r="DB58" s="1157"/>
      <c r="DC58" s="1156"/>
      <c r="DD58" s="1157"/>
      <c r="DE58" s="558"/>
      <c r="DF58" s="559"/>
      <c r="DG58" s="1151" t="s">
        <v>660</v>
      </c>
      <c r="DH58" s="1152"/>
      <c r="DI58" s="1152"/>
      <c r="DJ58" s="1152"/>
      <c r="DK58" s="1153"/>
      <c r="DL58" s="1154"/>
      <c r="DM58" s="1155"/>
      <c r="DN58" s="1156"/>
      <c r="DO58" s="1157"/>
      <c r="DP58" s="1156"/>
      <c r="DQ58" s="1157"/>
      <c r="DR58" s="1156"/>
      <c r="DS58" s="1157"/>
      <c r="DT58" s="1156"/>
      <c r="DU58" s="1157"/>
      <c r="DV58" s="1156"/>
      <c r="DW58" s="1157"/>
      <c r="DX58" s="1156"/>
      <c r="DY58" s="1157"/>
      <c r="DZ58" s="1156"/>
      <c r="EA58" s="1157"/>
      <c r="EB58" s="1156"/>
      <c r="EC58" s="1157"/>
      <c r="ED58" s="1156">
        <v>180</v>
      </c>
      <c r="EE58" s="1157"/>
      <c r="EF58" s="1156">
        <v>180</v>
      </c>
      <c r="EG58" s="1157"/>
      <c r="EH58" s="1156">
        <v>180</v>
      </c>
      <c r="EI58" s="1157"/>
      <c r="EJ58" s="1156">
        <v>180</v>
      </c>
      <c r="EK58" s="1157"/>
      <c r="EL58" s="1156">
        <v>180</v>
      </c>
      <c r="EM58" s="1157"/>
      <c r="EN58" s="1156">
        <v>180</v>
      </c>
      <c r="EO58" s="1157"/>
      <c r="EP58" s="1156">
        <v>180</v>
      </c>
      <c r="EQ58" s="1157"/>
      <c r="ER58" s="1156">
        <v>180</v>
      </c>
      <c r="ES58" s="1157"/>
      <c r="ET58" s="1156">
        <v>180</v>
      </c>
      <c r="EU58" s="1157"/>
      <c r="EV58" s="1156">
        <v>180</v>
      </c>
      <c r="EW58" s="1157"/>
      <c r="EX58" s="1156"/>
      <c r="EY58" s="1157"/>
      <c r="EZ58" s="1156"/>
      <c r="FA58" s="1157"/>
      <c r="FB58" s="1156"/>
      <c r="FC58" s="1157"/>
      <c r="FD58" s="1156"/>
      <c r="FE58" s="1157"/>
      <c r="FF58" s="1156"/>
      <c r="FG58" s="1157"/>
      <c r="FH58" s="558"/>
      <c r="FI58" s="560"/>
      <c r="FJ58" s="1151" t="s">
        <v>660</v>
      </c>
      <c r="FK58" s="1152"/>
      <c r="FL58" s="1152"/>
      <c r="FM58" s="1152"/>
      <c r="FN58" s="1153"/>
      <c r="FO58" s="1154"/>
      <c r="FP58" s="1158"/>
      <c r="FQ58" s="1159"/>
      <c r="FR58" s="1156">
        <v>180</v>
      </c>
      <c r="FS58" s="1160"/>
      <c r="FT58" s="1159"/>
      <c r="FU58" s="1161">
        <v>180</v>
      </c>
      <c r="FV58" s="1162"/>
      <c r="FW58" s="1163"/>
      <c r="FX58" s="1164"/>
      <c r="FY58" s="1163"/>
      <c r="FZ58" s="1164"/>
      <c r="GA58" s="1163"/>
      <c r="GB58" s="1164"/>
      <c r="GC58" s="1163"/>
      <c r="GD58" s="1164"/>
      <c r="GE58" s="1165"/>
      <c r="GF58" s="681"/>
      <c r="GG58" s="599"/>
      <c r="GH58" s="599"/>
      <c r="GI58" s="599"/>
      <c r="GJ58" s="942"/>
      <c r="GK58" s="1166"/>
      <c r="GL58" s="1089">
        <v>15</v>
      </c>
      <c r="GM58" s="1090">
        <v>6</v>
      </c>
      <c r="GN58" s="1091">
        <v>0.61</v>
      </c>
      <c r="GO58" s="1092">
        <v>3.8</v>
      </c>
      <c r="GP58" s="1092">
        <v>13</v>
      </c>
      <c r="GQ58" s="1093">
        <v>16.8</v>
      </c>
      <c r="GR58" s="942"/>
      <c r="GS58" s="527"/>
      <c r="GT58" s="682"/>
      <c r="GU58" s="497"/>
      <c r="GV58" s="575"/>
      <c r="GW58" s="497"/>
      <c r="GX58" s="1256"/>
      <c r="GY58" s="1254"/>
      <c r="GZ58" s="576"/>
      <c r="HA58" s="575"/>
      <c r="HB58" s="497"/>
      <c r="HC58" s="559"/>
      <c r="HD58" s="1167"/>
    </row>
    <row r="59" spans="1:212" ht="20.100000000000001" customHeight="1">
      <c r="A59" s="1168" t="s">
        <v>661</v>
      </c>
      <c r="B59" s="1169"/>
      <c r="C59" s="1169"/>
      <c r="D59" s="1170" t="s">
        <v>662</v>
      </c>
      <c r="E59" s="1171"/>
      <c r="F59" s="1010"/>
      <c r="G59" s="1172">
        <v>0</v>
      </c>
      <c r="H59" s="582">
        <v>0</v>
      </c>
      <c r="I59" s="1173">
        <v>0</v>
      </c>
      <c r="J59" s="584">
        <v>0</v>
      </c>
      <c r="K59" s="1173">
        <v>0</v>
      </c>
      <c r="L59" s="584">
        <v>0</v>
      </c>
      <c r="M59" s="1173">
        <v>0</v>
      </c>
      <c r="N59" s="584">
        <v>0</v>
      </c>
      <c r="O59" s="1173">
        <v>0</v>
      </c>
      <c r="P59" s="584">
        <v>0</v>
      </c>
      <c r="Q59" s="1173">
        <v>0</v>
      </c>
      <c r="R59" s="584">
        <v>0</v>
      </c>
      <c r="S59" s="1173">
        <v>0</v>
      </c>
      <c r="T59" s="584">
        <v>0</v>
      </c>
      <c r="U59" s="1173">
        <v>0</v>
      </c>
      <c r="V59" s="584">
        <v>0</v>
      </c>
      <c r="W59" s="1173">
        <v>22.7</v>
      </c>
      <c r="X59" s="584">
        <v>1362</v>
      </c>
      <c r="Y59" s="1173">
        <v>23.6</v>
      </c>
      <c r="Z59" s="584">
        <v>1416</v>
      </c>
      <c r="AA59" s="1173">
        <v>23.9</v>
      </c>
      <c r="AB59" s="584">
        <v>1434</v>
      </c>
      <c r="AC59" s="1173">
        <v>25.2</v>
      </c>
      <c r="AD59" s="584">
        <v>1512</v>
      </c>
      <c r="AE59" s="1173">
        <v>24.8</v>
      </c>
      <c r="AF59" s="584">
        <v>1488</v>
      </c>
      <c r="AG59" s="1173">
        <v>24.1</v>
      </c>
      <c r="AH59" s="584">
        <v>1446</v>
      </c>
      <c r="AI59" s="1173">
        <v>24.1</v>
      </c>
      <c r="AJ59" s="584">
        <v>1446</v>
      </c>
      <c r="AK59" s="1173">
        <v>23.8</v>
      </c>
      <c r="AL59" s="584">
        <v>1428</v>
      </c>
      <c r="AM59" s="1173">
        <v>23.1</v>
      </c>
      <c r="AN59" s="584">
        <v>1386</v>
      </c>
      <c r="AO59" s="1173">
        <v>22.4</v>
      </c>
      <c r="AP59" s="584">
        <v>1344</v>
      </c>
      <c r="AQ59" s="1173">
        <v>0</v>
      </c>
      <c r="AR59" s="584">
        <v>0</v>
      </c>
      <c r="AS59" s="1173">
        <v>0</v>
      </c>
      <c r="AT59" s="584">
        <v>0</v>
      </c>
      <c r="AU59" s="1173">
        <v>0</v>
      </c>
      <c r="AV59" s="584">
        <v>0</v>
      </c>
      <c r="AW59" s="1173">
        <v>0</v>
      </c>
      <c r="AX59" s="584">
        <v>0</v>
      </c>
      <c r="AY59" s="1173">
        <v>0</v>
      </c>
      <c r="AZ59" s="584">
        <v>0</v>
      </c>
      <c r="BA59" s="1173">
        <v>0</v>
      </c>
      <c r="BB59" s="586">
        <v>0</v>
      </c>
      <c r="BC59" s="560"/>
      <c r="BD59" s="1168" t="s">
        <v>661</v>
      </c>
      <c r="BE59" s="1169"/>
      <c r="BF59" s="1169"/>
      <c r="BG59" s="1170" t="s">
        <v>662</v>
      </c>
      <c r="BH59" s="1171"/>
      <c r="BI59" s="1010"/>
      <c r="BJ59" s="1172">
        <v>0</v>
      </c>
      <c r="BK59" s="582">
        <v>0</v>
      </c>
      <c r="BL59" s="1173">
        <v>0</v>
      </c>
      <c r="BM59" s="584">
        <v>0</v>
      </c>
      <c r="BN59" s="1173">
        <v>0</v>
      </c>
      <c r="BO59" s="584">
        <v>0</v>
      </c>
      <c r="BP59" s="1173">
        <v>0</v>
      </c>
      <c r="BQ59" s="584">
        <v>0</v>
      </c>
      <c r="BR59" s="1173">
        <v>0</v>
      </c>
      <c r="BS59" s="584">
        <v>0</v>
      </c>
      <c r="BT59" s="1173">
        <v>0</v>
      </c>
      <c r="BU59" s="584">
        <v>0</v>
      </c>
      <c r="BV59" s="1173">
        <v>0</v>
      </c>
      <c r="BW59" s="584">
        <v>0</v>
      </c>
      <c r="BX59" s="1173">
        <v>0</v>
      </c>
      <c r="BY59" s="584">
        <v>0</v>
      </c>
      <c r="BZ59" s="1173">
        <v>17.600000000000001</v>
      </c>
      <c r="CA59" s="584">
        <v>1056</v>
      </c>
      <c r="CB59" s="1173">
        <v>18.399999999999999</v>
      </c>
      <c r="CC59" s="584">
        <v>1104</v>
      </c>
      <c r="CD59" s="1173">
        <v>19.3</v>
      </c>
      <c r="CE59" s="584">
        <v>1158</v>
      </c>
      <c r="CF59" s="1173">
        <v>20</v>
      </c>
      <c r="CG59" s="584">
        <v>1200</v>
      </c>
      <c r="CH59" s="1173">
        <v>20.399999999999999</v>
      </c>
      <c r="CI59" s="584">
        <v>1224</v>
      </c>
      <c r="CJ59" s="1173">
        <v>19.7</v>
      </c>
      <c r="CK59" s="584">
        <v>1182</v>
      </c>
      <c r="CL59" s="1173">
        <v>19.5</v>
      </c>
      <c r="CM59" s="584">
        <v>1170</v>
      </c>
      <c r="CN59" s="1173">
        <v>19.3</v>
      </c>
      <c r="CO59" s="584">
        <v>1158</v>
      </c>
      <c r="CP59" s="1173">
        <v>19.3</v>
      </c>
      <c r="CQ59" s="584">
        <v>1158</v>
      </c>
      <c r="CR59" s="1173">
        <v>18.600000000000001</v>
      </c>
      <c r="CS59" s="584">
        <v>1116</v>
      </c>
      <c r="CT59" s="1173">
        <v>0</v>
      </c>
      <c r="CU59" s="584">
        <v>0</v>
      </c>
      <c r="CV59" s="1173">
        <v>0</v>
      </c>
      <c r="CW59" s="584">
        <v>0</v>
      </c>
      <c r="CX59" s="1173">
        <v>0</v>
      </c>
      <c r="CY59" s="584">
        <v>0</v>
      </c>
      <c r="CZ59" s="1173">
        <v>0</v>
      </c>
      <c r="DA59" s="584">
        <v>0</v>
      </c>
      <c r="DB59" s="1173">
        <v>0</v>
      </c>
      <c r="DC59" s="584">
        <v>0</v>
      </c>
      <c r="DD59" s="1173">
        <v>0</v>
      </c>
      <c r="DE59" s="586">
        <v>0</v>
      </c>
      <c r="DF59" s="559"/>
      <c r="DG59" s="1168" t="s">
        <v>661</v>
      </c>
      <c r="DH59" s="1169"/>
      <c r="DI59" s="1169"/>
      <c r="DJ59" s="1170" t="s">
        <v>662</v>
      </c>
      <c r="DK59" s="1171"/>
      <c r="DL59" s="1010"/>
      <c r="DM59" s="1172">
        <v>0</v>
      </c>
      <c r="DN59" s="582">
        <v>0</v>
      </c>
      <c r="DO59" s="1173">
        <v>0</v>
      </c>
      <c r="DP59" s="584">
        <v>0</v>
      </c>
      <c r="DQ59" s="1173">
        <v>0</v>
      </c>
      <c r="DR59" s="584">
        <v>0</v>
      </c>
      <c r="DS59" s="1173">
        <v>0</v>
      </c>
      <c r="DT59" s="584">
        <v>0</v>
      </c>
      <c r="DU59" s="1173">
        <v>0</v>
      </c>
      <c r="DV59" s="584">
        <v>0</v>
      </c>
      <c r="DW59" s="1173">
        <v>0</v>
      </c>
      <c r="DX59" s="584">
        <v>0</v>
      </c>
      <c r="DY59" s="1173">
        <v>0</v>
      </c>
      <c r="DZ59" s="584">
        <v>0</v>
      </c>
      <c r="EA59" s="1173">
        <v>0</v>
      </c>
      <c r="EB59" s="584">
        <v>0</v>
      </c>
      <c r="EC59" s="1173">
        <v>8.8000000000000007</v>
      </c>
      <c r="ED59" s="584">
        <v>528</v>
      </c>
      <c r="EE59" s="1173">
        <v>9.9</v>
      </c>
      <c r="EF59" s="584">
        <v>594</v>
      </c>
      <c r="EG59" s="1173">
        <v>10</v>
      </c>
      <c r="EH59" s="584">
        <v>600</v>
      </c>
      <c r="EI59" s="1173">
        <v>10.4</v>
      </c>
      <c r="EJ59" s="584">
        <v>624</v>
      </c>
      <c r="EK59" s="1173">
        <v>10.1</v>
      </c>
      <c r="EL59" s="584">
        <v>606</v>
      </c>
      <c r="EM59" s="1173">
        <v>9.6</v>
      </c>
      <c r="EN59" s="584">
        <v>576</v>
      </c>
      <c r="EO59" s="1173">
        <v>9.4</v>
      </c>
      <c r="EP59" s="584">
        <v>564</v>
      </c>
      <c r="EQ59" s="1173">
        <v>9.5</v>
      </c>
      <c r="ER59" s="584">
        <v>570</v>
      </c>
      <c r="ES59" s="1173">
        <v>9</v>
      </c>
      <c r="ET59" s="584">
        <v>540</v>
      </c>
      <c r="EU59" s="1173">
        <v>9.5</v>
      </c>
      <c r="EV59" s="584">
        <v>570</v>
      </c>
      <c r="EW59" s="1173">
        <v>0</v>
      </c>
      <c r="EX59" s="584">
        <v>0</v>
      </c>
      <c r="EY59" s="1173">
        <v>0</v>
      </c>
      <c r="EZ59" s="584">
        <v>0</v>
      </c>
      <c r="FA59" s="1173">
        <v>0</v>
      </c>
      <c r="FB59" s="584">
        <v>0</v>
      </c>
      <c r="FC59" s="1173">
        <v>0</v>
      </c>
      <c r="FD59" s="584">
        <v>0</v>
      </c>
      <c r="FE59" s="1173">
        <v>0</v>
      </c>
      <c r="FF59" s="584">
        <v>0</v>
      </c>
      <c r="FG59" s="1173">
        <v>0</v>
      </c>
      <c r="FH59" s="586">
        <v>0</v>
      </c>
      <c r="FI59" s="560"/>
      <c r="FJ59" s="1168" t="s">
        <v>661</v>
      </c>
      <c r="FK59" s="1169"/>
      <c r="FL59" s="1169"/>
      <c r="FM59" s="1170" t="s">
        <v>662</v>
      </c>
      <c r="FN59" s="1171"/>
      <c r="FO59" s="1010"/>
      <c r="FP59" s="622">
        <v>9</v>
      </c>
      <c r="FQ59" s="1174">
        <v>35.700000000000003</v>
      </c>
      <c r="FR59" s="1175">
        <v>2142</v>
      </c>
      <c r="FS59" s="1176">
        <v>9</v>
      </c>
      <c r="FT59" s="1174">
        <v>32</v>
      </c>
      <c r="FU59" s="1177">
        <v>1920</v>
      </c>
      <c r="FV59" s="1257" t="s">
        <v>663</v>
      </c>
      <c r="FW59" s="1258"/>
      <c r="FX59" s="1259" t="s">
        <v>663</v>
      </c>
      <c r="FY59" s="1258"/>
      <c r="FZ59" s="1259" t="s">
        <v>663</v>
      </c>
      <c r="GA59" s="1258"/>
      <c r="GB59" s="1259" t="s">
        <v>663</v>
      </c>
      <c r="GC59" s="1258"/>
      <c r="GD59" s="1259" t="s">
        <v>663</v>
      </c>
      <c r="GE59" s="1263"/>
      <c r="GF59" s="681"/>
      <c r="GG59" s="1182"/>
      <c r="GH59" s="1182"/>
      <c r="GI59" s="1182"/>
      <c r="GJ59" s="882"/>
      <c r="GK59" s="410"/>
      <c r="GL59" s="1113">
        <v>16</v>
      </c>
      <c r="GM59" s="1114">
        <v>7</v>
      </c>
      <c r="GN59" s="1091">
        <v>0.56000000000000005</v>
      </c>
      <c r="GO59" s="1092">
        <v>3.5</v>
      </c>
      <c r="GP59" s="1092">
        <v>13</v>
      </c>
      <c r="GQ59" s="1093">
        <v>16.5</v>
      </c>
      <c r="GR59" s="882"/>
      <c r="GS59" s="392"/>
      <c r="GT59" s="1255"/>
      <c r="GU59" s="576"/>
      <c r="GV59" s="497"/>
      <c r="GW59" s="497"/>
      <c r="GX59" s="1256"/>
      <c r="GY59" s="1254"/>
      <c r="GZ59" s="576"/>
      <c r="HA59" s="575"/>
      <c r="HB59" s="497"/>
      <c r="HC59" s="1167"/>
      <c r="HD59" s="1183"/>
    </row>
    <row r="60" spans="1:212" ht="20.100000000000001" customHeight="1">
      <c r="A60" s="1168"/>
      <c r="B60" s="1169"/>
      <c r="C60" s="1169"/>
      <c r="D60" s="1184"/>
      <c r="E60" s="1184"/>
      <c r="F60" s="1185">
        <v>0</v>
      </c>
      <c r="G60" s="581"/>
      <c r="H60" s="582"/>
      <c r="I60" s="585"/>
      <c r="J60" s="584"/>
      <c r="K60" s="585"/>
      <c r="L60" s="584"/>
      <c r="M60" s="585"/>
      <c r="N60" s="584"/>
      <c r="O60" s="585"/>
      <c r="P60" s="584"/>
      <c r="Q60" s="585"/>
      <c r="R60" s="584"/>
      <c r="S60" s="585"/>
      <c r="T60" s="584"/>
      <c r="U60" s="585"/>
      <c r="V60" s="584"/>
      <c r="W60" s="585"/>
      <c r="X60" s="584">
        <v>0</v>
      </c>
      <c r="Y60" s="585"/>
      <c r="Z60" s="584">
        <v>0</v>
      </c>
      <c r="AA60" s="585"/>
      <c r="AB60" s="584">
        <v>0</v>
      </c>
      <c r="AC60" s="585"/>
      <c r="AD60" s="584">
        <v>0</v>
      </c>
      <c r="AE60" s="585"/>
      <c r="AF60" s="584">
        <v>0</v>
      </c>
      <c r="AG60" s="585"/>
      <c r="AH60" s="584">
        <v>0</v>
      </c>
      <c r="AI60" s="585"/>
      <c r="AJ60" s="584">
        <v>0</v>
      </c>
      <c r="AK60" s="585"/>
      <c r="AL60" s="584">
        <v>0</v>
      </c>
      <c r="AM60" s="585"/>
      <c r="AN60" s="584">
        <v>0</v>
      </c>
      <c r="AO60" s="585"/>
      <c r="AP60" s="584">
        <v>0</v>
      </c>
      <c r="AQ60" s="585"/>
      <c r="AR60" s="584"/>
      <c r="AS60" s="585"/>
      <c r="AT60" s="584"/>
      <c r="AU60" s="585"/>
      <c r="AV60" s="584"/>
      <c r="AW60" s="585"/>
      <c r="AX60" s="584"/>
      <c r="AY60" s="585"/>
      <c r="AZ60" s="584"/>
      <c r="BA60" s="585"/>
      <c r="BB60" s="586"/>
      <c r="BC60" s="560"/>
      <c r="BD60" s="1168"/>
      <c r="BE60" s="1169"/>
      <c r="BF60" s="1169"/>
      <c r="BG60" s="1184"/>
      <c r="BH60" s="1184"/>
      <c r="BI60" s="1185"/>
      <c r="BJ60" s="581"/>
      <c r="BK60" s="582"/>
      <c r="BL60" s="585"/>
      <c r="BM60" s="584"/>
      <c r="BN60" s="585"/>
      <c r="BO60" s="584"/>
      <c r="BP60" s="585"/>
      <c r="BQ60" s="584"/>
      <c r="BR60" s="585"/>
      <c r="BS60" s="584"/>
      <c r="BT60" s="585"/>
      <c r="BU60" s="584"/>
      <c r="BV60" s="585"/>
      <c r="BW60" s="584"/>
      <c r="BX60" s="585"/>
      <c r="BY60" s="584"/>
      <c r="BZ60" s="585"/>
      <c r="CA60" s="584">
        <v>0</v>
      </c>
      <c r="CB60" s="585"/>
      <c r="CC60" s="584">
        <v>0</v>
      </c>
      <c r="CD60" s="585"/>
      <c r="CE60" s="584">
        <v>0</v>
      </c>
      <c r="CF60" s="585"/>
      <c r="CG60" s="584">
        <v>0</v>
      </c>
      <c r="CH60" s="585"/>
      <c r="CI60" s="584">
        <v>0</v>
      </c>
      <c r="CJ60" s="585"/>
      <c r="CK60" s="584">
        <v>0</v>
      </c>
      <c r="CL60" s="585"/>
      <c r="CM60" s="584">
        <v>0</v>
      </c>
      <c r="CN60" s="585"/>
      <c r="CO60" s="584">
        <v>0</v>
      </c>
      <c r="CP60" s="585"/>
      <c r="CQ60" s="584">
        <v>0</v>
      </c>
      <c r="CR60" s="585"/>
      <c r="CS60" s="584">
        <v>0</v>
      </c>
      <c r="CT60" s="585"/>
      <c r="CU60" s="584"/>
      <c r="CV60" s="585"/>
      <c r="CW60" s="584"/>
      <c r="CX60" s="585"/>
      <c r="CY60" s="584"/>
      <c r="CZ60" s="585"/>
      <c r="DA60" s="584"/>
      <c r="DB60" s="585"/>
      <c r="DC60" s="584"/>
      <c r="DD60" s="585"/>
      <c r="DE60" s="586"/>
      <c r="DF60" s="559"/>
      <c r="DG60" s="1168"/>
      <c r="DH60" s="1169"/>
      <c r="DI60" s="1169"/>
      <c r="DJ60" s="1184"/>
      <c r="DK60" s="1184"/>
      <c r="DL60" s="1185"/>
      <c r="DM60" s="581"/>
      <c r="DN60" s="582"/>
      <c r="DO60" s="585"/>
      <c r="DP60" s="584"/>
      <c r="DQ60" s="585"/>
      <c r="DR60" s="584"/>
      <c r="DS60" s="585"/>
      <c r="DT60" s="584"/>
      <c r="DU60" s="585"/>
      <c r="DV60" s="584"/>
      <c r="DW60" s="585"/>
      <c r="DX60" s="584"/>
      <c r="DY60" s="585"/>
      <c r="DZ60" s="584"/>
      <c r="EA60" s="585"/>
      <c r="EB60" s="584"/>
      <c r="EC60" s="585"/>
      <c r="ED60" s="584">
        <v>0</v>
      </c>
      <c r="EE60" s="585"/>
      <c r="EF60" s="584">
        <v>0</v>
      </c>
      <c r="EG60" s="585"/>
      <c r="EH60" s="584">
        <v>0</v>
      </c>
      <c r="EI60" s="585"/>
      <c r="EJ60" s="584">
        <v>0</v>
      </c>
      <c r="EK60" s="585"/>
      <c r="EL60" s="584">
        <v>0</v>
      </c>
      <c r="EM60" s="585"/>
      <c r="EN60" s="584">
        <v>0</v>
      </c>
      <c r="EO60" s="585"/>
      <c r="EP60" s="584">
        <v>0</v>
      </c>
      <c r="EQ60" s="585"/>
      <c r="ER60" s="584">
        <v>0</v>
      </c>
      <c r="ES60" s="585"/>
      <c r="ET60" s="584">
        <v>0</v>
      </c>
      <c r="EU60" s="585"/>
      <c r="EV60" s="584">
        <v>0</v>
      </c>
      <c r="EW60" s="585"/>
      <c r="EX60" s="584"/>
      <c r="EY60" s="585"/>
      <c r="EZ60" s="584"/>
      <c r="FA60" s="585"/>
      <c r="FB60" s="584"/>
      <c r="FC60" s="585"/>
      <c r="FD60" s="584"/>
      <c r="FE60" s="585"/>
      <c r="FF60" s="584"/>
      <c r="FG60" s="585"/>
      <c r="FH60" s="586"/>
      <c r="FI60" s="560"/>
      <c r="FJ60" s="1168"/>
      <c r="FK60" s="1169"/>
      <c r="FL60" s="1169"/>
      <c r="FM60" s="1186"/>
      <c r="FN60" s="1187"/>
      <c r="FO60" s="1010"/>
      <c r="FP60" s="622"/>
      <c r="FQ60" s="618"/>
      <c r="FR60" s="1175"/>
      <c r="FS60" s="1176"/>
      <c r="FT60" s="618"/>
      <c r="FU60" s="1177"/>
      <c r="FV60" s="1178"/>
      <c r="FW60" s="1179"/>
      <c r="FX60" s="1180"/>
      <c r="FY60" s="1179"/>
      <c r="FZ60" s="1180"/>
      <c r="GA60" s="1179"/>
      <c r="GB60" s="1180"/>
      <c r="GC60" s="1179"/>
      <c r="GD60" s="1180"/>
      <c r="GE60" s="1181"/>
      <c r="GF60" s="681"/>
      <c r="GG60" s="392"/>
      <c r="GH60" s="392"/>
      <c r="GI60" s="392"/>
      <c r="GJ60" s="392"/>
      <c r="GK60" s="392"/>
      <c r="GL60" s="1089">
        <v>17</v>
      </c>
      <c r="GM60" s="1090">
        <v>8</v>
      </c>
      <c r="GN60" s="1091">
        <v>0.51</v>
      </c>
      <c r="GO60" s="1092">
        <v>3.2</v>
      </c>
      <c r="GP60" s="1092">
        <v>13</v>
      </c>
      <c r="GQ60" s="1093">
        <v>16.2</v>
      </c>
      <c r="GR60" s="392"/>
      <c r="GS60" s="480"/>
      <c r="GT60" s="1255"/>
      <c r="GU60" s="497"/>
      <c r="GV60" s="576"/>
      <c r="GW60" s="497"/>
      <c r="GX60" s="576"/>
      <c r="GY60" s="497"/>
      <c r="GZ60" s="497"/>
      <c r="HA60" s="575"/>
      <c r="HB60" s="497"/>
      <c r="HC60" s="1188"/>
      <c r="HD60" s="1027"/>
    </row>
    <row r="61" spans="1:212" ht="20.100000000000001" customHeight="1">
      <c r="A61" s="1189" t="s">
        <v>664</v>
      </c>
      <c r="B61" s="1190"/>
      <c r="C61" s="1190"/>
      <c r="D61" s="1190"/>
      <c r="E61" s="1190"/>
      <c r="F61" s="1191"/>
      <c r="G61" s="1192"/>
      <c r="H61" s="1193">
        <v>0</v>
      </c>
      <c r="I61" s="1194"/>
      <c r="J61" s="1195">
        <v>0</v>
      </c>
      <c r="K61" s="1194"/>
      <c r="L61" s="1195">
        <v>0</v>
      </c>
      <c r="M61" s="1194"/>
      <c r="N61" s="1195">
        <v>0</v>
      </c>
      <c r="O61" s="1194"/>
      <c r="P61" s="1195">
        <v>0</v>
      </c>
      <c r="Q61" s="1194"/>
      <c r="R61" s="1195">
        <v>0</v>
      </c>
      <c r="S61" s="1194"/>
      <c r="T61" s="1195">
        <v>0</v>
      </c>
      <c r="U61" s="1194"/>
      <c r="V61" s="1195">
        <v>0</v>
      </c>
      <c r="W61" s="1194"/>
      <c r="X61" s="1195">
        <v>6678</v>
      </c>
      <c r="Y61" s="1194"/>
      <c r="Z61" s="1195">
        <v>6407</v>
      </c>
      <c r="AA61" s="1194"/>
      <c r="AB61" s="1195">
        <v>6690</v>
      </c>
      <c r="AC61" s="1194"/>
      <c r="AD61" s="1195">
        <v>6775</v>
      </c>
      <c r="AE61" s="1194"/>
      <c r="AF61" s="1195">
        <v>7383</v>
      </c>
      <c r="AG61" s="1194"/>
      <c r="AH61" s="1195">
        <v>7354</v>
      </c>
      <c r="AI61" s="1194"/>
      <c r="AJ61" s="1195">
        <v>7092</v>
      </c>
      <c r="AK61" s="1194"/>
      <c r="AL61" s="1195">
        <v>6692</v>
      </c>
      <c r="AM61" s="1194"/>
      <c r="AN61" s="1195">
        <v>6162</v>
      </c>
      <c r="AO61" s="1194"/>
      <c r="AP61" s="1195">
        <v>5674</v>
      </c>
      <c r="AQ61" s="1194"/>
      <c r="AR61" s="1195">
        <v>0</v>
      </c>
      <c r="AS61" s="1194"/>
      <c r="AT61" s="1195">
        <v>0</v>
      </c>
      <c r="AU61" s="1194"/>
      <c r="AV61" s="1195">
        <v>0</v>
      </c>
      <c r="AW61" s="1194"/>
      <c r="AX61" s="1195">
        <v>0</v>
      </c>
      <c r="AY61" s="1194"/>
      <c r="AZ61" s="1195">
        <v>0</v>
      </c>
      <c r="BA61" s="1194"/>
      <c r="BB61" s="1196">
        <v>0</v>
      </c>
      <c r="BC61" s="560"/>
      <c r="BD61" s="1189" t="s">
        <v>664</v>
      </c>
      <c r="BE61" s="1190"/>
      <c r="BF61" s="1190"/>
      <c r="BG61" s="1190"/>
      <c r="BH61" s="1190"/>
      <c r="BI61" s="1191"/>
      <c r="BJ61" s="1192"/>
      <c r="BK61" s="1193">
        <v>0</v>
      </c>
      <c r="BL61" s="1194"/>
      <c r="BM61" s="1195">
        <v>0</v>
      </c>
      <c r="BN61" s="1194"/>
      <c r="BO61" s="1195">
        <v>0</v>
      </c>
      <c r="BP61" s="1194"/>
      <c r="BQ61" s="1195">
        <v>0</v>
      </c>
      <c r="BR61" s="1194"/>
      <c r="BS61" s="1195">
        <v>0</v>
      </c>
      <c r="BT61" s="1194"/>
      <c r="BU61" s="1195">
        <v>0</v>
      </c>
      <c r="BV61" s="1194"/>
      <c r="BW61" s="1195">
        <v>0</v>
      </c>
      <c r="BX61" s="1194"/>
      <c r="BY61" s="1195">
        <v>0</v>
      </c>
      <c r="BZ61" s="1194"/>
      <c r="CA61" s="1195">
        <v>6261</v>
      </c>
      <c r="CB61" s="1194"/>
      <c r="CC61" s="1195">
        <v>5914</v>
      </c>
      <c r="CD61" s="1194"/>
      <c r="CE61" s="1195">
        <v>6326</v>
      </c>
      <c r="CF61" s="1194"/>
      <c r="CG61" s="1195">
        <v>6536</v>
      </c>
      <c r="CH61" s="1194"/>
      <c r="CI61" s="1195">
        <v>7309</v>
      </c>
      <c r="CJ61" s="1194"/>
      <c r="CK61" s="1195">
        <v>7337</v>
      </c>
      <c r="CL61" s="1194"/>
      <c r="CM61" s="1195">
        <v>7134</v>
      </c>
      <c r="CN61" s="1194"/>
      <c r="CO61" s="1195">
        <v>6708</v>
      </c>
      <c r="CP61" s="1194"/>
      <c r="CQ61" s="1195">
        <v>6184</v>
      </c>
      <c r="CR61" s="1194"/>
      <c r="CS61" s="1195">
        <v>5517</v>
      </c>
      <c r="CT61" s="1194"/>
      <c r="CU61" s="1195">
        <v>0</v>
      </c>
      <c r="CV61" s="1194"/>
      <c r="CW61" s="1195">
        <v>0</v>
      </c>
      <c r="CX61" s="1194"/>
      <c r="CY61" s="1195">
        <v>0</v>
      </c>
      <c r="CZ61" s="1194"/>
      <c r="DA61" s="1195">
        <v>0</v>
      </c>
      <c r="DB61" s="1194"/>
      <c r="DC61" s="1195">
        <v>0</v>
      </c>
      <c r="DD61" s="1194"/>
      <c r="DE61" s="1196">
        <v>0</v>
      </c>
      <c r="DF61" s="559"/>
      <c r="DG61" s="1189" t="s">
        <v>664</v>
      </c>
      <c r="DH61" s="1190"/>
      <c r="DI61" s="1190"/>
      <c r="DJ61" s="1190"/>
      <c r="DK61" s="1190"/>
      <c r="DL61" s="1191"/>
      <c r="DM61" s="1192"/>
      <c r="DN61" s="1193">
        <v>0</v>
      </c>
      <c r="DO61" s="1194"/>
      <c r="DP61" s="1195">
        <v>0</v>
      </c>
      <c r="DQ61" s="1194"/>
      <c r="DR61" s="1195">
        <v>0</v>
      </c>
      <c r="DS61" s="1194"/>
      <c r="DT61" s="1195">
        <v>0</v>
      </c>
      <c r="DU61" s="1194"/>
      <c r="DV61" s="1195">
        <v>0</v>
      </c>
      <c r="DW61" s="1194"/>
      <c r="DX61" s="1195">
        <v>0</v>
      </c>
      <c r="DY61" s="1194"/>
      <c r="DZ61" s="1195">
        <v>0</v>
      </c>
      <c r="EA61" s="1194"/>
      <c r="EB61" s="1195">
        <v>0</v>
      </c>
      <c r="EC61" s="1194"/>
      <c r="ED61" s="1195">
        <v>5270</v>
      </c>
      <c r="EE61" s="1194"/>
      <c r="EF61" s="1195">
        <v>5348</v>
      </c>
      <c r="EG61" s="1194"/>
      <c r="EH61" s="1195">
        <v>6256</v>
      </c>
      <c r="EI61" s="1194"/>
      <c r="EJ61" s="1195">
        <v>6549</v>
      </c>
      <c r="EK61" s="1194"/>
      <c r="EL61" s="1195">
        <v>7187</v>
      </c>
      <c r="EM61" s="1194"/>
      <c r="EN61" s="1195">
        <v>7124</v>
      </c>
      <c r="EO61" s="1194"/>
      <c r="EP61" s="1195">
        <v>6761</v>
      </c>
      <c r="EQ61" s="1194"/>
      <c r="ER61" s="1195">
        <v>6135</v>
      </c>
      <c r="ES61" s="1194"/>
      <c r="ET61" s="1195">
        <v>5267</v>
      </c>
      <c r="EU61" s="1194"/>
      <c r="EV61" s="1195">
        <v>4497</v>
      </c>
      <c r="EW61" s="1194"/>
      <c r="EX61" s="1195">
        <v>0</v>
      </c>
      <c r="EY61" s="1194"/>
      <c r="EZ61" s="1195">
        <v>0</v>
      </c>
      <c r="FA61" s="1194"/>
      <c r="FB61" s="1195">
        <v>0</v>
      </c>
      <c r="FC61" s="1194"/>
      <c r="FD61" s="1195">
        <v>0</v>
      </c>
      <c r="FE61" s="1194"/>
      <c r="FF61" s="1195">
        <v>0</v>
      </c>
      <c r="FG61" s="1194"/>
      <c r="FH61" s="1196">
        <v>0</v>
      </c>
      <c r="FI61" s="560"/>
      <c r="FJ61" s="1189" t="s">
        <v>664</v>
      </c>
      <c r="FK61" s="1190"/>
      <c r="FL61" s="1190"/>
      <c r="FM61" s="1190"/>
      <c r="FN61" s="1190"/>
      <c r="FO61" s="1190"/>
      <c r="FP61" s="1197"/>
      <c r="FQ61" s="1198"/>
      <c r="FR61" s="1199">
        <v>8351</v>
      </c>
      <c r="FS61" s="1200"/>
      <c r="FT61" s="1198"/>
      <c r="FU61" s="1201">
        <v>8209</v>
      </c>
      <c r="FV61" s="1260" t="s">
        <v>663</v>
      </c>
      <c r="FW61" s="1261"/>
      <c r="FX61" s="1262" t="s">
        <v>663</v>
      </c>
      <c r="FY61" s="1261"/>
      <c r="FZ61" s="1262" t="s">
        <v>663</v>
      </c>
      <c r="GA61" s="1261"/>
      <c r="GB61" s="1262" t="s">
        <v>663</v>
      </c>
      <c r="GC61" s="1261"/>
      <c r="GD61" s="1262" t="s">
        <v>663</v>
      </c>
      <c r="GE61" s="1264"/>
      <c r="GF61" s="681"/>
      <c r="GG61" s="480"/>
      <c r="GH61" s="480"/>
      <c r="GI61" s="480"/>
      <c r="GJ61" s="480"/>
      <c r="GK61" s="483"/>
      <c r="GL61" s="1113">
        <v>18</v>
      </c>
      <c r="GM61" s="1202">
        <v>9</v>
      </c>
      <c r="GN61" s="1091">
        <v>0.47</v>
      </c>
      <c r="GO61" s="1092">
        <v>2.9</v>
      </c>
      <c r="GP61" s="1092">
        <v>13</v>
      </c>
      <c r="GQ61" s="1093">
        <v>15.9</v>
      </c>
      <c r="GR61" s="480"/>
      <c r="GS61" s="577"/>
      <c r="GT61" s="1255"/>
      <c r="GU61" s="682"/>
      <c r="GV61" s="682"/>
      <c r="GW61" s="682"/>
      <c r="GX61" s="682"/>
      <c r="GY61" s="576"/>
      <c r="GZ61" s="497"/>
      <c r="HA61" s="576"/>
      <c r="HB61" s="497"/>
    </row>
    <row r="62" spans="1:212" ht="20.100000000000001" customHeight="1" thickBot="1">
      <c r="A62" s="1204"/>
      <c r="B62" s="1204"/>
      <c r="C62" s="1204"/>
      <c r="D62" s="1204"/>
      <c r="E62" s="1204"/>
      <c r="F62" s="1204"/>
      <c r="G62" s="1204"/>
      <c r="H62" s="1204"/>
      <c r="I62" s="1204"/>
      <c r="J62" s="1204"/>
      <c r="K62" s="1204"/>
      <c r="L62" s="1204"/>
      <c r="M62" s="1204"/>
      <c r="N62" s="1204"/>
      <c r="O62" s="1204"/>
      <c r="P62" s="1204"/>
      <c r="Q62" s="1204"/>
      <c r="R62" s="1204"/>
      <c r="S62" s="1204"/>
      <c r="T62" s="1204"/>
      <c r="U62" s="1204"/>
      <c r="V62" s="1204"/>
      <c r="W62" s="1204"/>
      <c r="X62" s="1204"/>
      <c r="Y62" s="1204"/>
      <c r="Z62" s="1204"/>
      <c r="AA62" s="1204"/>
      <c r="AB62" s="1204"/>
      <c r="AC62" s="1204"/>
      <c r="AD62" s="1204"/>
      <c r="AE62" s="1204"/>
      <c r="AF62" s="1204"/>
      <c r="AG62" s="1204"/>
      <c r="AH62" s="1204"/>
      <c r="AI62" s="1204"/>
      <c r="AJ62" s="1204"/>
      <c r="AK62" s="1204"/>
      <c r="AL62" s="1204"/>
      <c r="AM62" s="1204"/>
      <c r="AN62" s="1204"/>
      <c r="AO62" s="1204"/>
      <c r="AP62" s="1204"/>
      <c r="AQ62" s="1204"/>
      <c r="AR62" s="1204"/>
      <c r="AS62" s="1204"/>
      <c r="AT62" s="1204"/>
      <c r="AU62" s="1204"/>
      <c r="AV62" s="1204"/>
      <c r="AW62" s="1204"/>
      <c r="AX62" s="1204"/>
      <c r="AY62" s="1204"/>
      <c r="AZ62" s="1204"/>
      <c r="BA62" s="1204"/>
      <c r="BB62" s="1204"/>
      <c r="BC62" s="390"/>
      <c r="BD62" s="1204"/>
      <c r="BE62" s="1204"/>
      <c r="BF62" s="1204"/>
      <c r="BG62" s="1204"/>
      <c r="BH62" s="1204"/>
      <c r="BI62" s="1204"/>
      <c r="BJ62" s="1204"/>
      <c r="BK62" s="1204"/>
      <c r="BL62" s="1204"/>
      <c r="BM62" s="1204"/>
      <c r="BN62" s="1204"/>
      <c r="BO62" s="1204"/>
      <c r="BP62" s="1204"/>
      <c r="BQ62" s="1204"/>
      <c r="BR62" s="1204"/>
      <c r="BS62" s="1204"/>
      <c r="BT62" s="1204"/>
      <c r="BU62" s="1204"/>
      <c r="BV62" s="1204"/>
      <c r="BW62" s="1204"/>
      <c r="BX62" s="1204"/>
      <c r="BY62" s="1204"/>
      <c r="BZ62" s="1204"/>
      <c r="CA62" s="1204"/>
      <c r="CB62" s="1204"/>
      <c r="CC62" s="1204"/>
      <c r="CD62" s="1204"/>
      <c r="CE62" s="1204"/>
      <c r="CF62" s="1204"/>
      <c r="CG62" s="1204"/>
      <c r="CH62" s="1204"/>
      <c r="CI62" s="1204"/>
      <c r="CJ62" s="1204"/>
      <c r="CK62" s="1204"/>
      <c r="CL62" s="1204"/>
      <c r="CM62" s="1204"/>
      <c r="CN62" s="1204"/>
      <c r="CO62" s="1204"/>
      <c r="CP62" s="1204"/>
      <c r="CQ62" s="1204"/>
      <c r="CR62" s="1204"/>
      <c r="CS62" s="1204"/>
      <c r="CT62" s="1204"/>
      <c r="CU62" s="1204"/>
      <c r="CV62" s="1204"/>
      <c r="CW62" s="1204"/>
      <c r="CX62" s="1204"/>
      <c r="CY62" s="1204"/>
      <c r="CZ62" s="1204"/>
      <c r="DA62" s="1204"/>
      <c r="DB62" s="1204"/>
      <c r="DC62" s="1204"/>
      <c r="DD62" s="1204"/>
      <c r="DE62" s="1204"/>
      <c r="DF62" s="390"/>
      <c r="DG62" s="1204"/>
      <c r="DH62" s="1204"/>
      <c r="DI62" s="1204"/>
      <c r="DJ62" s="1204"/>
      <c r="DK62" s="1204"/>
      <c r="DL62" s="1204"/>
      <c r="DM62" s="1204"/>
      <c r="DN62" s="1204"/>
      <c r="DO62" s="1204"/>
      <c r="DP62" s="1204"/>
      <c r="DQ62" s="1204"/>
      <c r="DR62" s="1204"/>
      <c r="DS62" s="1204"/>
      <c r="DT62" s="1204"/>
      <c r="DU62" s="1204"/>
      <c r="DV62" s="1204"/>
      <c r="DW62" s="1204"/>
      <c r="DX62" s="1204"/>
      <c r="DY62" s="1204"/>
      <c r="DZ62" s="1204"/>
      <c r="EA62" s="1204"/>
      <c r="EB62" s="1204"/>
      <c r="EC62" s="1204"/>
      <c r="ED62" s="1204"/>
      <c r="EE62" s="1204"/>
      <c r="EF62" s="1204"/>
      <c r="EG62" s="1204"/>
      <c r="EH62" s="1204"/>
      <c r="EI62" s="1204"/>
      <c r="EJ62" s="1204"/>
      <c r="EK62" s="1204"/>
      <c r="EL62" s="1204"/>
      <c r="EM62" s="1204"/>
      <c r="EN62" s="1204"/>
      <c r="EO62" s="1204"/>
      <c r="EP62" s="1204"/>
      <c r="EQ62" s="1204"/>
      <c r="ER62" s="1204"/>
      <c r="ES62" s="1204"/>
      <c r="ET62" s="1204"/>
      <c r="EU62" s="1204"/>
      <c r="EV62" s="1204"/>
      <c r="EW62" s="1204"/>
      <c r="EX62" s="1204"/>
      <c r="EY62" s="1204"/>
      <c r="EZ62" s="1204"/>
      <c r="FA62" s="1204"/>
      <c r="FB62" s="1204"/>
      <c r="FC62" s="1204"/>
      <c r="FD62" s="1204"/>
      <c r="FE62" s="1204"/>
      <c r="FF62" s="1204"/>
      <c r="FG62" s="1204"/>
      <c r="FH62" s="1204"/>
      <c r="FI62" s="390"/>
      <c r="FJ62" s="1204"/>
      <c r="FK62" s="1204"/>
      <c r="FL62" s="1204"/>
      <c r="FM62" s="1204"/>
      <c r="FN62" s="1204"/>
      <c r="FO62" s="1204"/>
      <c r="FP62" s="1204"/>
      <c r="FQ62" s="1204"/>
      <c r="FR62" s="1204"/>
      <c r="FS62" s="1204"/>
      <c r="FT62" s="1204"/>
      <c r="FU62" s="1204"/>
      <c r="FV62" s="1204"/>
      <c r="FW62" s="1204"/>
      <c r="FX62" s="1204"/>
      <c r="FY62" s="1204"/>
      <c r="FZ62" s="1204"/>
      <c r="GA62" s="1204"/>
      <c r="GB62" s="1204"/>
      <c r="GC62" s="1204"/>
      <c r="GD62" s="1204"/>
      <c r="GE62" s="1205"/>
      <c r="GF62" s="681"/>
      <c r="GG62" s="652"/>
      <c r="GH62" s="652"/>
      <c r="GI62" s="652"/>
      <c r="GJ62" s="577"/>
      <c r="GK62" s="483"/>
      <c r="GL62" s="480"/>
      <c r="GM62" s="483"/>
      <c r="GN62" s="480"/>
      <c r="GO62" s="483"/>
      <c r="GP62" s="483"/>
      <c r="GQ62" s="483"/>
      <c r="GR62" s="480"/>
      <c r="GS62" s="527"/>
      <c r="GT62" s="576"/>
      <c r="GU62" s="682"/>
      <c r="GV62" s="682"/>
      <c r="GW62" s="682"/>
      <c r="GX62" s="682"/>
      <c r="GY62" s="576"/>
      <c r="GZ62" s="497"/>
      <c r="HA62" s="576"/>
      <c r="HB62" s="497"/>
      <c r="HC62" s="1027"/>
    </row>
    <row r="63" spans="1:212" ht="20.100000000000001" customHeight="1">
      <c r="A63" s="1206" t="s">
        <v>346</v>
      </c>
      <c r="B63" s="1119"/>
      <c r="C63" s="1119"/>
      <c r="D63" s="1119"/>
      <c r="E63" s="1119"/>
      <c r="F63" s="1120"/>
      <c r="G63" s="1121">
        <v>1</v>
      </c>
      <c r="H63" s="1122"/>
      <c r="I63" s="1123">
        <v>2</v>
      </c>
      <c r="J63" s="1122"/>
      <c r="K63" s="1123">
        <v>3</v>
      </c>
      <c r="L63" s="1122"/>
      <c r="M63" s="1123">
        <v>4</v>
      </c>
      <c r="N63" s="1122"/>
      <c r="O63" s="1123">
        <v>5</v>
      </c>
      <c r="P63" s="1122"/>
      <c r="Q63" s="1123">
        <v>6</v>
      </c>
      <c r="R63" s="1122"/>
      <c r="S63" s="1123">
        <v>7</v>
      </c>
      <c r="T63" s="1122"/>
      <c r="U63" s="1123">
        <v>8</v>
      </c>
      <c r="V63" s="1122"/>
      <c r="W63" s="1123">
        <v>9</v>
      </c>
      <c r="X63" s="1122"/>
      <c r="Y63" s="1123">
        <v>10</v>
      </c>
      <c r="Z63" s="1122"/>
      <c r="AA63" s="1123">
        <v>11</v>
      </c>
      <c r="AB63" s="1122"/>
      <c r="AC63" s="1123">
        <v>12</v>
      </c>
      <c r="AD63" s="1122"/>
      <c r="AE63" s="1123">
        <v>13</v>
      </c>
      <c r="AF63" s="1122"/>
      <c r="AG63" s="1123">
        <v>14</v>
      </c>
      <c r="AH63" s="1122"/>
      <c r="AI63" s="1123">
        <v>15</v>
      </c>
      <c r="AJ63" s="1122"/>
      <c r="AK63" s="1123">
        <v>16</v>
      </c>
      <c r="AL63" s="1122"/>
      <c r="AM63" s="1123">
        <v>17</v>
      </c>
      <c r="AN63" s="1122"/>
      <c r="AO63" s="1123">
        <v>18</v>
      </c>
      <c r="AP63" s="1122"/>
      <c r="AQ63" s="1123">
        <v>19</v>
      </c>
      <c r="AR63" s="1122"/>
      <c r="AS63" s="1123">
        <v>20</v>
      </c>
      <c r="AT63" s="1122"/>
      <c r="AU63" s="1123">
        <v>21</v>
      </c>
      <c r="AV63" s="1122"/>
      <c r="AW63" s="1123">
        <v>22</v>
      </c>
      <c r="AX63" s="1122"/>
      <c r="AY63" s="1123">
        <v>23</v>
      </c>
      <c r="AZ63" s="1122"/>
      <c r="BA63" s="1123">
        <v>24</v>
      </c>
      <c r="BB63" s="1124"/>
      <c r="BC63" s="1027"/>
      <c r="BD63" s="1207" t="s">
        <v>347</v>
      </c>
      <c r="BE63" s="1208"/>
      <c r="BF63" s="1208"/>
      <c r="BG63" s="1208"/>
      <c r="BH63" s="1119"/>
      <c r="BI63" s="1120"/>
      <c r="BJ63" s="1121">
        <v>1</v>
      </c>
      <c r="BK63" s="1122"/>
      <c r="BL63" s="1123">
        <v>2</v>
      </c>
      <c r="BM63" s="1122"/>
      <c r="BN63" s="1123">
        <v>3</v>
      </c>
      <c r="BO63" s="1122"/>
      <c r="BP63" s="1123">
        <v>4</v>
      </c>
      <c r="BQ63" s="1122"/>
      <c r="BR63" s="1123">
        <v>5</v>
      </c>
      <c r="BS63" s="1122"/>
      <c r="BT63" s="1123">
        <v>6</v>
      </c>
      <c r="BU63" s="1122"/>
      <c r="BV63" s="1123">
        <v>7</v>
      </c>
      <c r="BW63" s="1122"/>
      <c r="BX63" s="1123">
        <v>8</v>
      </c>
      <c r="BY63" s="1122"/>
      <c r="BZ63" s="1123">
        <v>9</v>
      </c>
      <c r="CA63" s="1122"/>
      <c r="CB63" s="1123">
        <v>10</v>
      </c>
      <c r="CC63" s="1122"/>
      <c r="CD63" s="1123">
        <v>11</v>
      </c>
      <c r="CE63" s="1122"/>
      <c r="CF63" s="1123">
        <v>12</v>
      </c>
      <c r="CG63" s="1122"/>
      <c r="CH63" s="1123">
        <v>13</v>
      </c>
      <c r="CI63" s="1122"/>
      <c r="CJ63" s="1123">
        <v>14</v>
      </c>
      <c r="CK63" s="1122"/>
      <c r="CL63" s="1123">
        <v>15</v>
      </c>
      <c r="CM63" s="1122"/>
      <c r="CN63" s="1123">
        <v>16</v>
      </c>
      <c r="CO63" s="1122"/>
      <c r="CP63" s="1123">
        <v>17</v>
      </c>
      <c r="CQ63" s="1122"/>
      <c r="CR63" s="1123">
        <v>18</v>
      </c>
      <c r="CS63" s="1122"/>
      <c r="CT63" s="1123">
        <v>19</v>
      </c>
      <c r="CU63" s="1122"/>
      <c r="CV63" s="1123">
        <v>20</v>
      </c>
      <c r="CW63" s="1122"/>
      <c r="CX63" s="1123">
        <v>21</v>
      </c>
      <c r="CY63" s="1122"/>
      <c r="CZ63" s="1123">
        <v>22</v>
      </c>
      <c r="DA63" s="1122"/>
      <c r="DB63" s="1123">
        <v>23</v>
      </c>
      <c r="DC63" s="1122"/>
      <c r="DD63" s="1123">
        <v>24</v>
      </c>
      <c r="DE63" s="1124"/>
      <c r="DF63" s="1027"/>
      <c r="DG63" s="1206" t="s">
        <v>346</v>
      </c>
      <c r="DH63" s="1119"/>
      <c r="DI63" s="1119"/>
      <c r="DJ63" s="1119"/>
      <c r="DK63" s="1119"/>
      <c r="DL63" s="1120"/>
      <c r="DM63" s="1121">
        <v>1</v>
      </c>
      <c r="DN63" s="1122"/>
      <c r="DO63" s="1123">
        <v>2</v>
      </c>
      <c r="DP63" s="1122"/>
      <c r="DQ63" s="1123">
        <v>3</v>
      </c>
      <c r="DR63" s="1122"/>
      <c r="DS63" s="1123">
        <v>4</v>
      </c>
      <c r="DT63" s="1122"/>
      <c r="DU63" s="1123">
        <v>5</v>
      </c>
      <c r="DV63" s="1122"/>
      <c r="DW63" s="1123">
        <v>6</v>
      </c>
      <c r="DX63" s="1122"/>
      <c r="DY63" s="1123">
        <v>7</v>
      </c>
      <c r="DZ63" s="1122"/>
      <c r="EA63" s="1123">
        <v>8</v>
      </c>
      <c r="EB63" s="1122"/>
      <c r="EC63" s="1123">
        <v>9</v>
      </c>
      <c r="ED63" s="1122"/>
      <c r="EE63" s="1123">
        <v>10</v>
      </c>
      <c r="EF63" s="1122"/>
      <c r="EG63" s="1123">
        <v>11</v>
      </c>
      <c r="EH63" s="1122"/>
      <c r="EI63" s="1123">
        <v>12</v>
      </c>
      <c r="EJ63" s="1122"/>
      <c r="EK63" s="1123">
        <v>13</v>
      </c>
      <c r="EL63" s="1122"/>
      <c r="EM63" s="1123">
        <v>14</v>
      </c>
      <c r="EN63" s="1122"/>
      <c r="EO63" s="1123">
        <v>15</v>
      </c>
      <c r="EP63" s="1122"/>
      <c r="EQ63" s="1123">
        <v>16</v>
      </c>
      <c r="ER63" s="1122"/>
      <c r="ES63" s="1123">
        <v>17</v>
      </c>
      <c r="ET63" s="1122"/>
      <c r="EU63" s="1123">
        <v>18</v>
      </c>
      <c r="EV63" s="1122"/>
      <c r="EW63" s="1123">
        <v>19</v>
      </c>
      <c r="EX63" s="1122"/>
      <c r="EY63" s="1123">
        <v>20</v>
      </c>
      <c r="EZ63" s="1122"/>
      <c r="FA63" s="1123">
        <v>21</v>
      </c>
      <c r="FB63" s="1122"/>
      <c r="FC63" s="1123">
        <v>22</v>
      </c>
      <c r="FD63" s="1122"/>
      <c r="FE63" s="1123">
        <v>23</v>
      </c>
      <c r="FF63" s="1122"/>
      <c r="FG63" s="1123">
        <v>24</v>
      </c>
      <c r="FH63" s="1124"/>
      <c r="FI63" s="1027"/>
      <c r="FJ63" s="1206" t="s">
        <v>346</v>
      </c>
      <c r="FK63" s="1119"/>
      <c r="FL63" s="1119"/>
      <c r="FM63" s="1119"/>
      <c r="FN63" s="1119"/>
      <c r="FO63" s="1120"/>
      <c r="FP63" s="1125" t="s">
        <v>339</v>
      </c>
      <c r="FQ63" s="1126"/>
      <c r="FR63" s="1127"/>
      <c r="FS63" s="1128" t="s">
        <v>297</v>
      </c>
      <c r="FT63" s="1129"/>
      <c r="FU63" s="1130"/>
      <c r="FV63" s="1131" t="s">
        <v>340</v>
      </c>
      <c r="FW63" s="1132"/>
      <c r="FX63" s="1133" t="s">
        <v>341</v>
      </c>
      <c r="FY63" s="1134"/>
      <c r="FZ63" s="1135" t="s">
        <v>342</v>
      </c>
      <c r="GA63" s="1136"/>
      <c r="GB63" s="1137" t="s">
        <v>343</v>
      </c>
      <c r="GC63" s="1122"/>
      <c r="GD63" s="1137" t="s">
        <v>344</v>
      </c>
      <c r="GE63" s="1124"/>
      <c r="GF63" s="681"/>
      <c r="GG63" s="599"/>
      <c r="GH63" s="599"/>
      <c r="GI63" s="599"/>
      <c r="GJ63" s="1253"/>
      <c r="GK63" s="1253"/>
      <c r="GL63" s="575"/>
      <c r="GM63" s="497"/>
      <c r="GN63" s="575"/>
      <c r="GO63" s="497"/>
      <c r="GP63" s="497"/>
      <c r="GQ63" s="497"/>
      <c r="GR63" s="575"/>
      <c r="GS63" s="527"/>
      <c r="GT63" s="576"/>
      <c r="GU63" s="575"/>
      <c r="GV63" s="497"/>
      <c r="GW63" s="575"/>
      <c r="GX63" s="497"/>
      <c r="GY63" s="497"/>
      <c r="GZ63" s="497"/>
      <c r="HA63" s="576"/>
      <c r="HB63" s="497"/>
      <c r="HC63" s="1041"/>
    </row>
    <row r="64" spans="1:212" ht="20.100000000000001" customHeight="1">
      <c r="A64" s="1209"/>
      <c r="B64" s="1140"/>
      <c r="C64" s="1140"/>
      <c r="D64" s="1140"/>
      <c r="E64" s="1140"/>
      <c r="F64" s="1141"/>
      <c r="G64" s="1142"/>
      <c r="H64" s="1143" t="s">
        <v>348</v>
      </c>
      <c r="I64" s="1144"/>
      <c r="J64" s="1143" t="s">
        <v>348</v>
      </c>
      <c r="K64" s="1144"/>
      <c r="L64" s="1143" t="s">
        <v>348</v>
      </c>
      <c r="M64" s="1144"/>
      <c r="N64" s="1143" t="s">
        <v>348</v>
      </c>
      <c r="O64" s="1144"/>
      <c r="P64" s="1143" t="s">
        <v>348</v>
      </c>
      <c r="Q64" s="1144"/>
      <c r="R64" s="1143" t="s">
        <v>348</v>
      </c>
      <c r="S64" s="1144"/>
      <c r="T64" s="1143" t="s">
        <v>348</v>
      </c>
      <c r="U64" s="1144"/>
      <c r="V64" s="1143" t="s">
        <v>348</v>
      </c>
      <c r="W64" s="1144"/>
      <c r="X64" s="1143" t="s">
        <v>348</v>
      </c>
      <c r="Y64" s="1144"/>
      <c r="Z64" s="1143" t="s">
        <v>348</v>
      </c>
      <c r="AA64" s="1144"/>
      <c r="AB64" s="1143" t="s">
        <v>348</v>
      </c>
      <c r="AC64" s="1144"/>
      <c r="AD64" s="1143" t="s">
        <v>348</v>
      </c>
      <c r="AE64" s="1144"/>
      <c r="AF64" s="1143" t="s">
        <v>348</v>
      </c>
      <c r="AG64" s="1144"/>
      <c r="AH64" s="1143" t="s">
        <v>348</v>
      </c>
      <c r="AI64" s="1144"/>
      <c r="AJ64" s="1143" t="s">
        <v>348</v>
      </c>
      <c r="AK64" s="1144"/>
      <c r="AL64" s="1143" t="s">
        <v>348</v>
      </c>
      <c r="AM64" s="1144"/>
      <c r="AN64" s="1143" t="s">
        <v>348</v>
      </c>
      <c r="AO64" s="1144"/>
      <c r="AP64" s="1143" t="s">
        <v>348</v>
      </c>
      <c r="AQ64" s="1144"/>
      <c r="AR64" s="1143" t="s">
        <v>348</v>
      </c>
      <c r="AS64" s="1144"/>
      <c r="AT64" s="1143" t="s">
        <v>348</v>
      </c>
      <c r="AU64" s="1144"/>
      <c r="AV64" s="1143" t="s">
        <v>348</v>
      </c>
      <c r="AW64" s="1144"/>
      <c r="AX64" s="1143" t="s">
        <v>348</v>
      </c>
      <c r="AY64" s="1144"/>
      <c r="AZ64" s="1143" t="s">
        <v>348</v>
      </c>
      <c r="BA64" s="1144"/>
      <c r="BB64" s="1146" t="s">
        <v>348</v>
      </c>
      <c r="BC64" s="1041"/>
      <c r="BD64" s="1210"/>
      <c r="BE64" s="1211"/>
      <c r="BF64" s="1211"/>
      <c r="BG64" s="1211"/>
      <c r="BH64" s="1140"/>
      <c r="BI64" s="1141"/>
      <c r="BJ64" s="1142"/>
      <c r="BK64" s="1143" t="s">
        <v>348</v>
      </c>
      <c r="BL64" s="1144"/>
      <c r="BM64" s="1143" t="s">
        <v>348</v>
      </c>
      <c r="BN64" s="1144"/>
      <c r="BO64" s="1143" t="s">
        <v>348</v>
      </c>
      <c r="BP64" s="1144"/>
      <c r="BQ64" s="1143" t="s">
        <v>348</v>
      </c>
      <c r="BR64" s="1144"/>
      <c r="BS64" s="1143" t="s">
        <v>348</v>
      </c>
      <c r="BT64" s="1144"/>
      <c r="BU64" s="1143" t="s">
        <v>348</v>
      </c>
      <c r="BV64" s="1144"/>
      <c r="BW64" s="1143" t="s">
        <v>348</v>
      </c>
      <c r="BX64" s="1144"/>
      <c r="BY64" s="1143" t="s">
        <v>348</v>
      </c>
      <c r="BZ64" s="1144"/>
      <c r="CA64" s="1143" t="s">
        <v>348</v>
      </c>
      <c r="CB64" s="1144"/>
      <c r="CC64" s="1143" t="s">
        <v>348</v>
      </c>
      <c r="CD64" s="1144"/>
      <c r="CE64" s="1143" t="s">
        <v>348</v>
      </c>
      <c r="CF64" s="1144"/>
      <c r="CG64" s="1143" t="s">
        <v>348</v>
      </c>
      <c r="CH64" s="1144"/>
      <c r="CI64" s="1143" t="s">
        <v>348</v>
      </c>
      <c r="CJ64" s="1144"/>
      <c r="CK64" s="1143" t="s">
        <v>348</v>
      </c>
      <c r="CL64" s="1144"/>
      <c r="CM64" s="1143" t="s">
        <v>348</v>
      </c>
      <c r="CN64" s="1144"/>
      <c r="CO64" s="1143" t="s">
        <v>348</v>
      </c>
      <c r="CP64" s="1144"/>
      <c r="CQ64" s="1143" t="s">
        <v>348</v>
      </c>
      <c r="CR64" s="1144"/>
      <c r="CS64" s="1143" t="s">
        <v>348</v>
      </c>
      <c r="CT64" s="1144"/>
      <c r="CU64" s="1143" t="s">
        <v>348</v>
      </c>
      <c r="CV64" s="1144"/>
      <c r="CW64" s="1143" t="s">
        <v>348</v>
      </c>
      <c r="CX64" s="1144"/>
      <c r="CY64" s="1143" t="s">
        <v>348</v>
      </c>
      <c r="CZ64" s="1144"/>
      <c r="DA64" s="1143" t="s">
        <v>348</v>
      </c>
      <c r="DB64" s="1144"/>
      <c r="DC64" s="1143" t="s">
        <v>348</v>
      </c>
      <c r="DD64" s="1144"/>
      <c r="DE64" s="1146" t="s">
        <v>348</v>
      </c>
      <c r="DF64" s="1041"/>
      <c r="DG64" s="1209"/>
      <c r="DH64" s="1140"/>
      <c r="DI64" s="1140"/>
      <c r="DJ64" s="1140"/>
      <c r="DK64" s="1140"/>
      <c r="DL64" s="1141"/>
      <c r="DM64" s="1142"/>
      <c r="DN64" s="1143" t="s">
        <v>348</v>
      </c>
      <c r="DO64" s="1144"/>
      <c r="DP64" s="1143" t="s">
        <v>348</v>
      </c>
      <c r="DQ64" s="1144"/>
      <c r="DR64" s="1143" t="s">
        <v>348</v>
      </c>
      <c r="DS64" s="1144"/>
      <c r="DT64" s="1143" t="s">
        <v>348</v>
      </c>
      <c r="DU64" s="1144"/>
      <c r="DV64" s="1143" t="s">
        <v>348</v>
      </c>
      <c r="DW64" s="1144"/>
      <c r="DX64" s="1143" t="s">
        <v>348</v>
      </c>
      <c r="DY64" s="1144"/>
      <c r="DZ64" s="1143" t="s">
        <v>348</v>
      </c>
      <c r="EA64" s="1144"/>
      <c r="EB64" s="1143" t="s">
        <v>348</v>
      </c>
      <c r="EC64" s="1144"/>
      <c r="ED64" s="1143" t="s">
        <v>348</v>
      </c>
      <c r="EE64" s="1144"/>
      <c r="EF64" s="1143" t="s">
        <v>348</v>
      </c>
      <c r="EG64" s="1144"/>
      <c r="EH64" s="1143" t="s">
        <v>348</v>
      </c>
      <c r="EI64" s="1144"/>
      <c r="EJ64" s="1143" t="s">
        <v>348</v>
      </c>
      <c r="EK64" s="1144"/>
      <c r="EL64" s="1143" t="s">
        <v>348</v>
      </c>
      <c r="EM64" s="1144"/>
      <c r="EN64" s="1143" t="s">
        <v>348</v>
      </c>
      <c r="EO64" s="1144"/>
      <c r="EP64" s="1143" t="s">
        <v>348</v>
      </c>
      <c r="EQ64" s="1144"/>
      <c r="ER64" s="1143" t="s">
        <v>348</v>
      </c>
      <c r="ES64" s="1144"/>
      <c r="ET64" s="1143" t="s">
        <v>348</v>
      </c>
      <c r="EU64" s="1144"/>
      <c r="EV64" s="1143" t="s">
        <v>348</v>
      </c>
      <c r="EW64" s="1144"/>
      <c r="EX64" s="1143" t="s">
        <v>348</v>
      </c>
      <c r="EY64" s="1144"/>
      <c r="EZ64" s="1143" t="s">
        <v>348</v>
      </c>
      <c r="FA64" s="1144"/>
      <c r="FB64" s="1143" t="s">
        <v>348</v>
      </c>
      <c r="FC64" s="1144"/>
      <c r="FD64" s="1143" t="s">
        <v>348</v>
      </c>
      <c r="FE64" s="1144"/>
      <c r="FF64" s="1143" t="s">
        <v>348</v>
      </c>
      <c r="FG64" s="1144"/>
      <c r="FH64" s="1146" t="s">
        <v>348</v>
      </c>
      <c r="FI64" s="1041"/>
      <c r="FJ64" s="1209"/>
      <c r="FK64" s="1140"/>
      <c r="FL64" s="1140"/>
      <c r="FM64" s="1140"/>
      <c r="FN64" s="1140"/>
      <c r="FO64" s="1141"/>
      <c r="FP64" s="1147" t="s">
        <v>45</v>
      </c>
      <c r="FQ64" s="1145" t="s">
        <v>349</v>
      </c>
      <c r="FR64" s="1143" t="s">
        <v>348</v>
      </c>
      <c r="FS64" s="1148" t="s">
        <v>45</v>
      </c>
      <c r="FT64" s="1145" t="s">
        <v>349</v>
      </c>
      <c r="FU64" s="1149" t="s">
        <v>348</v>
      </c>
      <c r="FV64" s="1150" t="s">
        <v>45</v>
      </c>
      <c r="FW64" s="1143" t="s">
        <v>348</v>
      </c>
      <c r="FX64" s="1148" t="s">
        <v>45</v>
      </c>
      <c r="FY64" s="1143" t="s">
        <v>348</v>
      </c>
      <c r="FZ64" s="1148" t="s">
        <v>45</v>
      </c>
      <c r="GA64" s="1143" t="s">
        <v>348</v>
      </c>
      <c r="GB64" s="1148" t="s">
        <v>45</v>
      </c>
      <c r="GC64" s="1143" t="s">
        <v>348</v>
      </c>
      <c r="GD64" s="1148" t="s">
        <v>45</v>
      </c>
      <c r="GE64" s="1146" t="s">
        <v>348</v>
      </c>
      <c r="GF64" s="681"/>
      <c r="GG64" s="1182"/>
      <c r="GH64" s="1182"/>
      <c r="GI64" s="1182"/>
      <c r="GJ64" s="497"/>
      <c r="GK64" s="497"/>
      <c r="GL64" s="575"/>
      <c r="GM64" s="497"/>
      <c r="GN64" s="575"/>
      <c r="GO64" s="497"/>
      <c r="GP64" s="497"/>
      <c r="GQ64" s="497"/>
      <c r="GR64" s="575"/>
      <c r="GS64" s="410"/>
      <c r="GT64" s="1255"/>
      <c r="GU64" s="575"/>
      <c r="GV64" s="497"/>
      <c r="GW64" s="575"/>
      <c r="GX64" s="497"/>
      <c r="GY64" s="497"/>
      <c r="GZ64" s="576"/>
      <c r="HA64" s="576"/>
      <c r="HB64" s="576"/>
      <c r="HC64" s="559"/>
    </row>
    <row r="65" spans="1:211" ht="20.100000000000001" customHeight="1">
      <c r="A65" s="1151"/>
      <c r="B65" s="1152"/>
      <c r="C65" s="1152"/>
      <c r="D65" s="1212"/>
      <c r="E65" s="1213"/>
      <c r="F65" s="1214"/>
      <c r="G65" s="1215"/>
      <c r="H65" s="1156"/>
      <c r="I65" s="1216"/>
      <c r="J65" s="1217"/>
      <c r="K65" s="1218"/>
      <c r="L65" s="1217"/>
      <c r="M65" s="1218"/>
      <c r="N65" s="1217"/>
      <c r="O65" s="1218"/>
      <c r="P65" s="1217"/>
      <c r="Q65" s="1218"/>
      <c r="R65" s="1217"/>
      <c r="S65" s="1218"/>
      <c r="T65" s="1217"/>
      <c r="U65" s="1218"/>
      <c r="V65" s="1217"/>
      <c r="W65" s="1218"/>
      <c r="X65" s="1217">
        <v>0</v>
      </c>
      <c r="Y65" s="1218"/>
      <c r="Z65" s="1217">
        <v>0</v>
      </c>
      <c r="AA65" s="1218"/>
      <c r="AB65" s="1217">
        <v>0</v>
      </c>
      <c r="AC65" s="1218"/>
      <c r="AD65" s="1217">
        <v>0</v>
      </c>
      <c r="AE65" s="1218"/>
      <c r="AF65" s="1217">
        <v>0</v>
      </c>
      <c r="AG65" s="1218"/>
      <c r="AH65" s="1217">
        <v>0</v>
      </c>
      <c r="AI65" s="1218"/>
      <c r="AJ65" s="1217">
        <v>0</v>
      </c>
      <c r="AK65" s="1218"/>
      <c r="AL65" s="1217">
        <v>0</v>
      </c>
      <c r="AM65" s="1218"/>
      <c r="AN65" s="1217">
        <v>0</v>
      </c>
      <c r="AO65" s="1218"/>
      <c r="AP65" s="1217">
        <v>0</v>
      </c>
      <c r="AQ65" s="1218"/>
      <c r="AR65" s="1217"/>
      <c r="AS65" s="1218"/>
      <c r="AT65" s="1217"/>
      <c r="AU65" s="1218"/>
      <c r="AV65" s="1217"/>
      <c r="AW65" s="1218"/>
      <c r="AX65" s="1217"/>
      <c r="AY65" s="1218"/>
      <c r="AZ65" s="1217"/>
      <c r="BA65" s="1218"/>
      <c r="BB65" s="558"/>
      <c r="BC65" s="560"/>
      <c r="BD65" s="1151"/>
      <c r="BE65" s="1152"/>
      <c r="BF65" s="1152"/>
      <c r="BG65" s="1212"/>
      <c r="BH65" s="1213"/>
      <c r="BI65" s="1214"/>
      <c r="BJ65" s="1215"/>
      <c r="BK65" s="1156"/>
      <c r="BL65" s="1216"/>
      <c r="BM65" s="1217"/>
      <c r="BN65" s="1218"/>
      <c r="BO65" s="1217"/>
      <c r="BP65" s="1218"/>
      <c r="BQ65" s="1217"/>
      <c r="BR65" s="1218"/>
      <c r="BS65" s="1217"/>
      <c r="BT65" s="1218"/>
      <c r="BU65" s="1217"/>
      <c r="BV65" s="1218"/>
      <c r="BW65" s="1217"/>
      <c r="BX65" s="1218"/>
      <c r="BY65" s="1217"/>
      <c r="BZ65" s="1218"/>
      <c r="CA65" s="1217">
        <v>0</v>
      </c>
      <c r="CB65" s="1218"/>
      <c r="CC65" s="1217">
        <v>0</v>
      </c>
      <c r="CD65" s="1218"/>
      <c r="CE65" s="1217">
        <v>0</v>
      </c>
      <c r="CF65" s="1218"/>
      <c r="CG65" s="1217">
        <v>0</v>
      </c>
      <c r="CH65" s="1218"/>
      <c r="CI65" s="1217">
        <v>0</v>
      </c>
      <c r="CJ65" s="1218"/>
      <c r="CK65" s="1217">
        <v>0</v>
      </c>
      <c r="CL65" s="1218"/>
      <c r="CM65" s="1217">
        <v>0</v>
      </c>
      <c r="CN65" s="1218"/>
      <c r="CO65" s="1217">
        <v>0</v>
      </c>
      <c r="CP65" s="1218"/>
      <c r="CQ65" s="1217">
        <v>0</v>
      </c>
      <c r="CR65" s="1218"/>
      <c r="CS65" s="1217">
        <v>0</v>
      </c>
      <c r="CT65" s="1218"/>
      <c r="CU65" s="1217"/>
      <c r="CV65" s="1218"/>
      <c r="CW65" s="1217"/>
      <c r="CX65" s="1218"/>
      <c r="CY65" s="1217"/>
      <c r="CZ65" s="1218"/>
      <c r="DA65" s="1217"/>
      <c r="DB65" s="1218"/>
      <c r="DC65" s="1217"/>
      <c r="DD65" s="1218"/>
      <c r="DE65" s="558"/>
      <c r="DF65" s="559"/>
      <c r="DG65" s="1151"/>
      <c r="DH65" s="1152"/>
      <c r="DI65" s="1152"/>
      <c r="DJ65" s="1212"/>
      <c r="DK65" s="1213"/>
      <c r="DL65" s="1214"/>
      <c r="DM65" s="1215"/>
      <c r="DN65" s="1156"/>
      <c r="DO65" s="1216"/>
      <c r="DP65" s="1217"/>
      <c r="DQ65" s="1218"/>
      <c r="DR65" s="1217"/>
      <c r="DS65" s="1218"/>
      <c r="DT65" s="1217"/>
      <c r="DU65" s="1218"/>
      <c r="DV65" s="1217"/>
      <c r="DW65" s="1218"/>
      <c r="DX65" s="1217"/>
      <c r="DY65" s="1218"/>
      <c r="DZ65" s="1217"/>
      <c r="EA65" s="1218"/>
      <c r="EB65" s="1217"/>
      <c r="EC65" s="1218"/>
      <c r="ED65" s="1217">
        <v>0</v>
      </c>
      <c r="EE65" s="1218"/>
      <c r="EF65" s="1217">
        <v>0</v>
      </c>
      <c r="EG65" s="1218"/>
      <c r="EH65" s="1217">
        <v>0</v>
      </c>
      <c r="EI65" s="1218"/>
      <c r="EJ65" s="1217">
        <v>0</v>
      </c>
      <c r="EK65" s="1218"/>
      <c r="EL65" s="1217">
        <v>0</v>
      </c>
      <c r="EM65" s="1218"/>
      <c r="EN65" s="1217">
        <v>0</v>
      </c>
      <c r="EO65" s="1218"/>
      <c r="EP65" s="1217">
        <v>0</v>
      </c>
      <c r="EQ65" s="1218"/>
      <c r="ER65" s="1217">
        <v>0</v>
      </c>
      <c r="ES65" s="1218"/>
      <c r="ET65" s="1217">
        <v>0</v>
      </c>
      <c r="EU65" s="1218"/>
      <c r="EV65" s="1217">
        <v>0</v>
      </c>
      <c r="EW65" s="1218"/>
      <c r="EX65" s="1217"/>
      <c r="EY65" s="1218"/>
      <c r="EZ65" s="1217"/>
      <c r="FA65" s="1218"/>
      <c r="FB65" s="1217"/>
      <c r="FC65" s="1218"/>
      <c r="FD65" s="1217"/>
      <c r="FE65" s="1218"/>
      <c r="FF65" s="1217"/>
      <c r="FG65" s="1218"/>
      <c r="FH65" s="558"/>
      <c r="FI65" s="560"/>
      <c r="FJ65" s="1151"/>
      <c r="FK65" s="1152"/>
      <c r="FL65" s="1219"/>
      <c r="FM65" s="1219"/>
      <c r="FN65" s="1219"/>
      <c r="FO65" s="1214"/>
      <c r="FP65" s="1158"/>
      <c r="FQ65" s="1216"/>
      <c r="FR65" s="1156">
        <v>0</v>
      </c>
      <c r="FS65" s="1220"/>
      <c r="FT65" s="1216"/>
      <c r="FU65" s="1161">
        <v>0</v>
      </c>
      <c r="FV65" s="1220"/>
      <c r="FW65" s="1221">
        <v>0</v>
      </c>
      <c r="FX65" s="1160"/>
      <c r="FY65" s="1221">
        <v>0</v>
      </c>
      <c r="FZ65" s="1160"/>
      <c r="GA65" s="1221">
        <v>0</v>
      </c>
      <c r="GB65" s="1160"/>
      <c r="GC65" s="1221">
        <v>0</v>
      </c>
      <c r="GD65" s="1222"/>
      <c r="GE65" s="1223"/>
      <c r="GF65" s="681"/>
      <c r="GG65" s="599"/>
      <c r="GH65" s="599"/>
      <c r="GI65" s="599"/>
      <c r="GJ65" s="392"/>
      <c r="GK65" s="526"/>
      <c r="GL65" s="526"/>
      <c r="GM65" s="526"/>
      <c r="GN65" s="526"/>
      <c r="GO65" s="526"/>
      <c r="GP65" s="526"/>
      <c r="GQ65" s="526"/>
      <c r="GR65" s="526"/>
      <c r="GS65" s="410"/>
      <c r="GT65" s="1255"/>
      <c r="GU65" s="497"/>
      <c r="GV65" s="497"/>
      <c r="GW65" s="497"/>
      <c r="GX65" s="497"/>
      <c r="GY65" s="497"/>
      <c r="GZ65" s="576"/>
      <c r="HA65" s="576"/>
      <c r="HB65" s="576"/>
      <c r="HC65" s="559"/>
    </row>
    <row r="66" spans="1:211" ht="20.100000000000001" customHeight="1">
      <c r="A66" s="1189"/>
      <c r="B66" s="1190"/>
      <c r="C66" s="1190"/>
      <c r="D66" s="1190"/>
      <c r="E66" s="1190"/>
      <c r="F66" s="1191"/>
      <c r="G66" s="1224"/>
      <c r="H66" s="1225"/>
      <c r="I66" s="1198"/>
      <c r="J66" s="1226"/>
      <c r="K66" s="1227"/>
      <c r="L66" s="1226"/>
      <c r="M66" s="1227"/>
      <c r="N66" s="1226"/>
      <c r="O66" s="1227"/>
      <c r="P66" s="1226"/>
      <c r="Q66" s="1227"/>
      <c r="R66" s="1226"/>
      <c r="S66" s="1227"/>
      <c r="T66" s="1226"/>
      <c r="U66" s="1227"/>
      <c r="V66" s="1226"/>
      <c r="W66" s="1227"/>
      <c r="X66" s="1226"/>
      <c r="Y66" s="1227"/>
      <c r="Z66" s="1226"/>
      <c r="AA66" s="1227"/>
      <c r="AB66" s="1226"/>
      <c r="AC66" s="1227"/>
      <c r="AD66" s="1226"/>
      <c r="AE66" s="1227"/>
      <c r="AF66" s="1226"/>
      <c r="AG66" s="1227"/>
      <c r="AH66" s="1226"/>
      <c r="AI66" s="1227"/>
      <c r="AJ66" s="1226"/>
      <c r="AK66" s="1227"/>
      <c r="AL66" s="1226"/>
      <c r="AM66" s="1227"/>
      <c r="AN66" s="1226"/>
      <c r="AO66" s="1227"/>
      <c r="AP66" s="1226"/>
      <c r="AQ66" s="1227"/>
      <c r="AR66" s="1226"/>
      <c r="AS66" s="1227"/>
      <c r="AT66" s="1226"/>
      <c r="AU66" s="1227"/>
      <c r="AV66" s="1226"/>
      <c r="AW66" s="1227"/>
      <c r="AX66" s="1226"/>
      <c r="AY66" s="1227"/>
      <c r="AZ66" s="1226"/>
      <c r="BA66" s="1227"/>
      <c r="BB66" s="1228"/>
      <c r="BC66" s="560"/>
      <c r="BD66" s="1189"/>
      <c r="BE66" s="1190"/>
      <c r="BF66" s="1190"/>
      <c r="BG66" s="1190"/>
      <c r="BH66" s="1190"/>
      <c r="BI66" s="1191"/>
      <c r="BJ66" s="1224"/>
      <c r="BK66" s="1225"/>
      <c r="BL66" s="1198"/>
      <c r="BM66" s="1226"/>
      <c r="BN66" s="1227"/>
      <c r="BO66" s="1226"/>
      <c r="BP66" s="1227"/>
      <c r="BQ66" s="1226"/>
      <c r="BR66" s="1227"/>
      <c r="BS66" s="1226"/>
      <c r="BT66" s="1227"/>
      <c r="BU66" s="1226"/>
      <c r="BV66" s="1227"/>
      <c r="BW66" s="1226"/>
      <c r="BX66" s="1227"/>
      <c r="BY66" s="1226"/>
      <c r="BZ66" s="1227"/>
      <c r="CA66" s="1226"/>
      <c r="CB66" s="1227"/>
      <c r="CC66" s="1226"/>
      <c r="CD66" s="1227"/>
      <c r="CE66" s="1226"/>
      <c r="CF66" s="1227"/>
      <c r="CG66" s="1226"/>
      <c r="CH66" s="1227"/>
      <c r="CI66" s="1226"/>
      <c r="CJ66" s="1227"/>
      <c r="CK66" s="1226"/>
      <c r="CL66" s="1227"/>
      <c r="CM66" s="1226"/>
      <c r="CN66" s="1227"/>
      <c r="CO66" s="1226"/>
      <c r="CP66" s="1227"/>
      <c r="CQ66" s="1226"/>
      <c r="CR66" s="1227"/>
      <c r="CS66" s="1226"/>
      <c r="CT66" s="1227"/>
      <c r="CU66" s="1226"/>
      <c r="CV66" s="1227"/>
      <c r="CW66" s="1226"/>
      <c r="CX66" s="1227"/>
      <c r="CY66" s="1226"/>
      <c r="CZ66" s="1227"/>
      <c r="DA66" s="1226"/>
      <c r="DB66" s="1227"/>
      <c r="DC66" s="1226"/>
      <c r="DD66" s="1227"/>
      <c r="DE66" s="1228"/>
      <c r="DF66" s="559"/>
      <c r="DG66" s="1189"/>
      <c r="DH66" s="1190"/>
      <c r="DI66" s="1190"/>
      <c r="DJ66" s="1190"/>
      <c r="DK66" s="1190"/>
      <c r="DL66" s="1191"/>
      <c r="DM66" s="1224"/>
      <c r="DN66" s="1225"/>
      <c r="DO66" s="1198"/>
      <c r="DP66" s="1226"/>
      <c r="DQ66" s="1227"/>
      <c r="DR66" s="1226"/>
      <c r="DS66" s="1227"/>
      <c r="DT66" s="1226"/>
      <c r="DU66" s="1227"/>
      <c r="DV66" s="1226"/>
      <c r="DW66" s="1227"/>
      <c r="DX66" s="1226"/>
      <c r="DY66" s="1227"/>
      <c r="DZ66" s="1226"/>
      <c r="EA66" s="1227"/>
      <c r="EB66" s="1226"/>
      <c r="EC66" s="1227"/>
      <c r="ED66" s="1226"/>
      <c r="EE66" s="1227"/>
      <c r="EF66" s="1226"/>
      <c r="EG66" s="1227"/>
      <c r="EH66" s="1226"/>
      <c r="EI66" s="1227"/>
      <c r="EJ66" s="1226"/>
      <c r="EK66" s="1227"/>
      <c r="EL66" s="1226"/>
      <c r="EM66" s="1227"/>
      <c r="EN66" s="1226"/>
      <c r="EO66" s="1227"/>
      <c r="EP66" s="1226"/>
      <c r="EQ66" s="1227"/>
      <c r="ER66" s="1226"/>
      <c r="ES66" s="1227"/>
      <c r="ET66" s="1226"/>
      <c r="EU66" s="1227"/>
      <c r="EV66" s="1226"/>
      <c r="EW66" s="1227"/>
      <c r="EX66" s="1226"/>
      <c r="EY66" s="1227"/>
      <c r="EZ66" s="1226"/>
      <c r="FA66" s="1227"/>
      <c r="FB66" s="1226"/>
      <c r="FC66" s="1227"/>
      <c r="FD66" s="1226"/>
      <c r="FE66" s="1227"/>
      <c r="FF66" s="1226"/>
      <c r="FG66" s="1227"/>
      <c r="FH66" s="1228"/>
      <c r="FI66" s="560"/>
      <c r="FJ66" s="1189" t="s">
        <v>665</v>
      </c>
      <c r="FK66" s="1190"/>
      <c r="FL66" s="1229"/>
      <c r="FM66" s="1230" t="s">
        <v>666</v>
      </c>
      <c r="FN66" s="1231"/>
      <c r="FO66" s="1191"/>
      <c r="FP66" s="1197">
        <v>9</v>
      </c>
      <c r="FQ66" s="1232">
        <v>5.2</v>
      </c>
      <c r="FR66" s="1233">
        <v>1.1000000000000001</v>
      </c>
      <c r="FS66" s="1200">
        <v>9</v>
      </c>
      <c r="FT66" s="1232">
        <v>3.5</v>
      </c>
      <c r="FU66" s="1234">
        <v>0.8</v>
      </c>
      <c r="FV66" s="1235"/>
      <c r="FW66" s="1236"/>
      <c r="FX66" s="1236"/>
      <c r="FY66" s="1236"/>
      <c r="FZ66" s="1236"/>
      <c r="GA66" s="1236"/>
      <c r="GB66" s="1236"/>
      <c r="GC66" s="1237"/>
      <c r="GD66" s="1200"/>
      <c r="GE66" s="1238">
        <v>1.1000000000000001</v>
      </c>
      <c r="GF66" s="681"/>
      <c r="GG66" s="392"/>
      <c r="GH66" s="392"/>
      <c r="GI66" s="392"/>
      <c r="GJ66" s="480"/>
      <c r="GK66" s="526"/>
      <c r="GL66" s="527"/>
      <c r="GM66" s="526"/>
      <c r="GN66" s="527"/>
      <c r="GO66" s="526"/>
      <c r="GP66" s="526"/>
      <c r="GQ66" s="526"/>
      <c r="GR66" s="527"/>
      <c r="GT66" s="1255"/>
      <c r="GU66" s="576"/>
      <c r="GV66" s="576"/>
      <c r="GW66" s="576"/>
      <c r="GX66" s="576"/>
      <c r="GY66" s="576"/>
      <c r="GZ66" s="497"/>
      <c r="HA66" s="497"/>
      <c r="HB66" s="497"/>
      <c r="HC66" s="407"/>
    </row>
    <row r="67" spans="1:211" ht="20.100000000000001" customHeight="1" thickBot="1">
      <c r="BC67" s="390"/>
      <c r="DF67" s="390"/>
      <c r="FI67" s="390"/>
      <c r="GD67" s="681"/>
      <c r="GE67" s="792"/>
      <c r="GF67" s="681"/>
      <c r="GG67" s="480"/>
      <c r="GH67" s="480"/>
      <c r="GI67" s="480"/>
      <c r="GJ67" s="392"/>
      <c r="GT67" s="682"/>
      <c r="GU67" s="497"/>
      <c r="GV67" s="497"/>
      <c r="GW67" s="497"/>
      <c r="GX67" s="497"/>
      <c r="GY67" s="497"/>
      <c r="GZ67" s="576"/>
      <c r="HA67" s="575"/>
      <c r="HB67" s="576"/>
      <c r="HC67" s="407"/>
    </row>
    <row r="68" spans="1:211" ht="20.100000000000001" customHeight="1">
      <c r="A68" s="1240" t="s">
        <v>350</v>
      </c>
      <c r="B68" s="1241"/>
      <c r="C68" s="1241"/>
      <c r="D68" s="1241"/>
      <c r="E68" s="814"/>
      <c r="F68" s="814"/>
      <c r="G68" s="1242" t="s">
        <v>355</v>
      </c>
      <c r="H68" s="1243"/>
      <c r="I68" s="1243"/>
      <c r="J68" s="1243"/>
      <c r="K68" s="1243"/>
      <c r="L68" s="1243"/>
      <c r="M68" s="1243"/>
      <c r="N68" s="1243"/>
      <c r="O68" s="1243"/>
      <c r="P68" s="1243"/>
      <c r="Q68" s="1243"/>
      <c r="R68" s="1243"/>
      <c r="S68" s="1243"/>
      <c r="T68" s="1243"/>
      <c r="U68" s="1243"/>
      <c r="V68" s="1243"/>
      <c r="W68" s="1243"/>
      <c r="X68" s="1243"/>
      <c r="Y68" s="1243"/>
      <c r="Z68" s="1243"/>
      <c r="AA68" s="1243"/>
      <c r="AB68" s="1243"/>
      <c r="AC68" s="1243"/>
      <c r="AD68" s="1243"/>
      <c r="AE68" s="1243"/>
      <c r="AF68" s="1243"/>
      <c r="AG68" s="1243"/>
      <c r="AH68" s="1243"/>
      <c r="AI68" s="1243"/>
      <c r="AJ68" s="1243"/>
      <c r="AK68" s="1243"/>
      <c r="AL68" s="1243"/>
      <c r="AM68" s="1243"/>
      <c r="AN68" s="1243"/>
      <c r="AO68" s="1243"/>
      <c r="AP68" s="1243"/>
      <c r="AQ68" s="1243"/>
      <c r="AR68" s="1243"/>
      <c r="AS68" s="1243"/>
      <c r="AT68" s="1243"/>
      <c r="AU68" s="1243"/>
      <c r="AV68" s="1243"/>
      <c r="AW68" s="1243"/>
      <c r="AX68" s="1243"/>
      <c r="AY68" s="1243"/>
      <c r="AZ68" s="1243"/>
      <c r="BA68" s="1243"/>
      <c r="BB68" s="1244"/>
      <c r="BC68" s="1245"/>
      <c r="BD68" s="1240" t="s">
        <v>350</v>
      </c>
      <c r="BE68" s="1241"/>
      <c r="BF68" s="1241"/>
      <c r="BG68" s="1241"/>
      <c r="BH68" s="814"/>
      <c r="BI68" s="814"/>
      <c r="BJ68" s="1246" t="str">
        <f>$G68</f>
        <v>(C)室内全熱負荷以降の外気負荷等は、熱源容量計算用の基準別、時刻別の値です。外気負荷を含めた空調機の容量の計算等は別紙「AC-2系統 空調機容量の計算」をご参照ください。</v>
      </c>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7"/>
      <c r="DD68" s="1247"/>
      <c r="DE68" s="1248"/>
      <c r="DF68" s="1245"/>
      <c r="DG68" s="1240" t="s">
        <v>350</v>
      </c>
      <c r="DH68" s="1241"/>
      <c r="DI68" s="1241"/>
      <c r="DJ68" s="1241"/>
      <c r="DK68" s="814"/>
      <c r="DL68" s="814"/>
      <c r="DM68" s="1246" t="str">
        <f>$G68</f>
        <v>(C)室内全熱負荷以降の外気負荷等は、熱源容量計算用の基準別、時刻別の値です。外気負荷を含めた空調機の容量の計算等は別紙「AC-2系統 空調機容量の計算」をご参照ください。</v>
      </c>
      <c r="DN68" s="1247"/>
      <c r="DO68" s="1247"/>
      <c r="DP68" s="1247"/>
      <c r="DQ68" s="1247"/>
      <c r="DR68" s="1247"/>
      <c r="DS68" s="1247"/>
      <c r="DT68" s="1247"/>
      <c r="DU68" s="1247"/>
      <c r="DV68" s="1247"/>
      <c r="DW68" s="1247"/>
      <c r="DX68" s="1247"/>
      <c r="DY68" s="1247"/>
      <c r="DZ68" s="1247"/>
      <c r="EA68" s="1247"/>
      <c r="EB68" s="1247"/>
      <c r="EC68" s="1247"/>
      <c r="ED68" s="1247"/>
      <c r="EE68" s="1247"/>
      <c r="EF68" s="1247"/>
      <c r="EG68" s="1247"/>
      <c r="EH68" s="1247"/>
      <c r="EI68" s="1247"/>
      <c r="EJ68" s="1247"/>
      <c r="EK68" s="1247"/>
      <c r="EL68" s="1247"/>
      <c r="EM68" s="1247"/>
      <c r="EN68" s="1247"/>
      <c r="EO68" s="1247"/>
      <c r="EP68" s="1247"/>
      <c r="EQ68" s="1247"/>
      <c r="ER68" s="1247"/>
      <c r="ES68" s="1247"/>
      <c r="ET68" s="1247"/>
      <c r="EU68" s="1247"/>
      <c r="EV68" s="1247"/>
      <c r="EW68" s="1247"/>
      <c r="EX68" s="1247"/>
      <c r="EY68" s="1247"/>
      <c r="EZ68" s="1247"/>
      <c r="FA68" s="1247"/>
      <c r="FB68" s="1247"/>
      <c r="FC68" s="1247"/>
      <c r="FD68" s="1247"/>
      <c r="FE68" s="1247"/>
      <c r="FF68" s="1247"/>
      <c r="FG68" s="1247"/>
      <c r="FH68" s="1248"/>
      <c r="FI68" s="1245"/>
      <c r="FJ68" s="1240" t="s">
        <v>350</v>
      </c>
      <c r="FK68" s="1241"/>
      <c r="FL68" s="1241"/>
      <c r="FM68" s="1241"/>
      <c r="FN68" s="814"/>
      <c r="FO68" s="814"/>
      <c r="FP68" s="1242"/>
      <c r="FQ68" s="1243"/>
      <c r="FR68" s="1243"/>
      <c r="FS68" s="1243"/>
      <c r="FT68" s="1243"/>
      <c r="FU68" s="1249"/>
      <c r="FV68" s="1250"/>
      <c r="FW68" s="1243"/>
      <c r="FX68" s="1243"/>
      <c r="FY68" s="1243"/>
      <c r="FZ68" s="1243"/>
      <c r="GA68" s="1243"/>
      <c r="GB68" s="1243"/>
      <c r="GC68" s="1251"/>
      <c r="GD68" s="1243"/>
      <c r="GE68" s="1244"/>
      <c r="GF68" s="681"/>
      <c r="GG68" s="599"/>
      <c r="GH68" s="599"/>
      <c r="GI68" s="599"/>
      <c r="GJ68" s="480"/>
      <c r="GK68" s="526"/>
      <c r="GL68" s="527"/>
      <c r="GM68" s="526"/>
      <c r="GN68" s="527"/>
      <c r="GO68" s="526"/>
      <c r="GP68" s="526"/>
      <c r="GQ68" s="526"/>
      <c r="GR68" s="527"/>
      <c r="GT68" s="576"/>
      <c r="GU68" s="1253"/>
      <c r="GV68" s="1253"/>
      <c r="GW68" s="1253"/>
      <c r="GX68" s="1253"/>
      <c r="GY68" s="1110"/>
      <c r="GZ68" s="1254"/>
      <c r="HA68" s="1254"/>
      <c r="HB68" s="1254"/>
    </row>
    <row r="69" spans="1:211" ht="20.100000000000001" customHeight="1">
      <c r="BC69" s="390"/>
      <c r="DF69" s="390"/>
      <c r="FI69" s="390"/>
      <c r="GF69" s="496"/>
      <c r="GG69" s="599"/>
      <c r="GH69" s="599"/>
      <c r="GI69" s="599"/>
      <c r="GJ69" s="527"/>
      <c r="GT69" s="1182"/>
      <c r="GU69" s="527"/>
      <c r="GV69" s="526"/>
      <c r="GW69" s="527"/>
      <c r="GX69" s="526"/>
      <c r="GY69" s="526"/>
      <c r="HA69" s="392"/>
    </row>
    <row r="70" spans="1:211" ht="20.100000000000001" customHeight="1">
      <c r="BC70" s="390"/>
      <c r="DF70" s="390"/>
      <c r="FI70" s="390"/>
      <c r="GJ70" s="392"/>
      <c r="GT70" s="682"/>
      <c r="GU70" s="526"/>
      <c r="GV70" s="526"/>
      <c r="GW70" s="526"/>
      <c r="GX70" s="526"/>
      <c r="GY70" s="526"/>
      <c r="HA70" s="527"/>
    </row>
    <row r="71" spans="1:211" ht="20.100000000000001" customHeight="1">
      <c r="BC71" s="390"/>
      <c r="DF71" s="390"/>
      <c r="FI71" s="390"/>
      <c r="GJ71" s="577"/>
      <c r="GS71" s="392"/>
      <c r="GT71" s="1252"/>
      <c r="GU71" s="527"/>
      <c r="GV71" s="392"/>
      <c r="GW71" s="527"/>
      <c r="GX71" s="392"/>
      <c r="GY71" s="576"/>
      <c r="GZ71" s="414"/>
      <c r="HA71" s="527"/>
      <c r="HB71" s="414"/>
    </row>
    <row r="72" spans="1:211" ht="20.100000000000001" customHeight="1">
      <c r="BC72" s="390"/>
      <c r="DF72" s="390"/>
      <c r="FI72" s="390"/>
      <c r="GJ72" s="527"/>
      <c r="GT72" s="1182"/>
      <c r="GU72" s="527"/>
      <c r="GV72" s="526"/>
      <c r="GW72" s="527"/>
      <c r="GX72" s="526"/>
      <c r="GY72" s="526"/>
      <c r="HA72" s="392"/>
    </row>
    <row r="73" spans="1:211" ht="20.100000000000001" customHeight="1">
      <c r="BC73" s="390"/>
      <c r="DF73" s="390"/>
      <c r="FI73" s="390"/>
      <c r="GJ73" s="527"/>
      <c r="GT73" s="1182"/>
      <c r="GU73" s="392"/>
      <c r="GV73" s="392"/>
      <c r="GW73" s="392"/>
      <c r="GX73" s="392"/>
      <c r="GY73" s="526"/>
      <c r="HA73" s="480"/>
    </row>
    <row r="74" spans="1:211" ht="20.100000000000001" customHeight="1">
      <c r="BC74" s="390"/>
      <c r="DF74" s="390"/>
      <c r="FI74" s="390"/>
      <c r="GT74" s="1182"/>
      <c r="GU74" s="480"/>
      <c r="GV74" s="483"/>
      <c r="GW74" s="480"/>
      <c r="GX74" s="483"/>
      <c r="GY74" s="392"/>
      <c r="HA74" s="577"/>
    </row>
    <row r="75" spans="1:211" ht="20.100000000000001" customHeight="1">
      <c r="BC75" s="390"/>
      <c r="DF75" s="390"/>
      <c r="FI75" s="390"/>
      <c r="GT75" s="392"/>
      <c r="GU75" s="577"/>
      <c r="GV75" s="414"/>
      <c r="GW75" s="577"/>
      <c r="GX75" s="414"/>
      <c r="GY75" s="483"/>
      <c r="HA75" s="527"/>
    </row>
    <row r="76" spans="1:211" ht="20.100000000000001" customHeight="1">
      <c r="BC76" s="390"/>
      <c r="DF76" s="390"/>
      <c r="FI76" s="390"/>
      <c r="GT76" s="483"/>
      <c r="GU76" s="527"/>
      <c r="GV76" s="526"/>
      <c r="GW76" s="527"/>
      <c r="GX76" s="526"/>
      <c r="GY76" s="414"/>
      <c r="HA76" s="527"/>
    </row>
    <row r="77" spans="1:211" ht="20.100000000000001" customHeight="1">
      <c r="BC77" s="390"/>
      <c r="DF77" s="390"/>
      <c r="FI77" s="390"/>
      <c r="GT77" s="850"/>
      <c r="GU77" s="527"/>
      <c r="GV77" s="526"/>
      <c r="GW77" s="527"/>
      <c r="GX77" s="526"/>
      <c r="GZ77" s="526"/>
    </row>
    <row r="78" spans="1:211" ht="20.100000000000001" customHeight="1">
      <c r="BC78" s="390"/>
      <c r="DF78" s="390"/>
      <c r="FI78" s="390"/>
      <c r="GT78" s="1182"/>
      <c r="GZ78" s="526"/>
    </row>
    <row r="79" spans="1:211" ht="20.100000000000001" customHeight="1">
      <c r="BC79" s="390"/>
      <c r="DF79" s="390"/>
      <c r="FI79" s="390"/>
      <c r="GT79" s="1182"/>
    </row>
    <row r="80" spans="1:211" ht="20.100000000000001" customHeight="1">
      <c r="BC80" s="390"/>
      <c r="DF80" s="390"/>
      <c r="FI80" s="390"/>
    </row>
    <row r="81" spans="55:165" ht="20.100000000000001" customHeight="1">
      <c r="BC81" s="390"/>
      <c r="DF81" s="390"/>
      <c r="FI81" s="390"/>
    </row>
    <row r="82" spans="55:165" ht="20.100000000000001" customHeight="1">
      <c r="BC82" s="390"/>
      <c r="DF82" s="390"/>
      <c r="FI82" s="390"/>
    </row>
    <row r="83" spans="55:165" ht="20.100000000000001" customHeight="1">
      <c r="BC83" s="390"/>
      <c r="DF83" s="390"/>
      <c r="FI83" s="390"/>
    </row>
    <row r="84" spans="55:165" ht="20.100000000000001" customHeight="1">
      <c r="BC84" s="390"/>
      <c r="DF84" s="390"/>
      <c r="FI84" s="390"/>
    </row>
    <row r="85" spans="55:165" ht="20.100000000000001" customHeight="1">
      <c r="BC85" s="390"/>
      <c r="DF85" s="390"/>
      <c r="FI85" s="390"/>
    </row>
    <row r="86" spans="55:165" ht="20.100000000000001" customHeight="1">
      <c r="BC86" s="390"/>
      <c r="DF86" s="390"/>
    </row>
    <row r="87" spans="55:165" ht="20.100000000000001" customHeight="1">
      <c r="BC87" s="390"/>
      <c r="DF87" s="390"/>
    </row>
    <row r="88" spans="55:165" ht="20.100000000000001" customHeight="1">
      <c r="BC88" s="390"/>
      <c r="DF88" s="390"/>
    </row>
    <row r="89" spans="55:165" ht="20.100000000000001" customHeight="1">
      <c r="BC89" s="390"/>
      <c r="DF89" s="390"/>
    </row>
  </sheetData>
  <dataConsolidate/>
  <mergeCells count="329">
    <mergeCell ref="GB59:GC59"/>
    <mergeCell ref="GB61:GC61"/>
    <mergeCell ref="GD59:GE59"/>
    <mergeCell ref="GD61:GE61"/>
    <mergeCell ref="FV59:FW59"/>
    <mergeCell ref="FX59:FY59"/>
    <mergeCell ref="FZ59:GA59"/>
    <mergeCell ref="FV61:FW61"/>
    <mergeCell ref="FX61:FY61"/>
    <mergeCell ref="FZ61:GA61"/>
    <mergeCell ref="DM68:FH68"/>
    <mergeCell ref="FJ68:FM68"/>
    <mergeCell ref="FP68:FU68"/>
    <mergeCell ref="FV68:GC68"/>
    <mergeCell ref="GD68:GE68"/>
    <mergeCell ref="DK63:DL64"/>
    <mergeCell ref="FJ63:FM64"/>
    <mergeCell ref="FN63:FO64"/>
    <mergeCell ref="GD65:GE65"/>
    <mergeCell ref="FV66:GC66"/>
    <mergeCell ref="A68:D68"/>
    <mergeCell ref="G68:BB68"/>
    <mergeCell ref="BD68:BG68"/>
    <mergeCell ref="BJ68:DE68"/>
    <mergeCell ref="DG68:DJ68"/>
    <mergeCell ref="DK56:DL57"/>
    <mergeCell ref="FJ56:FM57"/>
    <mergeCell ref="FN56:FO57"/>
    <mergeCell ref="A63:D64"/>
    <mergeCell ref="E63:F64"/>
    <mergeCell ref="BD63:BG64"/>
    <mergeCell ref="BH63:BI64"/>
    <mergeCell ref="DG63:DJ64"/>
    <mergeCell ref="GN51:GN52"/>
    <mergeCell ref="GO51:GO52"/>
    <mergeCell ref="GP51:GP52"/>
    <mergeCell ref="GQ51:GQ52"/>
    <mergeCell ref="GU54:GX54"/>
    <mergeCell ref="A56:D57"/>
    <mergeCell ref="E56:F57"/>
    <mergeCell ref="BD56:BG57"/>
    <mergeCell ref="BH56:BI57"/>
    <mergeCell ref="DG56:DJ57"/>
    <mergeCell ref="FX49:FY51"/>
    <mergeCell ref="FZ49:GA51"/>
    <mergeCell ref="GB49:GC51"/>
    <mergeCell ref="GD49:GE51"/>
    <mergeCell ref="GL51:GL52"/>
    <mergeCell ref="GM51:GM52"/>
    <mergeCell ref="GQ44:GR44"/>
    <mergeCell ref="BA46:BB46"/>
    <mergeCell ref="DD46:DE46"/>
    <mergeCell ref="FG46:FH46"/>
    <mergeCell ref="FT46:FU46"/>
    <mergeCell ref="A48:A51"/>
    <mergeCell ref="BD48:BD51"/>
    <mergeCell ref="DG48:DG51"/>
    <mergeCell ref="FJ48:FJ51"/>
    <mergeCell ref="FV49:FW51"/>
    <mergeCell ref="FV44:FW46"/>
    <mergeCell ref="FX44:FY46"/>
    <mergeCell ref="FZ44:GA46"/>
    <mergeCell ref="GB44:GC46"/>
    <mergeCell ref="GD44:GE46"/>
    <mergeCell ref="GM44:GN44"/>
    <mergeCell ref="GO41:GP41"/>
    <mergeCell ref="GQ41:GR41"/>
    <mergeCell ref="GM42:GN42"/>
    <mergeCell ref="GO42:GP42"/>
    <mergeCell ref="GQ42:GR42"/>
    <mergeCell ref="GK43:GL44"/>
    <mergeCell ref="GM43:GN43"/>
    <mergeCell ref="GO43:GP43"/>
    <mergeCell ref="GQ43:GR43"/>
    <mergeCell ref="GO44:GP44"/>
    <mergeCell ref="GK39:GL40"/>
    <mergeCell ref="GM39:GN40"/>
    <mergeCell ref="GO39:GP40"/>
    <mergeCell ref="GQ39:GR40"/>
    <mergeCell ref="A41:A44"/>
    <mergeCell ref="BD41:BD44"/>
    <mergeCell ref="DG41:DG44"/>
    <mergeCell ref="FJ41:FJ44"/>
    <mergeCell ref="GK41:GL42"/>
    <mergeCell ref="GM41:GN41"/>
    <mergeCell ref="GU37:GV37"/>
    <mergeCell ref="C38:D38"/>
    <mergeCell ref="E38:F38"/>
    <mergeCell ref="BF38:BG38"/>
    <mergeCell ref="BH38:BI38"/>
    <mergeCell ref="DI38:DJ38"/>
    <mergeCell ref="DK38:DL38"/>
    <mergeCell ref="FL38:FM38"/>
    <mergeCell ref="FN38:FO38"/>
    <mergeCell ref="GU38:GZ38"/>
    <mergeCell ref="DG37:DG40"/>
    <mergeCell ref="DI37:DJ37"/>
    <mergeCell ref="DK37:DL37"/>
    <mergeCell ref="FJ37:FJ40"/>
    <mergeCell ref="FL37:FM37"/>
    <mergeCell ref="FN37:FO37"/>
    <mergeCell ref="DI39:DJ39"/>
    <mergeCell ref="DK39:DL39"/>
    <mergeCell ref="FL39:FM39"/>
    <mergeCell ref="FN39:FO39"/>
    <mergeCell ref="A37:A40"/>
    <mergeCell ref="C37:D37"/>
    <mergeCell ref="E37:F37"/>
    <mergeCell ref="BD37:BD40"/>
    <mergeCell ref="BF37:BG37"/>
    <mergeCell ref="BH37:BI37"/>
    <mergeCell ref="C39:D39"/>
    <mergeCell ref="E39:F39"/>
    <mergeCell ref="BF39:BG39"/>
    <mergeCell ref="BH39:BI39"/>
    <mergeCell ref="GU33:GV33"/>
    <mergeCell ref="A34:A36"/>
    <mergeCell ref="BD34:BD36"/>
    <mergeCell ref="DG34:DG36"/>
    <mergeCell ref="FJ34:FJ36"/>
    <mergeCell ref="GK34:GP34"/>
    <mergeCell ref="GU34:GV34"/>
    <mergeCell ref="GU35:GV35"/>
    <mergeCell ref="GK36:GP36"/>
    <mergeCell ref="GU36:GV36"/>
    <mergeCell ref="GY31:GY32"/>
    <mergeCell ref="GZ31:GZ32"/>
    <mergeCell ref="HA31:HA32"/>
    <mergeCell ref="B32:C32"/>
    <mergeCell ref="BE32:BF32"/>
    <mergeCell ref="DH32:DI32"/>
    <mergeCell ref="FK32:FL32"/>
    <mergeCell ref="B31:C31"/>
    <mergeCell ref="BE31:BF31"/>
    <mergeCell ref="DH31:DI31"/>
    <mergeCell ref="FK31:FL31"/>
    <mergeCell ref="GW31:GW32"/>
    <mergeCell ref="GX31:GX32"/>
    <mergeCell ref="GK22:GN22"/>
    <mergeCell ref="GU22:GY22"/>
    <mergeCell ref="HA22:HB22"/>
    <mergeCell ref="A27:A33"/>
    <mergeCell ref="BD27:BD33"/>
    <mergeCell ref="DG27:DG33"/>
    <mergeCell ref="FJ27:FJ33"/>
    <mergeCell ref="GU30:GV32"/>
    <mergeCell ref="GW30:HA30"/>
    <mergeCell ref="HB30:HB32"/>
    <mergeCell ref="GK20:GL20"/>
    <mergeCell ref="GU20:GV20"/>
    <mergeCell ref="GX20:GY20"/>
    <mergeCell ref="HA20:HB20"/>
    <mergeCell ref="GK21:GM21"/>
    <mergeCell ref="GU21:GW21"/>
    <mergeCell ref="GX21:GY21"/>
    <mergeCell ref="HA21:HB21"/>
    <mergeCell ref="GK18:GL18"/>
    <mergeCell ref="GU18:GV18"/>
    <mergeCell ref="GX18:GY18"/>
    <mergeCell ref="HA18:HB18"/>
    <mergeCell ref="GK19:GL19"/>
    <mergeCell ref="GU19:GV19"/>
    <mergeCell ref="GX19:GY19"/>
    <mergeCell ref="HA19:HB19"/>
    <mergeCell ref="HA15:HB15"/>
    <mergeCell ref="GK16:GL16"/>
    <mergeCell ref="GU16:GV16"/>
    <mergeCell ref="GX16:GY16"/>
    <mergeCell ref="HA16:HB16"/>
    <mergeCell ref="GK17:GL17"/>
    <mergeCell ref="GU17:GV17"/>
    <mergeCell ref="GX17:GY17"/>
    <mergeCell ref="HA17:HB17"/>
    <mergeCell ref="GU14:GV14"/>
    <mergeCell ref="GX14:GY14"/>
    <mergeCell ref="HA14:HB14"/>
    <mergeCell ref="A15:A26"/>
    <mergeCell ref="BD15:BD26"/>
    <mergeCell ref="DG15:DG26"/>
    <mergeCell ref="FJ15:FJ26"/>
    <mergeCell ref="GK15:GL15"/>
    <mergeCell ref="GU15:GV15"/>
    <mergeCell ref="GX15:GY15"/>
    <mergeCell ref="GD10:GE43"/>
    <mergeCell ref="GK12:GL12"/>
    <mergeCell ref="GU12:GV12"/>
    <mergeCell ref="GX12:GY12"/>
    <mergeCell ref="HA12:HB12"/>
    <mergeCell ref="GK13:GL13"/>
    <mergeCell ref="GU13:GV13"/>
    <mergeCell ref="GX13:GY13"/>
    <mergeCell ref="HA13:HB13"/>
    <mergeCell ref="GK14:GL14"/>
    <mergeCell ref="FJ7:FO8"/>
    <mergeCell ref="FV7:GE9"/>
    <mergeCell ref="A9:A14"/>
    <mergeCell ref="BD9:BD14"/>
    <mergeCell ref="DG9:DG14"/>
    <mergeCell ref="FJ9:FJ14"/>
    <mergeCell ref="FV10:FW43"/>
    <mergeCell ref="FX10:FY43"/>
    <mergeCell ref="FZ10:GA43"/>
    <mergeCell ref="GB10:GC43"/>
    <mergeCell ref="GA6:GB6"/>
    <mergeCell ref="GE6:GF6"/>
    <mergeCell ref="GK6:GM6"/>
    <mergeCell ref="GU6:GW6"/>
    <mergeCell ref="A7:F8"/>
    <mergeCell ref="G7:BB7"/>
    <mergeCell ref="BD7:BI8"/>
    <mergeCell ref="BJ7:DE7"/>
    <mergeCell ref="DG7:DL8"/>
    <mergeCell ref="DM7:FH7"/>
    <mergeCell ref="DX6:DY6"/>
    <mergeCell ref="EB6:EC6"/>
    <mergeCell ref="FL6:FN6"/>
    <mergeCell ref="FO6:FP6"/>
    <mergeCell ref="FQ6:FU6"/>
    <mergeCell ref="FV6:FW6"/>
    <mergeCell ref="BY6:BZ6"/>
    <mergeCell ref="CE6:CF6"/>
    <mergeCell ref="DI6:DK6"/>
    <mergeCell ref="DL6:DM6"/>
    <mergeCell ref="DN6:DR6"/>
    <mergeCell ref="DS6:DT6"/>
    <mergeCell ref="AB6:AC6"/>
    <mergeCell ref="BF6:BH6"/>
    <mergeCell ref="BI6:BJ6"/>
    <mergeCell ref="BK6:BO6"/>
    <mergeCell ref="BP6:BQ6"/>
    <mergeCell ref="BU6:BV6"/>
    <mergeCell ref="C6:E6"/>
    <mergeCell ref="F6:G6"/>
    <mergeCell ref="H6:L6"/>
    <mergeCell ref="M6:N6"/>
    <mergeCell ref="R6:S6"/>
    <mergeCell ref="V6:W6"/>
    <mergeCell ref="FX5:FY5"/>
    <mergeCell ref="FZ5:GA5"/>
    <mergeCell ref="GB5:GC5"/>
    <mergeCell ref="GD5:GE5"/>
    <mergeCell ref="GK5:GM5"/>
    <mergeCell ref="GU5:GW5"/>
    <mergeCell ref="DQ5:DR5"/>
    <mergeCell ref="DS5:DT5"/>
    <mergeCell ref="DU5:DV5"/>
    <mergeCell ref="DW5:DX5"/>
    <mergeCell ref="DY5:DZ5"/>
    <mergeCell ref="EA5:EB5"/>
    <mergeCell ref="BR5:BS5"/>
    <mergeCell ref="BT5:BU5"/>
    <mergeCell ref="BV5:BW5"/>
    <mergeCell ref="BX5:BY5"/>
    <mergeCell ref="DM5:DN5"/>
    <mergeCell ref="DO5:DP5"/>
    <mergeCell ref="S5:T5"/>
    <mergeCell ref="U5:V5"/>
    <mergeCell ref="BJ5:BK5"/>
    <mergeCell ref="BL5:BM5"/>
    <mergeCell ref="BN5:BO5"/>
    <mergeCell ref="BP5:BQ5"/>
    <mergeCell ref="G5:H5"/>
    <mergeCell ref="I5:J5"/>
    <mergeCell ref="K5:L5"/>
    <mergeCell ref="M5:N5"/>
    <mergeCell ref="O5:P5"/>
    <mergeCell ref="Q5:R5"/>
    <mergeCell ref="EC4:EE5"/>
    <mergeCell ref="FX4:FY4"/>
    <mergeCell ref="FZ4:GA4"/>
    <mergeCell ref="GB4:GC4"/>
    <mergeCell ref="GD4:GE4"/>
    <mergeCell ref="GF4:GH5"/>
    <mergeCell ref="FP5:FQ5"/>
    <mergeCell ref="FR5:FS5"/>
    <mergeCell ref="FT5:FU5"/>
    <mergeCell ref="FV5:FW5"/>
    <mergeCell ref="FX3:GE3"/>
    <mergeCell ref="GF3:GH3"/>
    <mergeCell ref="GJ3:GR3"/>
    <mergeCell ref="GT3:HB3"/>
    <mergeCell ref="O4:P4"/>
    <mergeCell ref="Q4:R4"/>
    <mergeCell ref="S4:T4"/>
    <mergeCell ref="U4:V4"/>
    <mergeCell ref="W4:Y5"/>
    <mergeCell ref="BR4:BS4"/>
    <mergeCell ref="FJ3:FJ4"/>
    <mergeCell ref="FK3:FK4"/>
    <mergeCell ref="FL3:FL4"/>
    <mergeCell ref="FM3:FS4"/>
    <mergeCell ref="FT3:FU4"/>
    <mergeCell ref="FV3:FW4"/>
    <mergeCell ref="DI3:DI4"/>
    <mergeCell ref="DJ3:DP4"/>
    <mergeCell ref="DQ3:DR4"/>
    <mergeCell ref="DS3:DT4"/>
    <mergeCell ref="DU3:EB3"/>
    <mergeCell ref="EC3:EE3"/>
    <mergeCell ref="DU4:DV4"/>
    <mergeCell ref="DW4:DX4"/>
    <mergeCell ref="DY4:DZ4"/>
    <mergeCell ref="EA4:EB4"/>
    <mergeCell ref="BN3:BO4"/>
    <mergeCell ref="BP3:BQ4"/>
    <mergeCell ref="BR3:BY3"/>
    <mergeCell ref="BZ3:CB3"/>
    <mergeCell ref="DG3:DG4"/>
    <mergeCell ref="DH3:DH4"/>
    <mergeCell ref="BT4:BU4"/>
    <mergeCell ref="BV4:BW4"/>
    <mergeCell ref="BX4:BY4"/>
    <mergeCell ref="BZ4:CB5"/>
    <mergeCell ref="O3:V3"/>
    <mergeCell ref="W3:Y3"/>
    <mergeCell ref="BD3:BD4"/>
    <mergeCell ref="BE3:BE4"/>
    <mergeCell ref="BF3:BF4"/>
    <mergeCell ref="BG3:BM4"/>
    <mergeCell ref="H1:I1"/>
    <mergeCell ref="BK1:BL1"/>
    <mergeCell ref="DN1:DO1"/>
    <mergeCell ref="FQ1:FR1"/>
    <mergeCell ref="A3:A4"/>
    <mergeCell ref="B3:B4"/>
    <mergeCell ref="C3:C4"/>
    <mergeCell ref="D3:J4"/>
    <mergeCell ref="K3:L4"/>
    <mergeCell ref="M3:N4"/>
  </mergeCells>
  <phoneticPr fontId="3"/>
  <printOptions horizontalCentered="1" gridLinesSet="0"/>
  <pageMargins left="0.39370078740157483" right="0.19685039370078741" top="0.62992125984251968" bottom="0.47244094488188981" header="0.15748031496062992" footer="0.31496062992125984"/>
  <pageSetup paperSize="9" scale="38" fitToWidth="0" orientation="landscape" horizontalDpi="4294967292" verticalDpi="400" r:id="rId1"/>
  <headerFooter scaleWithDoc="0">
    <oddFooter>&amp;C&amp;"ＭＳ Ｐゴシック,標準"&amp;9( &amp;P / &amp;N )</oddFooter>
  </headerFooter>
  <rowBreaks count="1" manualBreakCount="1">
    <brk id="1" max="210" man="1"/>
  </rowBreaks>
  <colBreaks count="3" manualBreakCount="3">
    <brk id="55" max="68" man="1"/>
    <brk id="110" max="68" man="1"/>
    <brk id="165" max="68"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O89"/>
  <sheetViews>
    <sheetView showGridLines="0" zoomScale="80" zoomScaleNormal="80" workbookViewId="0">
      <pane ySplit="8" topLeftCell="A42" activePane="bottomLeft" state="frozenSplit"/>
      <selection pane="bottomLeft"/>
    </sheetView>
  </sheetViews>
  <sheetFormatPr defaultColWidth="7.42578125" defaultRowHeight="20.100000000000001" customHeight="1"/>
  <cols>
    <col min="1" max="1" width="5" style="393" customWidth="1"/>
    <col min="2" max="6" width="9.5703125" style="393" customWidth="1"/>
    <col min="7" max="7" width="4.7109375" style="393" customWidth="1"/>
    <col min="8" max="8" width="7.7109375" style="393" customWidth="1"/>
    <col min="9" max="9" width="4.7109375" style="393" customWidth="1"/>
    <col min="10" max="10" width="7.7109375" style="393" customWidth="1"/>
    <col min="11" max="11" width="4.7109375" style="393" customWidth="1"/>
    <col min="12" max="12" width="7.7109375" style="393" customWidth="1"/>
    <col min="13" max="13" width="4.7109375" style="393" customWidth="1"/>
    <col min="14" max="14" width="7.7109375" style="393" customWidth="1"/>
    <col min="15" max="15" width="4.7109375" style="393" customWidth="1"/>
    <col min="16" max="16" width="7.7109375" style="393" customWidth="1"/>
    <col min="17" max="17" width="4.7109375" style="393" customWidth="1"/>
    <col min="18" max="18" width="7.7109375" style="393" customWidth="1"/>
    <col min="19" max="19" width="4.7109375" style="393" customWidth="1"/>
    <col min="20" max="20" width="7.7109375" style="393" customWidth="1"/>
    <col min="21" max="21" width="4.7109375" style="393" customWidth="1"/>
    <col min="22" max="22" width="7.7109375" style="393" customWidth="1"/>
    <col min="23" max="23" width="4.7109375" style="393" customWidth="1"/>
    <col min="24" max="24" width="7.7109375" style="393" customWidth="1"/>
    <col min="25" max="25" width="4.7109375" style="393" customWidth="1"/>
    <col min="26" max="26" width="7.7109375" style="393" customWidth="1"/>
    <col min="27" max="27" width="4.7109375" style="393" customWidth="1"/>
    <col min="28" max="28" width="7.7109375" style="393" customWidth="1"/>
    <col min="29" max="29" width="4.7109375" style="393" customWidth="1"/>
    <col min="30" max="30" width="7.7109375" style="393" customWidth="1"/>
    <col min="31" max="31" width="4.7109375" style="393" customWidth="1"/>
    <col min="32" max="32" width="7.7109375" style="393" customWidth="1"/>
    <col min="33" max="33" width="4.7109375" style="393" customWidth="1"/>
    <col min="34" max="34" width="7.7109375" style="393" customWidth="1"/>
    <col min="35" max="35" width="4.7109375" style="393" customWidth="1"/>
    <col min="36" max="36" width="7.7109375" style="393" customWidth="1"/>
    <col min="37" max="37" width="4.7109375" style="393" customWidth="1"/>
    <col min="38" max="38" width="7.7109375" style="393" customWidth="1"/>
    <col min="39" max="39" width="4.7109375" style="393" customWidth="1"/>
    <col min="40" max="40" width="7.7109375" style="393" customWidth="1"/>
    <col min="41" max="41" width="4.7109375" style="393" customWidth="1"/>
    <col min="42" max="42" width="7.7109375" style="393" customWidth="1"/>
    <col min="43" max="43" width="4.7109375" style="393" customWidth="1"/>
    <col min="44" max="44" width="7.7109375" style="393" customWidth="1"/>
    <col min="45" max="45" width="4.7109375" style="393" customWidth="1"/>
    <col min="46" max="46" width="7.7109375" style="393" customWidth="1"/>
    <col min="47" max="47" width="4.7109375" style="393" customWidth="1"/>
    <col min="48" max="48" width="7.7109375" style="393" customWidth="1"/>
    <col min="49" max="49" width="4.7109375" style="393" customWidth="1"/>
    <col min="50" max="50" width="7.7109375" style="393" customWidth="1"/>
    <col min="51" max="51" width="4.7109375" style="393" customWidth="1"/>
    <col min="52" max="52" width="7.7109375" style="393" customWidth="1"/>
    <col min="53" max="53" width="4.7109375" style="393" customWidth="1"/>
    <col min="54" max="54" width="7.7109375" style="393" customWidth="1"/>
    <col min="55" max="55" width="4.28515625" style="1203" customWidth="1"/>
    <col min="56" max="56" width="5" style="393" customWidth="1"/>
    <col min="57" max="61" width="9.5703125" style="393" customWidth="1"/>
    <col min="62" max="62" width="4.7109375" style="393" customWidth="1"/>
    <col min="63" max="63" width="7.7109375" style="393" customWidth="1"/>
    <col min="64" max="64" width="4.7109375" style="393" customWidth="1"/>
    <col min="65" max="65" width="7.7109375" style="393" customWidth="1"/>
    <col min="66" max="66" width="4.7109375" style="393" customWidth="1"/>
    <col min="67" max="67" width="7.7109375" style="393" customWidth="1"/>
    <col min="68" max="68" width="4.7109375" style="393" customWidth="1"/>
    <col min="69" max="69" width="7.7109375" style="393" customWidth="1"/>
    <col min="70" max="70" width="4.7109375" style="393" customWidth="1"/>
    <col min="71" max="71" width="7.7109375" style="393" customWidth="1"/>
    <col min="72" max="72" width="4.7109375" style="393" customWidth="1"/>
    <col min="73" max="73" width="7.7109375" style="393" customWidth="1"/>
    <col min="74" max="74" width="4.7109375" style="393" customWidth="1"/>
    <col min="75" max="75" width="7.7109375" style="393" customWidth="1"/>
    <col min="76" max="76" width="4.7109375" style="393" customWidth="1"/>
    <col min="77" max="77" width="7.7109375" style="393" customWidth="1"/>
    <col min="78" max="78" width="4.7109375" style="393" customWidth="1"/>
    <col min="79" max="79" width="7.7109375" style="393" customWidth="1"/>
    <col min="80" max="80" width="4.7109375" style="393" customWidth="1"/>
    <col min="81" max="81" width="7.7109375" style="393" customWidth="1"/>
    <col min="82" max="82" width="4.7109375" style="393" customWidth="1"/>
    <col min="83" max="83" width="7.7109375" style="393" customWidth="1"/>
    <col min="84" max="84" width="4.7109375" style="393" customWidth="1"/>
    <col min="85" max="85" width="7.7109375" style="393" customWidth="1"/>
    <col min="86" max="86" width="4.7109375" style="393" customWidth="1"/>
    <col min="87" max="87" width="7.7109375" style="393" customWidth="1"/>
    <col min="88" max="88" width="4.7109375" style="393" customWidth="1"/>
    <col min="89" max="89" width="7.7109375" style="393" customWidth="1"/>
    <col min="90" max="90" width="4.7109375" style="393" customWidth="1"/>
    <col min="91" max="91" width="7.7109375" style="393" customWidth="1"/>
    <col min="92" max="92" width="4.7109375" style="393" customWidth="1"/>
    <col min="93" max="93" width="7.7109375" style="393" customWidth="1"/>
    <col min="94" max="94" width="4.7109375" style="393" customWidth="1"/>
    <col min="95" max="95" width="7.7109375" style="393" customWidth="1"/>
    <col min="96" max="96" width="4.7109375" style="393" customWidth="1"/>
    <col min="97" max="97" width="7.7109375" style="393" customWidth="1"/>
    <col min="98" max="98" width="4.7109375" style="393" customWidth="1"/>
    <col min="99" max="99" width="7.7109375" style="393" customWidth="1"/>
    <col min="100" max="100" width="4.7109375" style="393" customWidth="1"/>
    <col min="101" max="101" width="7.7109375" style="393" customWidth="1"/>
    <col min="102" max="102" width="4.7109375" style="393" customWidth="1"/>
    <col min="103" max="103" width="7.7109375" style="393" customWidth="1"/>
    <col min="104" max="104" width="4.7109375" style="393" customWidth="1"/>
    <col min="105" max="105" width="7.7109375" style="393" customWidth="1"/>
    <col min="106" max="106" width="4.7109375" style="393" customWidth="1"/>
    <col min="107" max="107" width="7.7109375" style="393" customWidth="1"/>
    <col min="108" max="108" width="4.7109375" style="393" customWidth="1"/>
    <col min="109" max="109" width="7.7109375" style="393" customWidth="1"/>
    <col min="110" max="110" width="4.7109375" style="1203" customWidth="1"/>
    <col min="111" max="111" width="5" style="393" customWidth="1"/>
    <col min="112" max="116" width="9.5703125" style="393" customWidth="1"/>
    <col min="117" max="117" width="4.7109375" style="393" customWidth="1"/>
    <col min="118" max="118" width="7.7109375" style="393" customWidth="1"/>
    <col min="119" max="119" width="4.7109375" style="393" customWidth="1"/>
    <col min="120" max="120" width="7.7109375" style="393" customWidth="1"/>
    <col min="121" max="121" width="4.7109375" style="393" customWidth="1"/>
    <col min="122" max="122" width="7.7109375" style="393" customWidth="1"/>
    <col min="123" max="123" width="4.7109375" style="393" customWidth="1"/>
    <col min="124" max="124" width="7.7109375" style="393" customWidth="1"/>
    <col min="125" max="125" width="4.7109375" style="393" customWidth="1"/>
    <col min="126" max="126" width="7.7109375" style="393" customWidth="1"/>
    <col min="127" max="127" width="4.7109375" style="393" customWidth="1"/>
    <col min="128" max="128" width="7.7109375" style="393" customWidth="1"/>
    <col min="129" max="129" width="4.7109375" style="393" customWidth="1"/>
    <col min="130" max="130" width="7.7109375" style="393" customWidth="1"/>
    <col min="131" max="131" width="4.7109375" style="393" customWidth="1"/>
    <col min="132" max="132" width="7.7109375" style="393" customWidth="1"/>
    <col min="133" max="133" width="4.7109375" style="393" customWidth="1"/>
    <col min="134" max="134" width="7.7109375" style="393" customWidth="1"/>
    <col min="135" max="135" width="4.7109375" style="393" customWidth="1"/>
    <col min="136" max="136" width="7.7109375" style="393" customWidth="1"/>
    <col min="137" max="137" width="4.7109375" style="393" customWidth="1"/>
    <col min="138" max="138" width="7.7109375" style="393" customWidth="1"/>
    <col min="139" max="139" width="4.7109375" style="393" customWidth="1"/>
    <col min="140" max="140" width="7.7109375" style="393" customWidth="1"/>
    <col min="141" max="141" width="4.7109375" style="393" customWidth="1"/>
    <col min="142" max="142" width="7.7109375" style="393" customWidth="1"/>
    <col min="143" max="143" width="4.7109375" style="393" customWidth="1"/>
    <col min="144" max="144" width="7.7109375" style="393" customWidth="1"/>
    <col min="145" max="145" width="4.7109375" style="393" customWidth="1"/>
    <col min="146" max="146" width="7.7109375" style="393" customWidth="1"/>
    <col min="147" max="147" width="4.7109375" style="393" customWidth="1"/>
    <col min="148" max="148" width="7.7109375" style="393" customWidth="1"/>
    <col min="149" max="149" width="4.7109375" style="393" customWidth="1"/>
    <col min="150" max="150" width="7.7109375" style="393" customWidth="1"/>
    <col min="151" max="151" width="4.7109375" style="393" customWidth="1"/>
    <col min="152" max="152" width="7.7109375" style="393" customWidth="1"/>
    <col min="153" max="153" width="4.7109375" style="393" customWidth="1"/>
    <col min="154" max="154" width="7.7109375" style="393" customWidth="1"/>
    <col min="155" max="155" width="4.7109375" style="393" customWidth="1"/>
    <col min="156" max="156" width="7.7109375" style="393" customWidth="1"/>
    <col min="157" max="157" width="4.7109375" style="393" customWidth="1"/>
    <col min="158" max="158" width="7.7109375" style="393" customWidth="1"/>
    <col min="159" max="159" width="4.7109375" style="393" customWidth="1"/>
    <col min="160" max="160" width="7.7109375" style="393" customWidth="1"/>
    <col min="161" max="161" width="4.7109375" style="393" customWidth="1"/>
    <col min="162" max="162" width="7.7109375" style="393" customWidth="1"/>
    <col min="163" max="163" width="4.7109375" style="393" customWidth="1"/>
    <col min="164" max="164" width="7.7109375" style="393" customWidth="1"/>
    <col min="165" max="165" width="4.7109375" style="1203" customWidth="1"/>
    <col min="166" max="166" width="5" style="393" customWidth="1"/>
    <col min="167" max="171" width="9.5703125" style="393" customWidth="1"/>
    <col min="172" max="173" width="4.7109375" style="393" customWidth="1"/>
    <col min="174" max="174" width="7.7109375" style="393" customWidth="1"/>
    <col min="175" max="176" width="4.7109375" style="393" customWidth="1"/>
    <col min="177" max="177" width="7.7109375" style="393" customWidth="1"/>
    <col min="178" max="178" width="4.7109375" style="393" customWidth="1"/>
    <col min="179" max="179" width="7.7109375" style="393" customWidth="1"/>
    <col min="180" max="180" width="4.7109375" style="393" customWidth="1"/>
    <col min="181" max="181" width="7.7109375" style="393" customWidth="1"/>
    <col min="182" max="182" width="4.7109375" style="393" customWidth="1"/>
    <col min="183" max="183" width="7.7109375" style="393" customWidth="1"/>
    <col min="184" max="184" width="4.7109375" style="393" customWidth="1"/>
    <col min="185" max="185" width="7.7109375" style="393" customWidth="1"/>
    <col min="186" max="186" width="4.7109375" style="393" customWidth="1"/>
    <col min="187" max="187" width="7.7109375" style="393" customWidth="1"/>
    <col min="188" max="188" width="4.7109375" style="393" customWidth="1"/>
    <col min="189" max="191" width="7.7109375" style="1239" customWidth="1"/>
    <col min="192" max="192" width="4.7109375" style="1239" customWidth="1"/>
    <col min="193" max="193" width="6.7109375" style="1239" customWidth="1"/>
    <col min="194" max="199" width="8.7109375" style="1239" customWidth="1"/>
    <col min="200" max="200" width="12.5703125" style="1239" customWidth="1"/>
    <col min="201" max="201" width="7.140625" style="1239" customWidth="1"/>
    <col min="202" max="202" width="4.7109375" style="1239" customWidth="1"/>
    <col min="203" max="203" width="6.7109375" style="1239" customWidth="1"/>
    <col min="204" max="210" width="8.7109375" style="1239" customWidth="1"/>
    <col min="211" max="211" width="4.28515625" style="1203" customWidth="1"/>
    <col min="212" max="212" width="7.42578125" style="393" customWidth="1"/>
    <col min="213" max="213" width="24.5703125" style="393" customWidth="1"/>
    <col min="214" max="214" width="8.85546875" style="393" customWidth="1"/>
    <col min="215" max="16384" width="7.42578125" style="393"/>
  </cols>
  <sheetData>
    <row r="1" spans="1:353" s="386" customFormat="1" ht="42" customHeight="1">
      <c r="A1" s="375" t="s">
        <v>282</v>
      </c>
      <c r="B1" s="376"/>
      <c r="C1" s="376"/>
      <c r="D1" s="376"/>
      <c r="E1" s="376"/>
      <c r="F1" s="376"/>
      <c r="G1" s="376"/>
      <c r="H1" s="377"/>
      <c r="I1" s="377"/>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8" t="s">
        <v>284</v>
      </c>
      <c r="AY1" s="376" t="s">
        <v>535</v>
      </c>
      <c r="AZ1" s="376"/>
      <c r="BA1" s="376"/>
      <c r="BB1" s="379"/>
      <c r="BC1" s="380"/>
      <c r="BD1" s="375" t="s">
        <v>282</v>
      </c>
      <c r="BE1" s="376"/>
      <c r="BF1" s="376"/>
      <c r="BG1" s="376"/>
      <c r="BH1" s="376"/>
      <c r="BI1" s="376"/>
      <c r="BJ1" s="376"/>
      <c r="BK1" s="377"/>
      <c r="BL1" s="377"/>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8" t="s">
        <v>284</v>
      </c>
      <c r="DB1" s="376" t="str">
        <f>$AY1</f>
        <v>9時-18時</v>
      </c>
      <c r="DC1" s="378"/>
      <c r="DD1" s="376"/>
      <c r="DE1" s="379"/>
      <c r="DF1" s="380"/>
      <c r="DG1" s="375" t="s">
        <v>282</v>
      </c>
      <c r="DH1" s="376"/>
      <c r="DI1" s="376"/>
      <c r="DJ1" s="376"/>
      <c r="DK1" s="376"/>
      <c r="DL1" s="376"/>
      <c r="DM1" s="376"/>
      <c r="DN1" s="377"/>
      <c r="DO1" s="377"/>
      <c r="DP1" s="376"/>
      <c r="DQ1" s="376"/>
      <c r="DR1" s="376"/>
      <c r="DS1" s="376"/>
      <c r="DT1" s="376"/>
      <c r="DU1" s="376"/>
      <c r="DV1" s="376"/>
      <c r="DW1" s="376"/>
      <c r="DX1" s="376"/>
      <c r="DY1" s="376"/>
      <c r="DZ1" s="376"/>
      <c r="EA1" s="376"/>
      <c r="EB1" s="376"/>
      <c r="EC1" s="376"/>
      <c r="ED1" s="376"/>
      <c r="EE1" s="376"/>
      <c r="EF1" s="376"/>
      <c r="EG1" s="376"/>
      <c r="EH1" s="376"/>
      <c r="EI1" s="376"/>
      <c r="EJ1" s="376"/>
      <c r="EK1" s="376"/>
      <c r="EL1" s="376"/>
      <c r="EM1" s="376"/>
      <c r="EN1" s="376"/>
      <c r="EO1" s="376"/>
      <c r="EP1" s="376"/>
      <c r="EQ1" s="376"/>
      <c r="ER1" s="376"/>
      <c r="ES1" s="376"/>
      <c r="ET1" s="376"/>
      <c r="EU1" s="376"/>
      <c r="EV1" s="376"/>
      <c r="EW1" s="376"/>
      <c r="EX1" s="376"/>
      <c r="EY1" s="376"/>
      <c r="EZ1" s="376"/>
      <c r="FA1" s="376"/>
      <c r="FB1" s="376"/>
      <c r="FC1" s="376"/>
      <c r="FD1" s="378" t="s">
        <v>284</v>
      </c>
      <c r="FE1" s="376" t="str">
        <f>$AY1</f>
        <v>9時-18時</v>
      </c>
      <c r="FF1" s="378"/>
      <c r="FG1" s="376"/>
      <c r="FH1" s="379"/>
      <c r="FI1" s="381"/>
      <c r="FJ1" s="375" t="s">
        <v>282</v>
      </c>
      <c r="FK1" s="376"/>
      <c r="FL1" s="376"/>
      <c r="FM1" s="376"/>
      <c r="FN1" s="376"/>
      <c r="FO1" s="376"/>
      <c r="FP1" s="376"/>
      <c r="FQ1" s="377"/>
      <c r="FR1" s="377"/>
      <c r="FS1" s="376"/>
      <c r="FT1" s="376"/>
      <c r="FU1" s="376"/>
      <c r="FV1" s="376"/>
      <c r="FW1" s="376"/>
      <c r="FX1" s="376"/>
      <c r="FY1" s="376"/>
      <c r="FZ1" s="376"/>
      <c r="GA1" s="376"/>
      <c r="GB1" s="376"/>
      <c r="GC1" s="376"/>
      <c r="GD1" s="376"/>
      <c r="GE1" s="376"/>
      <c r="GF1" s="376"/>
      <c r="GG1" s="376"/>
      <c r="GH1" s="376"/>
      <c r="GI1" s="376"/>
      <c r="GJ1" s="376"/>
      <c r="GK1" s="376"/>
      <c r="GL1" s="376"/>
      <c r="GM1" s="376"/>
      <c r="GN1" s="376"/>
      <c r="GO1" s="376"/>
      <c r="GP1" s="376"/>
      <c r="GQ1" s="376"/>
      <c r="GR1" s="376"/>
      <c r="GS1" s="376"/>
      <c r="GT1" s="376"/>
      <c r="GU1" s="378"/>
      <c r="GV1" s="376"/>
      <c r="GW1" s="376"/>
      <c r="GX1" s="376"/>
      <c r="GY1" s="378" t="s">
        <v>440</v>
      </c>
      <c r="GZ1" s="376" t="s">
        <v>356</v>
      </c>
      <c r="HA1" s="376"/>
      <c r="HB1" s="379"/>
      <c r="HC1" s="1444" t="s">
        <v>441</v>
      </c>
      <c r="HD1" s="382"/>
      <c r="HE1" s="383"/>
      <c r="HF1" s="382"/>
      <c r="HG1" s="1442"/>
      <c r="HH1" s="384" t="s">
        <v>285</v>
      </c>
      <c r="HI1" s="385"/>
    </row>
    <row r="2" spans="1:353" ht="20.100000000000001" customHeight="1" thickBot="1">
      <c r="A2" s="387"/>
      <c r="B2" s="387"/>
      <c r="C2" s="387"/>
      <c r="D2" s="387"/>
      <c r="E2" s="387"/>
      <c r="F2" s="387"/>
      <c r="G2" s="387"/>
      <c r="H2" s="387"/>
      <c r="I2" s="387"/>
      <c r="J2" s="387"/>
      <c r="K2" s="387"/>
      <c r="L2" s="387"/>
      <c r="M2" s="387"/>
      <c r="N2" s="387"/>
      <c r="O2" s="387"/>
      <c r="P2" s="387"/>
      <c r="Q2" s="387"/>
      <c r="R2" s="387"/>
      <c r="S2" s="387"/>
      <c r="T2" s="387"/>
      <c r="U2" s="387"/>
      <c r="V2" s="387"/>
      <c r="W2" s="387"/>
      <c r="X2" s="388"/>
      <c r="Y2" s="387"/>
      <c r="Z2" s="387"/>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9"/>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8"/>
      <c r="CB2" s="387"/>
      <c r="CC2" s="387"/>
      <c r="CD2" s="388"/>
      <c r="CE2" s="388"/>
      <c r="CF2" s="388"/>
      <c r="CG2" s="388"/>
      <c r="CH2" s="388"/>
      <c r="CI2" s="388"/>
      <c r="CJ2" s="388"/>
      <c r="CK2" s="388"/>
      <c r="CL2" s="388"/>
      <c r="CM2" s="388"/>
      <c r="CN2" s="388"/>
      <c r="CO2" s="388"/>
      <c r="CP2" s="388"/>
      <c r="CQ2" s="388"/>
      <c r="CR2" s="388"/>
      <c r="CS2" s="388"/>
      <c r="CT2" s="388"/>
      <c r="CU2" s="388"/>
      <c r="CV2" s="388"/>
      <c r="CW2" s="388"/>
      <c r="CX2" s="388"/>
      <c r="CY2" s="388"/>
      <c r="CZ2" s="388"/>
      <c r="DA2" s="388"/>
      <c r="DB2" s="388"/>
      <c r="DC2" s="388"/>
      <c r="DD2" s="388"/>
      <c r="DE2" s="388"/>
      <c r="DF2" s="390"/>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8"/>
      <c r="EE2" s="387"/>
      <c r="EF2" s="387"/>
      <c r="EG2" s="388"/>
      <c r="EH2" s="388"/>
      <c r="EI2" s="388"/>
      <c r="EJ2" s="388"/>
      <c r="EK2" s="388"/>
      <c r="EL2" s="388"/>
      <c r="EM2" s="388"/>
      <c r="EN2" s="388"/>
      <c r="EO2" s="388"/>
      <c r="EP2" s="388"/>
      <c r="EQ2" s="388"/>
      <c r="ER2" s="388"/>
      <c r="ES2" s="388"/>
      <c r="ET2" s="388"/>
      <c r="EU2" s="388"/>
      <c r="EV2" s="388"/>
      <c r="EW2" s="388"/>
      <c r="EX2" s="388"/>
      <c r="EY2" s="388"/>
      <c r="EZ2" s="388"/>
      <c r="FA2" s="388"/>
      <c r="FB2" s="388"/>
      <c r="FC2" s="388"/>
      <c r="FD2" s="388"/>
      <c r="FE2" s="388"/>
      <c r="FF2" s="388"/>
      <c r="FG2" s="388"/>
      <c r="FH2" s="388"/>
      <c r="FI2" s="390"/>
      <c r="FJ2" s="387"/>
      <c r="FK2" s="387"/>
      <c r="FL2" s="387"/>
      <c r="FM2" s="387"/>
      <c r="FN2" s="387"/>
      <c r="FO2" s="387"/>
      <c r="FP2" s="387"/>
      <c r="FQ2" s="387"/>
      <c r="FR2" s="387"/>
      <c r="FS2" s="387"/>
      <c r="FT2" s="387"/>
      <c r="FU2" s="387"/>
      <c r="FV2" s="387"/>
      <c r="FW2" s="387"/>
      <c r="FX2" s="387"/>
      <c r="FY2" s="387"/>
      <c r="FZ2" s="387"/>
      <c r="GA2" s="387"/>
      <c r="GB2" s="387"/>
      <c r="GC2" s="387"/>
      <c r="GD2" s="387"/>
      <c r="GE2" s="387"/>
      <c r="GF2" s="387"/>
      <c r="GG2" s="391"/>
      <c r="GH2" s="391"/>
      <c r="GI2" s="391"/>
      <c r="GJ2" s="391"/>
      <c r="GK2" s="391"/>
      <c r="GL2" s="391"/>
      <c r="GM2" s="391"/>
      <c r="GN2" s="391"/>
      <c r="GO2" s="391"/>
      <c r="GP2" s="391"/>
      <c r="GQ2" s="391"/>
      <c r="GR2" s="391"/>
      <c r="GS2" s="391"/>
      <c r="GT2" s="392"/>
      <c r="GU2" s="392"/>
      <c r="GV2" s="391"/>
      <c r="GW2" s="391"/>
      <c r="GX2" s="391"/>
      <c r="GY2" s="391"/>
      <c r="GZ2" s="391"/>
      <c r="HA2" s="391"/>
      <c r="HB2" s="391"/>
      <c r="HC2" s="389"/>
      <c r="HD2" s="387"/>
      <c r="HE2" s="387"/>
      <c r="HF2" s="387"/>
      <c r="HG2" s="387"/>
    </row>
    <row r="3" spans="1:353" ht="20.100000000000001" customHeight="1">
      <c r="A3" s="394" t="s">
        <v>539</v>
      </c>
      <c r="B3" s="395">
        <v>204</v>
      </c>
      <c r="C3" s="396" t="s">
        <v>540</v>
      </c>
      <c r="D3" s="397" t="s">
        <v>541</v>
      </c>
      <c r="E3" s="397"/>
      <c r="F3" s="397"/>
      <c r="G3" s="397"/>
      <c r="H3" s="397"/>
      <c r="I3" s="397"/>
      <c r="J3" s="398"/>
      <c r="K3" s="399" t="s">
        <v>542</v>
      </c>
      <c r="L3" s="400"/>
      <c r="M3" s="399" t="s">
        <v>543</v>
      </c>
      <c r="N3" s="400"/>
      <c r="O3" s="401" t="s">
        <v>671</v>
      </c>
      <c r="P3" s="402"/>
      <c r="Q3" s="402"/>
      <c r="R3" s="402"/>
      <c r="S3" s="402"/>
      <c r="T3" s="402"/>
      <c r="U3" s="402"/>
      <c r="V3" s="403"/>
      <c r="W3" s="404" t="s">
        <v>369</v>
      </c>
      <c r="X3" s="405"/>
      <c r="Y3" s="406"/>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394" t="s">
        <v>370</v>
      </c>
      <c r="BE3" s="395">
        <v>204</v>
      </c>
      <c r="BF3" s="396" t="s">
        <v>364</v>
      </c>
      <c r="BG3" s="408" t="s">
        <v>534</v>
      </c>
      <c r="BH3" s="408"/>
      <c r="BI3" s="408"/>
      <c r="BJ3" s="408"/>
      <c r="BK3" s="408"/>
      <c r="BL3" s="408"/>
      <c r="BM3" s="409"/>
      <c r="BN3" s="399" t="s">
        <v>367</v>
      </c>
      <c r="BO3" s="400"/>
      <c r="BP3" s="399" t="s">
        <v>368</v>
      </c>
      <c r="BQ3" s="400"/>
      <c r="BR3" s="401" t="s">
        <v>650</v>
      </c>
      <c r="BS3" s="402"/>
      <c r="BT3" s="402"/>
      <c r="BU3" s="402"/>
      <c r="BV3" s="402"/>
      <c r="BW3" s="402"/>
      <c r="BX3" s="402"/>
      <c r="BY3" s="403"/>
      <c r="BZ3" s="404" t="s">
        <v>369</v>
      </c>
      <c r="CA3" s="405"/>
      <c r="CB3" s="406"/>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394" t="s">
        <v>370</v>
      </c>
      <c r="DH3" s="395">
        <v>204</v>
      </c>
      <c r="DI3" s="396" t="s">
        <v>364</v>
      </c>
      <c r="DJ3" s="408" t="s">
        <v>534</v>
      </c>
      <c r="DK3" s="408"/>
      <c r="DL3" s="408"/>
      <c r="DM3" s="408"/>
      <c r="DN3" s="408"/>
      <c r="DO3" s="408"/>
      <c r="DP3" s="409"/>
      <c r="DQ3" s="399" t="s">
        <v>367</v>
      </c>
      <c r="DR3" s="400"/>
      <c r="DS3" s="399" t="s">
        <v>368</v>
      </c>
      <c r="DT3" s="400"/>
      <c r="DU3" s="401" t="s">
        <v>650</v>
      </c>
      <c r="DV3" s="402"/>
      <c r="DW3" s="402"/>
      <c r="DX3" s="402"/>
      <c r="DY3" s="402"/>
      <c r="DZ3" s="402"/>
      <c r="EA3" s="402"/>
      <c r="EB3" s="403"/>
      <c r="EC3" s="404" t="s">
        <v>369</v>
      </c>
      <c r="ED3" s="405"/>
      <c r="EE3" s="406"/>
      <c r="EF3" s="407"/>
      <c r="EG3" s="407"/>
      <c r="EH3" s="407"/>
      <c r="EI3" s="407"/>
      <c r="EJ3" s="407"/>
      <c r="EK3" s="407"/>
      <c r="EL3" s="407"/>
      <c r="EM3" s="407"/>
      <c r="EN3" s="407"/>
      <c r="EO3" s="407"/>
      <c r="EP3" s="407"/>
      <c r="EQ3" s="407"/>
      <c r="ER3" s="407"/>
      <c r="ES3" s="407"/>
      <c r="ET3" s="407"/>
      <c r="EU3" s="407"/>
      <c r="EV3" s="407"/>
      <c r="EW3" s="407"/>
      <c r="EX3" s="407"/>
      <c r="EY3" s="407"/>
      <c r="EZ3" s="407"/>
      <c r="FA3" s="407"/>
      <c r="FB3" s="407"/>
      <c r="FC3" s="407"/>
      <c r="FD3" s="407"/>
      <c r="FE3" s="407"/>
      <c r="FF3" s="407"/>
      <c r="FG3" s="407"/>
      <c r="FH3" s="407"/>
      <c r="FI3" s="407"/>
      <c r="FJ3" s="394" t="s">
        <v>370</v>
      </c>
      <c r="FK3" s="395">
        <v>204</v>
      </c>
      <c r="FL3" s="396" t="s">
        <v>364</v>
      </c>
      <c r="FM3" s="408" t="s">
        <v>534</v>
      </c>
      <c r="FN3" s="408"/>
      <c r="FO3" s="408"/>
      <c r="FP3" s="408"/>
      <c r="FQ3" s="408"/>
      <c r="FR3" s="408"/>
      <c r="FS3" s="409"/>
      <c r="FT3" s="399" t="s">
        <v>367</v>
      </c>
      <c r="FU3" s="400"/>
      <c r="FV3" s="399" t="s">
        <v>368</v>
      </c>
      <c r="FW3" s="400"/>
      <c r="FX3" s="401" t="s">
        <v>682</v>
      </c>
      <c r="FY3" s="402"/>
      <c r="FZ3" s="402"/>
      <c r="GA3" s="402"/>
      <c r="GB3" s="402"/>
      <c r="GC3" s="402"/>
      <c r="GD3" s="402"/>
      <c r="GE3" s="403"/>
      <c r="GF3" s="404" t="s">
        <v>369</v>
      </c>
      <c r="GG3" s="405"/>
      <c r="GH3" s="406"/>
      <c r="GI3" s="410"/>
      <c r="GJ3" s="411" t="s">
        <v>442</v>
      </c>
      <c r="GK3" s="412"/>
      <c r="GL3" s="412"/>
      <c r="GM3" s="412"/>
      <c r="GN3" s="412"/>
      <c r="GO3" s="412"/>
      <c r="GP3" s="412"/>
      <c r="GQ3" s="412"/>
      <c r="GR3" s="413"/>
      <c r="GS3" s="414"/>
      <c r="GT3" s="411" t="s">
        <v>443</v>
      </c>
      <c r="GU3" s="412"/>
      <c r="GV3" s="412"/>
      <c r="GW3" s="412"/>
      <c r="GX3" s="412"/>
      <c r="GY3" s="412"/>
      <c r="GZ3" s="412"/>
      <c r="HA3" s="412"/>
      <c r="HB3" s="413"/>
      <c r="HC3" s="415"/>
      <c r="HD3" s="438"/>
      <c r="HE3" s="417"/>
      <c r="HF3" s="417"/>
      <c r="HG3" s="387"/>
    </row>
    <row r="4" spans="1:353" ht="20.100000000000001" customHeight="1">
      <c r="A4" s="418"/>
      <c r="B4" s="419"/>
      <c r="C4" s="420"/>
      <c r="D4" s="421"/>
      <c r="E4" s="421"/>
      <c r="F4" s="421"/>
      <c r="G4" s="421"/>
      <c r="H4" s="421"/>
      <c r="I4" s="421"/>
      <c r="J4" s="422"/>
      <c r="K4" s="423"/>
      <c r="L4" s="424"/>
      <c r="M4" s="423"/>
      <c r="N4" s="424"/>
      <c r="O4" s="425" t="s">
        <v>371</v>
      </c>
      <c r="P4" s="426"/>
      <c r="Q4" s="427" t="s">
        <v>372</v>
      </c>
      <c r="R4" s="426"/>
      <c r="S4" s="428" t="s">
        <v>373</v>
      </c>
      <c r="T4" s="429"/>
      <c r="U4" s="430" t="s">
        <v>374</v>
      </c>
      <c r="V4" s="431"/>
      <c r="W4" s="432" t="s">
        <v>375</v>
      </c>
      <c r="X4" s="433"/>
      <c r="Y4" s="434"/>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18"/>
      <c r="BE4" s="419"/>
      <c r="BF4" s="420"/>
      <c r="BG4" s="435"/>
      <c r="BH4" s="435"/>
      <c r="BI4" s="435"/>
      <c r="BJ4" s="435"/>
      <c r="BK4" s="435"/>
      <c r="BL4" s="435"/>
      <c r="BM4" s="436"/>
      <c r="BN4" s="423"/>
      <c r="BO4" s="424"/>
      <c r="BP4" s="423"/>
      <c r="BQ4" s="424"/>
      <c r="BR4" s="425" t="s">
        <v>371</v>
      </c>
      <c r="BS4" s="426"/>
      <c r="BT4" s="427" t="s">
        <v>372</v>
      </c>
      <c r="BU4" s="426"/>
      <c r="BV4" s="428" t="s">
        <v>373</v>
      </c>
      <c r="BW4" s="429"/>
      <c r="BX4" s="430" t="s">
        <v>374</v>
      </c>
      <c r="BY4" s="431"/>
      <c r="BZ4" s="432" t="s">
        <v>375</v>
      </c>
      <c r="CA4" s="433"/>
      <c r="CB4" s="434"/>
      <c r="CC4" s="407"/>
      <c r="CD4" s="407"/>
      <c r="CE4" s="407"/>
      <c r="CF4" s="407"/>
      <c r="CG4" s="407"/>
      <c r="CH4" s="407"/>
      <c r="CI4" s="407"/>
      <c r="CJ4" s="407"/>
      <c r="CK4" s="407"/>
      <c r="CL4" s="407"/>
      <c r="CM4" s="407"/>
      <c r="CN4" s="407"/>
      <c r="CO4" s="407"/>
      <c r="CP4" s="407"/>
      <c r="CQ4" s="407"/>
      <c r="CR4" s="407"/>
      <c r="CS4" s="407"/>
      <c r="CT4" s="407"/>
      <c r="CU4" s="407"/>
      <c r="CV4" s="407"/>
      <c r="CW4" s="407"/>
      <c r="CX4" s="407"/>
      <c r="CY4" s="407"/>
      <c r="CZ4" s="407"/>
      <c r="DA4" s="407"/>
      <c r="DB4" s="407"/>
      <c r="DC4" s="407"/>
      <c r="DD4" s="407"/>
      <c r="DE4" s="407"/>
      <c r="DF4" s="407"/>
      <c r="DG4" s="418"/>
      <c r="DH4" s="419"/>
      <c r="DI4" s="420"/>
      <c r="DJ4" s="435"/>
      <c r="DK4" s="435"/>
      <c r="DL4" s="435"/>
      <c r="DM4" s="435"/>
      <c r="DN4" s="435"/>
      <c r="DO4" s="435"/>
      <c r="DP4" s="436"/>
      <c r="DQ4" s="423"/>
      <c r="DR4" s="424"/>
      <c r="DS4" s="423"/>
      <c r="DT4" s="424"/>
      <c r="DU4" s="425" t="s">
        <v>371</v>
      </c>
      <c r="DV4" s="426"/>
      <c r="DW4" s="427" t="s">
        <v>372</v>
      </c>
      <c r="DX4" s="426"/>
      <c r="DY4" s="428" t="s">
        <v>373</v>
      </c>
      <c r="DZ4" s="429"/>
      <c r="EA4" s="430" t="s">
        <v>374</v>
      </c>
      <c r="EB4" s="431"/>
      <c r="EC4" s="432" t="s">
        <v>375</v>
      </c>
      <c r="ED4" s="433"/>
      <c r="EE4" s="434"/>
      <c r="EF4" s="407"/>
      <c r="EG4" s="407"/>
      <c r="EH4" s="407"/>
      <c r="EI4" s="407"/>
      <c r="EJ4" s="407"/>
      <c r="EK4" s="407"/>
      <c r="EL4" s="407"/>
      <c r="EM4" s="407"/>
      <c r="EN4" s="407"/>
      <c r="EO4" s="407"/>
      <c r="EP4" s="407"/>
      <c r="EQ4" s="407"/>
      <c r="ER4" s="407"/>
      <c r="ES4" s="407"/>
      <c r="ET4" s="407"/>
      <c r="EU4" s="407"/>
      <c r="EV4" s="407"/>
      <c r="EW4" s="407"/>
      <c r="EX4" s="407"/>
      <c r="EY4" s="407"/>
      <c r="EZ4" s="407"/>
      <c r="FA4" s="407"/>
      <c r="FB4" s="407"/>
      <c r="FC4" s="407"/>
      <c r="FD4" s="407"/>
      <c r="FE4" s="407"/>
      <c r="FF4" s="407"/>
      <c r="FG4" s="407"/>
      <c r="FH4" s="407"/>
      <c r="FI4" s="407"/>
      <c r="FJ4" s="418"/>
      <c r="FK4" s="419"/>
      <c r="FL4" s="420"/>
      <c r="FM4" s="435"/>
      <c r="FN4" s="435"/>
      <c r="FO4" s="435"/>
      <c r="FP4" s="435"/>
      <c r="FQ4" s="435"/>
      <c r="FR4" s="435"/>
      <c r="FS4" s="436"/>
      <c r="FT4" s="423"/>
      <c r="FU4" s="424"/>
      <c r="FV4" s="423"/>
      <c r="FW4" s="424"/>
      <c r="FX4" s="425" t="s">
        <v>371</v>
      </c>
      <c r="FY4" s="426"/>
      <c r="FZ4" s="427" t="s">
        <v>372</v>
      </c>
      <c r="GA4" s="426"/>
      <c r="GB4" s="428" t="s">
        <v>373</v>
      </c>
      <c r="GC4" s="429"/>
      <c r="GD4" s="430" t="s">
        <v>374</v>
      </c>
      <c r="GE4" s="431"/>
      <c r="GF4" s="432" t="s">
        <v>352</v>
      </c>
      <c r="GG4" s="433"/>
      <c r="GH4" s="434"/>
      <c r="GI4" s="410"/>
      <c r="GJ4" s="437"/>
      <c r="GK4" s="437"/>
      <c r="GL4" s="437"/>
      <c r="GM4" s="437"/>
      <c r="GN4" s="437"/>
      <c r="GO4" s="437"/>
      <c r="GP4" s="437"/>
      <c r="GQ4" s="437"/>
      <c r="GR4" s="437"/>
      <c r="GS4" s="414"/>
      <c r="GT4" s="437"/>
      <c r="GU4" s="437"/>
      <c r="GV4" s="437"/>
      <c r="GW4" s="437"/>
      <c r="GX4" s="437"/>
      <c r="GY4" s="437"/>
      <c r="GZ4" s="437"/>
      <c r="HA4" s="437"/>
      <c r="HB4" s="437"/>
      <c r="HC4" s="1445"/>
      <c r="HD4" s="438"/>
      <c r="HE4" s="438"/>
      <c r="HF4" s="501"/>
      <c r="HG4" s="387"/>
      <c r="MO4" s="393" t="s">
        <v>352</v>
      </c>
    </row>
    <row r="5" spans="1:353" ht="24.95" customHeight="1" thickBot="1">
      <c r="A5" s="439" t="s">
        <v>378</v>
      </c>
      <c r="B5" s="440">
        <v>2</v>
      </c>
      <c r="C5" s="441" t="s">
        <v>379</v>
      </c>
      <c r="D5" s="442">
        <v>13.2</v>
      </c>
      <c r="E5" s="443" t="s">
        <v>380</v>
      </c>
      <c r="F5" s="444">
        <v>2.8</v>
      </c>
      <c r="G5" s="445" t="s">
        <v>381</v>
      </c>
      <c r="H5" s="446"/>
      <c r="I5" s="447">
        <v>37</v>
      </c>
      <c r="J5" s="448"/>
      <c r="K5" s="449">
        <v>120</v>
      </c>
      <c r="L5" s="450"/>
      <c r="M5" s="449">
        <v>20</v>
      </c>
      <c r="N5" s="450"/>
      <c r="O5" s="1438" t="s">
        <v>667</v>
      </c>
      <c r="P5" s="451"/>
      <c r="Q5" s="1439" t="s">
        <v>668</v>
      </c>
      <c r="R5" s="452"/>
      <c r="S5" s="1440" t="s">
        <v>669</v>
      </c>
      <c r="T5" s="453"/>
      <c r="U5" s="1441" t="s">
        <v>670</v>
      </c>
      <c r="V5" s="454"/>
      <c r="W5" s="455"/>
      <c r="X5" s="456"/>
      <c r="Y5" s="457"/>
      <c r="Z5" s="415"/>
      <c r="AA5" s="458"/>
      <c r="AB5" s="415"/>
      <c r="AC5" s="458"/>
      <c r="AD5" s="415"/>
      <c r="AE5" s="458"/>
      <c r="AF5" s="415"/>
      <c r="AG5" s="458"/>
      <c r="AH5" s="415"/>
      <c r="AI5" s="458"/>
      <c r="AJ5" s="415"/>
      <c r="AK5" s="458"/>
      <c r="AL5" s="415"/>
      <c r="AM5" s="458"/>
      <c r="AN5" s="415"/>
      <c r="AO5" s="458"/>
      <c r="AP5" s="415"/>
      <c r="AQ5" s="458"/>
      <c r="AR5" s="415"/>
      <c r="AS5" s="458"/>
      <c r="AT5" s="415"/>
      <c r="AU5" s="458"/>
      <c r="AV5" s="415"/>
      <c r="AW5" s="458"/>
      <c r="AX5" s="415"/>
      <c r="AY5" s="458"/>
      <c r="AZ5" s="415"/>
      <c r="BA5" s="458"/>
      <c r="BB5" s="415"/>
      <c r="BC5" s="415"/>
      <c r="BD5" s="439" t="s">
        <v>378</v>
      </c>
      <c r="BE5" s="440">
        <v>2</v>
      </c>
      <c r="BF5" s="441" t="s">
        <v>287</v>
      </c>
      <c r="BG5" s="442">
        <v>13.2</v>
      </c>
      <c r="BH5" s="443" t="s">
        <v>380</v>
      </c>
      <c r="BI5" s="444">
        <v>2.8</v>
      </c>
      <c r="BJ5" s="445" t="s">
        <v>381</v>
      </c>
      <c r="BK5" s="446"/>
      <c r="BL5" s="447">
        <v>37</v>
      </c>
      <c r="BM5" s="448"/>
      <c r="BN5" s="449">
        <v>120</v>
      </c>
      <c r="BO5" s="450"/>
      <c r="BP5" s="449">
        <v>20</v>
      </c>
      <c r="BQ5" s="450"/>
      <c r="BR5" s="1438" t="s">
        <v>641</v>
      </c>
      <c r="BS5" s="451"/>
      <c r="BT5" s="1439" t="s">
        <v>672</v>
      </c>
      <c r="BU5" s="452"/>
      <c r="BV5" s="1440" t="s">
        <v>673</v>
      </c>
      <c r="BW5" s="453"/>
      <c r="BX5" s="1441" t="s">
        <v>674</v>
      </c>
      <c r="BY5" s="454"/>
      <c r="BZ5" s="455"/>
      <c r="CA5" s="456"/>
      <c r="CB5" s="457"/>
      <c r="CC5" s="415"/>
      <c r="CD5" s="458"/>
      <c r="CE5" s="415"/>
      <c r="CF5" s="458"/>
      <c r="CG5" s="415"/>
      <c r="CH5" s="458"/>
      <c r="CI5" s="415"/>
      <c r="CJ5" s="458"/>
      <c r="CK5" s="415"/>
      <c r="CL5" s="458"/>
      <c r="CM5" s="415"/>
      <c r="CN5" s="458"/>
      <c r="CO5" s="415"/>
      <c r="CP5" s="458"/>
      <c r="CQ5" s="415"/>
      <c r="CR5" s="458"/>
      <c r="CS5" s="415"/>
      <c r="CT5" s="458"/>
      <c r="CU5" s="415"/>
      <c r="CV5" s="458"/>
      <c r="CW5" s="415"/>
      <c r="CX5" s="458"/>
      <c r="CY5" s="415"/>
      <c r="CZ5" s="458"/>
      <c r="DA5" s="415"/>
      <c r="DB5" s="458"/>
      <c r="DC5" s="415"/>
      <c r="DD5" s="458"/>
      <c r="DE5" s="415"/>
      <c r="DF5" s="415"/>
      <c r="DG5" s="439" t="s">
        <v>378</v>
      </c>
      <c r="DH5" s="440">
        <v>2</v>
      </c>
      <c r="DI5" s="441" t="s">
        <v>287</v>
      </c>
      <c r="DJ5" s="442">
        <v>13.2</v>
      </c>
      <c r="DK5" s="443" t="s">
        <v>380</v>
      </c>
      <c r="DL5" s="444">
        <v>2.8</v>
      </c>
      <c r="DM5" s="445" t="s">
        <v>381</v>
      </c>
      <c r="DN5" s="446"/>
      <c r="DO5" s="447">
        <v>37</v>
      </c>
      <c r="DP5" s="448"/>
      <c r="DQ5" s="449">
        <v>120</v>
      </c>
      <c r="DR5" s="450"/>
      <c r="DS5" s="449">
        <v>20</v>
      </c>
      <c r="DT5" s="450"/>
      <c r="DU5" s="1438" t="s">
        <v>646</v>
      </c>
      <c r="DV5" s="451"/>
      <c r="DW5" s="1439" t="s">
        <v>675</v>
      </c>
      <c r="DX5" s="452"/>
      <c r="DY5" s="1440" t="s">
        <v>676</v>
      </c>
      <c r="DZ5" s="453"/>
      <c r="EA5" s="1441" t="s">
        <v>677</v>
      </c>
      <c r="EB5" s="454"/>
      <c r="EC5" s="455"/>
      <c r="ED5" s="456"/>
      <c r="EE5" s="457"/>
      <c r="EF5" s="415"/>
      <c r="EG5" s="458"/>
      <c r="EH5" s="415"/>
      <c r="EI5" s="458"/>
      <c r="EJ5" s="415"/>
      <c r="EK5" s="458"/>
      <c r="EL5" s="415"/>
      <c r="EM5" s="458"/>
      <c r="EN5" s="415"/>
      <c r="EO5" s="458"/>
      <c r="EP5" s="415"/>
      <c r="EQ5" s="458"/>
      <c r="ER5" s="415"/>
      <c r="ES5" s="458"/>
      <c r="ET5" s="415"/>
      <c r="EU5" s="458"/>
      <c r="EV5" s="415"/>
      <c r="EW5" s="458"/>
      <c r="EX5" s="415"/>
      <c r="EY5" s="458"/>
      <c r="EZ5" s="415"/>
      <c r="FA5" s="458"/>
      <c r="FB5" s="415"/>
      <c r="FC5" s="458"/>
      <c r="FD5" s="415"/>
      <c r="FE5" s="458"/>
      <c r="FF5" s="415"/>
      <c r="FG5" s="458"/>
      <c r="FH5" s="415"/>
      <c r="FI5" s="415"/>
      <c r="FJ5" s="439" t="s">
        <v>378</v>
      </c>
      <c r="FK5" s="440">
        <v>2</v>
      </c>
      <c r="FL5" s="441" t="s">
        <v>287</v>
      </c>
      <c r="FM5" s="442">
        <v>13.2</v>
      </c>
      <c r="FN5" s="443" t="s">
        <v>380</v>
      </c>
      <c r="FO5" s="444">
        <v>2.8</v>
      </c>
      <c r="FP5" s="445" t="s">
        <v>381</v>
      </c>
      <c r="FQ5" s="446"/>
      <c r="FR5" s="447">
        <v>37</v>
      </c>
      <c r="FS5" s="448"/>
      <c r="FT5" s="449">
        <v>120</v>
      </c>
      <c r="FU5" s="450"/>
      <c r="FV5" s="449">
        <v>20</v>
      </c>
      <c r="FW5" s="450"/>
      <c r="FX5" s="1438" t="s">
        <v>678</v>
      </c>
      <c r="FY5" s="451"/>
      <c r="FZ5" s="1439" t="s">
        <v>679</v>
      </c>
      <c r="GA5" s="452"/>
      <c r="GB5" s="1440" t="s">
        <v>680</v>
      </c>
      <c r="GC5" s="453"/>
      <c r="GD5" s="1441" t="s">
        <v>681</v>
      </c>
      <c r="GE5" s="454"/>
      <c r="GF5" s="455"/>
      <c r="GG5" s="456"/>
      <c r="GH5" s="457"/>
      <c r="GI5" s="459"/>
      <c r="GJ5" s="410"/>
      <c r="GK5" s="460" t="s">
        <v>444</v>
      </c>
      <c r="GL5" s="460"/>
      <c r="GM5" s="460"/>
      <c r="GN5" s="410" t="s">
        <v>445</v>
      </c>
      <c r="GO5" s="461"/>
      <c r="GP5" s="461"/>
      <c r="GQ5" s="461"/>
      <c r="GR5" s="410"/>
      <c r="GS5" s="410"/>
      <c r="GT5" s="414"/>
      <c r="GU5" s="460" t="s">
        <v>446</v>
      </c>
      <c r="GV5" s="460"/>
      <c r="GW5" s="460"/>
      <c r="GX5" s="410" t="s">
        <v>445</v>
      </c>
      <c r="GY5" s="461"/>
      <c r="GZ5" s="461"/>
      <c r="HA5" s="461"/>
      <c r="HB5" s="410"/>
      <c r="HC5" s="462"/>
      <c r="HD5" s="438"/>
      <c r="HE5" s="438"/>
      <c r="HF5" s="501"/>
      <c r="HG5" s="387"/>
    </row>
    <row r="6" spans="1:353" ht="20.100000000000001" customHeight="1" thickBot="1">
      <c r="A6" s="463" t="s">
        <v>382</v>
      </c>
      <c r="B6" s="464"/>
      <c r="C6" s="465" t="s">
        <v>383</v>
      </c>
      <c r="D6" s="465"/>
      <c r="E6" s="465"/>
      <c r="F6" s="466">
        <v>0</v>
      </c>
      <c r="G6" s="466"/>
      <c r="H6" s="465" t="s">
        <v>384</v>
      </c>
      <c r="I6" s="465"/>
      <c r="J6" s="465"/>
      <c r="K6" s="465"/>
      <c r="L6" s="465"/>
      <c r="M6" s="467">
        <v>0</v>
      </c>
      <c r="N6" s="467"/>
      <c r="O6" s="468"/>
      <c r="P6" s="469"/>
      <c r="Q6" s="469" t="s">
        <v>544</v>
      </c>
      <c r="R6" s="470">
        <v>0</v>
      </c>
      <c r="S6" s="470"/>
      <c r="T6" s="471"/>
      <c r="U6" s="472" t="s">
        <v>545</v>
      </c>
      <c r="V6" s="473">
        <v>0</v>
      </c>
      <c r="W6" s="473"/>
      <c r="X6" s="474"/>
      <c r="Y6" s="469"/>
      <c r="Z6" s="469"/>
      <c r="AA6" s="469"/>
      <c r="AB6" s="467"/>
      <c r="AC6" s="467"/>
      <c r="AD6" s="469"/>
      <c r="AE6" s="468"/>
      <c r="AF6" s="464"/>
      <c r="AG6" s="469"/>
      <c r="AH6" s="469"/>
      <c r="AI6" s="474"/>
      <c r="AJ6" s="469"/>
      <c r="AK6" s="474"/>
      <c r="AL6" s="469"/>
      <c r="AM6" s="474"/>
      <c r="AN6" s="469"/>
      <c r="AO6" s="474"/>
      <c r="AP6" s="469"/>
      <c r="AQ6" s="474"/>
      <c r="AR6" s="469"/>
      <c r="AS6" s="474"/>
      <c r="AT6" s="469"/>
      <c r="AU6" s="474"/>
      <c r="AV6" s="469"/>
      <c r="AW6" s="474"/>
      <c r="AX6" s="475"/>
      <c r="AY6" s="474"/>
      <c r="AZ6" s="469"/>
      <c r="BA6" s="474"/>
      <c r="BB6" s="37" t="s">
        <v>388</v>
      </c>
      <c r="BC6" s="476"/>
      <c r="BD6" s="463" t="s">
        <v>382</v>
      </c>
      <c r="BE6" s="464"/>
      <c r="BF6" s="465" t="s">
        <v>383</v>
      </c>
      <c r="BG6" s="465"/>
      <c r="BH6" s="465"/>
      <c r="BI6" s="466">
        <v>0</v>
      </c>
      <c r="BJ6" s="466"/>
      <c r="BK6" s="465" t="s">
        <v>384</v>
      </c>
      <c r="BL6" s="465"/>
      <c r="BM6" s="465"/>
      <c r="BN6" s="465"/>
      <c r="BO6" s="465"/>
      <c r="BP6" s="467">
        <v>0</v>
      </c>
      <c r="BQ6" s="467"/>
      <c r="BR6" s="468"/>
      <c r="BS6" s="469"/>
      <c r="BT6" s="469" t="s">
        <v>288</v>
      </c>
      <c r="BU6" s="470">
        <v>0</v>
      </c>
      <c r="BV6" s="470"/>
      <c r="BW6" s="471"/>
      <c r="BX6" s="472" t="s">
        <v>289</v>
      </c>
      <c r="BY6" s="473">
        <v>0</v>
      </c>
      <c r="BZ6" s="473"/>
      <c r="CA6" s="474"/>
      <c r="CB6" s="469"/>
      <c r="CC6" s="469"/>
      <c r="CD6" s="474"/>
      <c r="CE6" s="467"/>
      <c r="CF6" s="467"/>
      <c r="CG6" s="469"/>
      <c r="CH6" s="468"/>
      <c r="CI6" s="464"/>
      <c r="CJ6" s="469"/>
      <c r="CK6" s="469"/>
      <c r="CL6" s="474"/>
      <c r="CM6" s="469"/>
      <c r="CN6" s="474"/>
      <c r="CO6" s="469"/>
      <c r="CP6" s="474"/>
      <c r="CQ6" s="469"/>
      <c r="CR6" s="474"/>
      <c r="CS6" s="469"/>
      <c r="CT6" s="474"/>
      <c r="CU6" s="469"/>
      <c r="CV6" s="474"/>
      <c r="CW6" s="469"/>
      <c r="CX6" s="474"/>
      <c r="CY6" s="469"/>
      <c r="CZ6" s="474"/>
      <c r="DA6" s="469"/>
      <c r="DB6" s="474"/>
      <c r="DC6" s="469"/>
      <c r="DD6" s="474"/>
      <c r="DE6" s="477" t="s">
        <v>390</v>
      </c>
      <c r="DF6" s="478"/>
      <c r="DG6" s="463" t="s">
        <v>382</v>
      </c>
      <c r="DH6" s="464"/>
      <c r="DI6" s="465" t="s">
        <v>383</v>
      </c>
      <c r="DJ6" s="465"/>
      <c r="DK6" s="465"/>
      <c r="DL6" s="466">
        <v>0</v>
      </c>
      <c r="DM6" s="466"/>
      <c r="DN6" s="465" t="s">
        <v>384</v>
      </c>
      <c r="DO6" s="465"/>
      <c r="DP6" s="465"/>
      <c r="DQ6" s="465"/>
      <c r="DR6" s="465"/>
      <c r="DS6" s="467">
        <v>0</v>
      </c>
      <c r="DT6" s="467"/>
      <c r="DU6" s="468"/>
      <c r="DV6" s="469"/>
      <c r="DW6" s="469" t="s">
        <v>288</v>
      </c>
      <c r="DX6" s="470">
        <v>0</v>
      </c>
      <c r="DY6" s="470"/>
      <c r="DZ6" s="471"/>
      <c r="EA6" s="472" t="s">
        <v>289</v>
      </c>
      <c r="EB6" s="473">
        <v>0</v>
      </c>
      <c r="EC6" s="473"/>
      <c r="ED6" s="474"/>
      <c r="EE6" s="469"/>
      <c r="EF6" s="474"/>
      <c r="EG6" s="469"/>
      <c r="EH6" s="464"/>
      <c r="EI6" s="474"/>
      <c r="EJ6" s="469"/>
      <c r="EK6" s="468"/>
      <c r="EL6" s="464"/>
      <c r="EM6" s="469"/>
      <c r="EN6" s="469"/>
      <c r="EO6" s="474"/>
      <c r="EP6" s="469"/>
      <c r="EQ6" s="474"/>
      <c r="ER6" s="469"/>
      <c r="ES6" s="474"/>
      <c r="ET6" s="469"/>
      <c r="EU6" s="474"/>
      <c r="EV6" s="469"/>
      <c r="EW6" s="474"/>
      <c r="EX6" s="469"/>
      <c r="EY6" s="474"/>
      <c r="EZ6" s="469"/>
      <c r="FA6" s="474"/>
      <c r="FB6" s="469"/>
      <c r="FC6" s="474"/>
      <c r="FD6" s="469"/>
      <c r="FE6" s="474"/>
      <c r="FF6" s="469"/>
      <c r="FG6" s="474"/>
      <c r="FH6" s="479" t="s">
        <v>392</v>
      </c>
      <c r="FI6" s="478"/>
      <c r="FJ6" s="463" t="s">
        <v>393</v>
      </c>
      <c r="FK6" s="464"/>
      <c r="FL6" s="465" t="s">
        <v>383</v>
      </c>
      <c r="FM6" s="465"/>
      <c r="FN6" s="465"/>
      <c r="FO6" s="466">
        <v>0</v>
      </c>
      <c r="FP6" s="466"/>
      <c r="FQ6" s="465" t="s">
        <v>384</v>
      </c>
      <c r="FR6" s="465"/>
      <c r="FS6" s="465"/>
      <c r="FT6" s="465"/>
      <c r="FU6" s="465"/>
      <c r="FV6" s="467">
        <v>0</v>
      </c>
      <c r="FW6" s="467"/>
      <c r="FX6" s="468"/>
      <c r="FY6" s="469"/>
      <c r="FZ6" s="469" t="s">
        <v>394</v>
      </c>
      <c r="GA6" s="470">
        <v>0</v>
      </c>
      <c r="GB6" s="470"/>
      <c r="GC6" s="471"/>
      <c r="GD6" s="472" t="s">
        <v>395</v>
      </c>
      <c r="GE6" s="473">
        <v>0</v>
      </c>
      <c r="GF6" s="473"/>
      <c r="GG6" s="474"/>
      <c r="GH6" s="469"/>
      <c r="GI6" s="469"/>
      <c r="GJ6" s="480"/>
      <c r="GK6" s="481" t="s">
        <v>447</v>
      </c>
      <c r="GL6" s="481"/>
      <c r="GM6" s="481"/>
      <c r="GN6" s="482">
        <v>2</v>
      </c>
      <c r="GO6" s="483"/>
      <c r="GP6" s="483"/>
      <c r="GQ6" s="483"/>
      <c r="GR6" s="480"/>
      <c r="GS6" s="480"/>
      <c r="GT6" s="414"/>
      <c r="GU6" s="481" t="s">
        <v>448</v>
      </c>
      <c r="GV6" s="481"/>
      <c r="GW6" s="481"/>
      <c r="GX6" s="482">
        <v>2</v>
      </c>
      <c r="GY6" s="414"/>
      <c r="GZ6" s="414"/>
      <c r="HA6" s="483"/>
      <c r="HB6" s="483"/>
      <c r="HC6" s="484"/>
      <c r="HD6" s="438"/>
      <c r="HE6" s="438"/>
      <c r="HF6" s="501"/>
      <c r="HG6" s="387"/>
    </row>
    <row r="7" spans="1:353" ht="20.100000000000001" customHeight="1">
      <c r="A7" s="485" t="s">
        <v>290</v>
      </c>
      <c r="B7" s="486"/>
      <c r="C7" s="486"/>
      <c r="D7" s="486"/>
      <c r="E7" s="486"/>
      <c r="F7" s="487"/>
      <c r="G7" s="488" t="s">
        <v>291</v>
      </c>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90"/>
      <c r="BC7" s="462"/>
      <c r="BD7" s="485" t="s">
        <v>290</v>
      </c>
      <c r="BE7" s="486"/>
      <c r="BF7" s="486"/>
      <c r="BG7" s="486"/>
      <c r="BH7" s="486"/>
      <c r="BI7" s="487"/>
      <c r="BJ7" s="488" t="s">
        <v>292</v>
      </c>
      <c r="BK7" s="489"/>
      <c r="BL7" s="489"/>
      <c r="BM7" s="489"/>
      <c r="BN7" s="489"/>
      <c r="BO7" s="489"/>
      <c r="BP7" s="489"/>
      <c r="BQ7" s="489"/>
      <c r="BR7" s="489"/>
      <c r="BS7" s="489"/>
      <c r="BT7" s="489"/>
      <c r="BU7" s="489"/>
      <c r="BV7" s="489"/>
      <c r="BW7" s="489"/>
      <c r="BX7" s="489"/>
      <c r="BY7" s="489"/>
      <c r="BZ7" s="489"/>
      <c r="CA7" s="489"/>
      <c r="CB7" s="489"/>
      <c r="CC7" s="489"/>
      <c r="CD7" s="489"/>
      <c r="CE7" s="489"/>
      <c r="CF7" s="489"/>
      <c r="CG7" s="489"/>
      <c r="CH7" s="489"/>
      <c r="CI7" s="489"/>
      <c r="CJ7" s="489"/>
      <c r="CK7" s="489"/>
      <c r="CL7" s="489"/>
      <c r="CM7" s="489"/>
      <c r="CN7" s="489"/>
      <c r="CO7" s="489"/>
      <c r="CP7" s="489"/>
      <c r="CQ7" s="489"/>
      <c r="CR7" s="489"/>
      <c r="CS7" s="489"/>
      <c r="CT7" s="489"/>
      <c r="CU7" s="489"/>
      <c r="CV7" s="489"/>
      <c r="CW7" s="489"/>
      <c r="CX7" s="489"/>
      <c r="CY7" s="489"/>
      <c r="CZ7" s="489"/>
      <c r="DA7" s="489"/>
      <c r="DB7" s="489"/>
      <c r="DC7" s="489"/>
      <c r="DD7" s="489"/>
      <c r="DE7" s="490"/>
      <c r="DF7" s="462"/>
      <c r="DG7" s="485" t="s">
        <v>290</v>
      </c>
      <c r="DH7" s="486"/>
      <c r="DI7" s="486"/>
      <c r="DJ7" s="486"/>
      <c r="DK7" s="486"/>
      <c r="DL7" s="487"/>
      <c r="DM7" s="488" t="s">
        <v>293</v>
      </c>
      <c r="DN7" s="489"/>
      <c r="DO7" s="489"/>
      <c r="DP7" s="489"/>
      <c r="DQ7" s="489"/>
      <c r="DR7" s="489"/>
      <c r="DS7" s="489"/>
      <c r="DT7" s="489"/>
      <c r="DU7" s="489"/>
      <c r="DV7" s="489"/>
      <c r="DW7" s="489"/>
      <c r="DX7" s="489"/>
      <c r="DY7" s="489"/>
      <c r="DZ7" s="489"/>
      <c r="EA7" s="489"/>
      <c r="EB7" s="489"/>
      <c r="EC7" s="489"/>
      <c r="ED7" s="489"/>
      <c r="EE7" s="489"/>
      <c r="EF7" s="489"/>
      <c r="EG7" s="489"/>
      <c r="EH7" s="489"/>
      <c r="EI7" s="489"/>
      <c r="EJ7" s="489"/>
      <c r="EK7" s="489"/>
      <c r="EL7" s="489"/>
      <c r="EM7" s="489"/>
      <c r="EN7" s="489"/>
      <c r="EO7" s="489"/>
      <c r="EP7" s="489"/>
      <c r="EQ7" s="489"/>
      <c r="ER7" s="489"/>
      <c r="ES7" s="489"/>
      <c r="ET7" s="489"/>
      <c r="EU7" s="489"/>
      <c r="EV7" s="489"/>
      <c r="EW7" s="489"/>
      <c r="EX7" s="489"/>
      <c r="EY7" s="489"/>
      <c r="EZ7" s="489"/>
      <c r="FA7" s="489"/>
      <c r="FB7" s="489"/>
      <c r="FC7" s="489"/>
      <c r="FD7" s="489"/>
      <c r="FE7" s="489"/>
      <c r="FF7" s="489"/>
      <c r="FG7" s="489"/>
      <c r="FH7" s="490"/>
      <c r="FI7" s="462"/>
      <c r="FJ7" s="485" t="s">
        <v>290</v>
      </c>
      <c r="FK7" s="486"/>
      <c r="FL7" s="486"/>
      <c r="FM7" s="486"/>
      <c r="FN7" s="486"/>
      <c r="FO7" s="487"/>
      <c r="FP7" s="491" t="s">
        <v>294</v>
      </c>
      <c r="FQ7" s="492"/>
      <c r="FR7" s="492"/>
      <c r="FS7" s="492"/>
      <c r="FT7" s="492"/>
      <c r="FU7" s="492"/>
      <c r="FV7" s="493" t="s">
        <v>295</v>
      </c>
      <c r="FW7" s="494"/>
      <c r="FX7" s="494"/>
      <c r="FY7" s="494"/>
      <c r="FZ7" s="494"/>
      <c r="GA7" s="494"/>
      <c r="GB7" s="494"/>
      <c r="GC7" s="494"/>
      <c r="GD7" s="494"/>
      <c r="GE7" s="495"/>
      <c r="GF7" s="496"/>
      <c r="GG7" s="461"/>
      <c r="GH7" s="461"/>
      <c r="GI7" s="461"/>
      <c r="GJ7" s="497"/>
      <c r="GK7" s="498"/>
      <c r="GL7" s="498"/>
      <c r="GM7" s="498"/>
      <c r="GN7" s="499"/>
      <c r="GO7" s="499"/>
      <c r="GP7" s="498"/>
      <c r="GQ7" s="498"/>
      <c r="GR7" s="498"/>
      <c r="GS7" s="498"/>
      <c r="GT7" s="498"/>
      <c r="GU7" s="498"/>
      <c r="GV7" s="498"/>
      <c r="GW7" s="498"/>
      <c r="GX7" s="498"/>
      <c r="GY7" s="498"/>
      <c r="GZ7" s="498"/>
      <c r="HA7" s="498"/>
      <c r="HB7" s="498"/>
      <c r="HC7" s="538"/>
      <c r="HD7" s="438"/>
      <c r="HE7" s="438"/>
      <c r="HF7" s="501"/>
      <c r="HG7" s="387"/>
    </row>
    <row r="8" spans="1:353" s="528" customFormat="1" ht="20.100000000000001" customHeight="1">
      <c r="A8" s="502"/>
      <c r="B8" s="503"/>
      <c r="C8" s="503"/>
      <c r="D8" s="503"/>
      <c r="E8" s="503"/>
      <c r="F8" s="504"/>
      <c r="G8" s="505">
        <v>1</v>
      </c>
      <c r="H8" s="506"/>
      <c r="I8" s="507">
        <v>2</v>
      </c>
      <c r="J8" s="506"/>
      <c r="K8" s="507">
        <v>3</v>
      </c>
      <c r="L8" s="506"/>
      <c r="M8" s="507">
        <v>4</v>
      </c>
      <c r="N8" s="506"/>
      <c r="O8" s="507">
        <v>5</v>
      </c>
      <c r="P8" s="506"/>
      <c r="Q8" s="507">
        <v>6</v>
      </c>
      <c r="R8" s="506"/>
      <c r="S8" s="507">
        <v>7</v>
      </c>
      <c r="T8" s="506"/>
      <c r="U8" s="507">
        <v>8</v>
      </c>
      <c r="V8" s="506"/>
      <c r="W8" s="507">
        <v>9</v>
      </c>
      <c r="X8" s="506"/>
      <c r="Y8" s="507">
        <v>10</v>
      </c>
      <c r="Z8" s="506"/>
      <c r="AA8" s="507">
        <v>11</v>
      </c>
      <c r="AB8" s="506"/>
      <c r="AC8" s="507">
        <v>12</v>
      </c>
      <c r="AD8" s="506"/>
      <c r="AE8" s="507">
        <v>13</v>
      </c>
      <c r="AF8" s="506"/>
      <c r="AG8" s="507">
        <v>14</v>
      </c>
      <c r="AH8" s="506"/>
      <c r="AI8" s="507">
        <v>15</v>
      </c>
      <c r="AJ8" s="506"/>
      <c r="AK8" s="507">
        <v>16</v>
      </c>
      <c r="AL8" s="506"/>
      <c r="AM8" s="507">
        <v>17</v>
      </c>
      <c r="AN8" s="506"/>
      <c r="AO8" s="507">
        <v>18</v>
      </c>
      <c r="AP8" s="506"/>
      <c r="AQ8" s="507">
        <v>19</v>
      </c>
      <c r="AR8" s="506"/>
      <c r="AS8" s="507">
        <v>20</v>
      </c>
      <c r="AT8" s="506"/>
      <c r="AU8" s="507">
        <v>21</v>
      </c>
      <c r="AV8" s="506"/>
      <c r="AW8" s="507">
        <v>22</v>
      </c>
      <c r="AX8" s="506"/>
      <c r="AY8" s="507">
        <v>23</v>
      </c>
      <c r="AZ8" s="506"/>
      <c r="BA8" s="507">
        <v>24</v>
      </c>
      <c r="BB8" s="508"/>
      <c r="BC8" s="484"/>
      <c r="BD8" s="502"/>
      <c r="BE8" s="503"/>
      <c r="BF8" s="503"/>
      <c r="BG8" s="503"/>
      <c r="BH8" s="503"/>
      <c r="BI8" s="504"/>
      <c r="BJ8" s="509">
        <v>1</v>
      </c>
      <c r="BK8" s="510"/>
      <c r="BL8" s="511">
        <v>2</v>
      </c>
      <c r="BM8" s="510"/>
      <c r="BN8" s="511">
        <v>3</v>
      </c>
      <c r="BO8" s="510"/>
      <c r="BP8" s="511">
        <v>4</v>
      </c>
      <c r="BQ8" s="510"/>
      <c r="BR8" s="511">
        <v>5</v>
      </c>
      <c r="BS8" s="510"/>
      <c r="BT8" s="511">
        <v>6</v>
      </c>
      <c r="BU8" s="510"/>
      <c r="BV8" s="511">
        <v>7</v>
      </c>
      <c r="BW8" s="510"/>
      <c r="BX8" s="511">
        <v>8</v>
      </c>
      <c r="BY8" s="510"/>
      <c r="BZ8" s="511">
        <v>9</v>
      </c>
      <c r="CA8" s="510"/>
      <c r="CB8" s="511">
        <v>10</v>
      </c>
      <c r="CC8" s="510"/>
      <c r="CD8" s="511">
        <v>11</v>
      </c>
      <c r="CE8" s="510"/>
      <c r="CF8" s="511">
        <v>12</v>
      </c>
      <c r="CG8" s="510"/>
      <c r="CH8" s="511">
        <v>13</v>
      </c>
      <c r="CI8" s="510"/>
      <c r="CJ8" s="511">
        <v>14</v>
      </c>
      <c r="CK8" s="510"/>
      <c r="CL8" s="511">
        <v>15</v>
      </c>
      <c r="CM8" s="510"/>
      <c r="CN8" s="511">
        <v>16</v>
      </c>
      <c r="CO8" s="510"/>
      <c r="CP8" s="511">
        <v>17</v>
      </c>
      <c r="CQ8" s="510"/>
      <c r="CR8" s="511">
        <v>18</v>
      </c>
      <c r="CS8" s="510"/>
      <c r="CT8" s="511">
        <v>19</v>
      </c>
      <c r="CU8" s="510"/>
      <c r="CV8" s="511">
        <v>20</v>
      </c>
      <c r="CW8" s="510"/>
      <c r="CX8" s="511">
        <v>21</v>
      </c>
      <c r="CY8" s="510"/>
      <c r="CZ8" s="511">
        <v>22</v>
      </c>
      <c r="DA8" s="510"/>
      <c r="DB8" s="511">
        <v>23</v>
      </c>
      <c r="DC8" s="510"/>
      <c r="DD8" s="511">
        <v>24</v>
      </c>
      <c r="DE8" s="512"/>
      <c r="DF8" s="484"/>
      <c r="DG8" s="502"/>
      <c r="DH8" s="503"/>
      <c r="DI8" s="503"/>
      <c r="DJ8" s="503"/>
      <c r="DK8" s="503"/>
      <c r="DL8" s="504"/>
      <c r="DM8" s="513">
        <v>1</v>
      </c>
      <c r="DN8" s="514"/>
      <c r="DO8" s="515">
        <v>2</v>
      </c>
      <c r="DP8" s="514"/>
      <c r="DQ8" s="515">
        <v>3</v>
      </c>
      <c r="DR8" s="514"/>
      <c r="DS8" s="515">
        <v>4</v>
      </c>
      <c r="DT8" s="514"/>
      <c r="DU8" s="515">
        <v>5</v>
      </c>
      <c r="DV8" s="514"/>
      <c r="DW8" s="515">
        <v>6</v>
      </c>
      <c r="DX8" s="514"/>
      <c r="DY8" s="515">
        <v>7</v>
      </c>
      <c r="DZ8" s="514"/>
      <c r="EA8" s="515">
        <v>8</v>
      </c>
      <c r="EB8" s="514"/>
      <c r="EC8" s="515">
        <v>9</v>
      </c>
      <c r="ED8" s="514"/>
      <c r="EE8" s="515">
        <v>10</v>
      </c>
      <c r="EF8" s="514"/>
      <c r="EG8" s="515">
        <v>11</v>
      </c>
      <c r="EH8" s="514"/>
      <c r="EI8" s="515">
        <v>12</v>
      </c>
      <c r="EJ8" s="514"/>
      <c r="EK8" s="515">
        <v>13</v>
      </c>
      <c r="EL8" s="514"/>
      <c r="EM8" s="515">
        <v>14</v>
      </c>
      <c r="EN8" s="514"/>
      <c r="EO8" s="515">
        <v>15</v>
      </c>
      <c r="EP8" s="514"/>
      <c r="EQ8" s="515">
        <v>16</v>
      </c>
      <c r="ER8" s="514"/>
      <c r="ES8" s="515">
        <v>17</v>
      </c>
      <c r="ET8" s="514"/>
      <c r="EU8" s="515">
        <v>18</v>
      </c>
      <c r="EV8" s="514"/>
      <c r="EW8" s="515">
        <v>19</v>
      </c>
      <c r="EX8" s="514"/>
      <c r="EY8" s="515">
        <v>20</v>
      </c>
      <c r="EZ8" s="514"/>
      <c r="FA8" s="515">
        <v>21</v>
      </c>
      <c r="FB8" s="514"/>
      <c r="FC8" s="515">
        <v>22</v>
      </c>
      <c r="FD8" s="514"/>
      <c r="FE8" s="515">
        <v>23</v>
      </c>
      <c r="FF8" s="514"/>
      <c r="FG8" s="515">
        <v>24</v>
      </c>
      <c r="FH8" s="516"/>
      <c r="FI8" s="484"/>
      <c r="FJ8" s="502"/>
      <c r="FK8" s="503"/>
      <c r="FL8" s="503"/>
      <c r="FM8" s="503"/>
      <c r="FN8" s="503"/>
      <c r="FO8" s="504"/>
      <c r="FP8" s="517" t="s">
        <v>296</v>
      </c>
      <c r="FQ8" s="518"/>
      <c r="FR8" s="519"/>
      <c r="FS8" s="520" t="s">
        <v>297</v>
      </c>
      <c r="FT8" s="520"/>
      <c r="FU8" s="521"/>
      <c r="FV8" s="522"/>
      <c r="FW8" s="523"/>
      <c r="FX8" s="523"/>
      <c r="FY8" s="523"/>
      <c r="FZ8" s="523"/>
      <c r="GA8" s="523"/>
      <c r="GB8" s="523"/>
      <c r="GC8" s="523"/>
      <c r="GD8" s="523"/>
      <c r="GE8" s="524"/>
      <c r="GF8" s="496"/>
      <c r="GG8" s="480"/>
      <c r="GH8" s="480"/>
      <c r="GI8" s="480"/>
      <c r="GJ8" s="525" t="s">
        <v>548</v>
      </c>
      <c r="GK8" s="525"/>
      <c r="GL8" s="526"/>
      <c r="GM8" s="527"/>
      <c r="GN8" s="526"/>
      <c r="GO8" s="527"/>
      <c r="GP8" s="526"/>
      <c r="GQ8" s="526"/>
      <c r="GR8" s="526"/>
      <c r="GS8" s="526"/>
      <c r="GT8" s="525" t="s">
        <v>548</v>
      </c>
      <c r="GU8" s="525"/>
      <c r="GV8" s="414"/>
      <c r="GW8" s="480"/>
      <c r="GX8" s="483"/>
      <c r="GY8" s="480"/>
      <c r="GZ8" s="483"/>
      <c r="HA8" s="527"/>
      <c r="HB8" s="527"/>
      <c r="HC8" s="527"/>
      <c r="HD8" s="438"/>
      <c r="HE8" s="438"/>
      <c r="HF8" s="1443"/>
      <c r="HG8" s="1443"/>
    </row>
    <row r="9" spans="1:353" ht="22.5" customHeight="1">
      <c r="A9" s="529" t="s">
        <v>298</v>
      </c>
      <c r="B9" s="530" t="s">
        <v>299</v>
      </c>
      <c r="C9" s="531" t="s">
        <v>300</v>
      </c>
      <c r="D9" s="531" t="s">
        <v>301</v>
      </c>
      <c r="E9" s="532" t="s">
        <v>302</v>
      </c>
      <c r="F9" s="533" t="s">
        <v>303</v>
      </c>
      <c r="G9" s="534" t="s">
        <v>304</v>
      </c>
      <c r="H9" s="535" t="s">
        <v>305</v>
      </c>
      <c r="I9" s="536" t="s">
        <v>306</v>
      </c>
      <c r="J9" s="535" t="s">
        <v>305</v>
      </c>
      <c r="K9" s="536" t="s">
        <v>306</v>
      </c>
      <c r="L9" s="535" t="s">
        <v>305</v>
      </c>
      <c r="M9" s="536" t="s">
        <v>306</v>
      </c>
      <c r="N9" s="535" t="s">
        <v>305</v>
      </c>
      <c r="O9" s="536" t="s">
        <v>306</v>
      </c>
      <c r="P9" s="535" t="s">
        <v>305</v>
      </c>
      <c r="Q9" s="536" t="s">
        <v>306</v>
      </c>
      <c r="R9" s="535" t="s">
        <v>305</v>
      </c>
      <c r="S9" s="536" t="s">
        <v>306</v>
      </c>
      <c r="T9" s="535" t="s">
        <v>305</v>
      </c>
      <c r="U9" s="536" t="s">
        <v>306</v>
      </c>
      <c r="V9" s="535" t="s">
        <v>305</v>
      </c>
      <c r="W9" s="536" t="s">
        <v>306</v>
      </c>
      <c r="X9" s="535" t="s">
        <v>305</v>
      </c>
      <c r="Y9" s="536" t="s">
        <v>306</v>
      </c>
      <c r="Z9" s="535" t="s">
        <v>305</v>
      </c>
      <c r="AA9" s="536" t="s">
        <v>306</v>
      </c>
      <c r="AB9" s="535" t="s">
        <v>305</v>
      </c>
      <c r="AC9" s="536" t="s">
        <v>306</v>
      </c>
      <c r="AD9" s="535" t="s">
        <v>305</v>
      </c>
      <c r="AE9" s="536" t="s">
        <v>306</v>
      </c>
      <c r="AF9" s="535" t="s">
        <v>305</v>
      </c>
      <c r="AG9" s="536" t="s">
        <v>306</v>
      </c>
      <c r="AH9" s="535" t="s">
        <v>305</v>
      </c>
      <c r="AI9" s="536" t="s">
        <v>306</v>
      </c>
      <c r="AJ9" s="535" t="s">
        <v>305</v>
      </c>
      <c r="AK9" s="536" t="s">
        <v>306</v>
      </c>
      <c r="AL9" s="535" t="s">
        <v>305</v>
      </c>
      <c r="AM9" s="536" t="s">
        <v>306</v>
      </c>
      <c r="AN9" s="535" t="s">
        <v>305</v>
      </c>
      <c r="AO9" s="536" t="s">
        <v>306</v>
      </c>
      <c r="AP9" s="535" t="s">
        <v>305</v>
      </c>
      <c r="AQ9" s="536" t="s">
        <v>306</v>
      </c>
      <c r="AR9" s="535" t="s">
        <v>305</v>
      </c>
      <c r="AS9" s="536" t="s">
        <v>306</v>
      </c>
      <c r="AT9" s="535" t="s">
        <v>305</v>
      </c>
      <c r="AU9" s="536" t="s">
        <v>306</v>
      </c>
      <c r="AV9" s="535" t="s">
        <v>305</v>
      </c>
      <c r="AW9" s="536" t="s">
        <v>306</v>
      </c>
      <c r="AX9" s="535" t="s">
        <v>305</v>
      </c>
      <c r="AY9" s="536" t="s">
        <v>306</v>
      </c>
      <c r="AZ9" s="535" t="s">
        <v>305</v>
      </c>
      <c r="BA9" s="536" t="s">
        <v>306</v>
      </c>
      <c r="BB9" s="537" t="s">
        <v>307</v>
      </c>
      <c r="BC9" s="500"/>
      <c r="BD9" s="529" t="s">
        <v>298</v>
      </c>
      <c r="BE9" s="530" t="s">
        <v>299</v>
      </c>
      <c r="BF9" s="531" t="s">
        <v>300</v>
      </c>
      <c r="BG9" s="531" t="s">
        <v>301</v>
      </c>
      <c r="BH9" s="532" t="s">
        <v>302</v>
      </c>
      <c r="BI9" s="533" t="s">
        <v>303</v>
      </c>
      <c r="BJ9" s="534" t="s">
        <v>304</v>
      </c>
      <c r="BK9" s="535" t="s">
        <v>305</v>
      </c>
      <c r="BL9" s="536" t="s">
        <v>306</v>
      </c>
      <c r="BM9" s="535" t="s">
        <v>305</v>
      </c>
      <c r="BN9" s="536" t="s">
        <v>306</v>
      </c>
      <c r="BO9" s="535" t="s">
        <v>305</v>
      </c>
      <c r="BP9" s="536" t="s">
        <v>306</v>
      </c>
      <c r="BQ9" s="535" t="s">
        <v>305</v>
      </c>
      <c r="BR9" s="536" t="s">
        <v>306</v>
      </c>
      <c r="BS9" s="535" t="s">
        <v>305</v>
      </c>
      <c r="BT9" s="536" t="s">
        <v>306</v>
      </c>
      <c r="BU9" s="535" t="s">
        <v>305</v>
      </c>
      <c r="BV9" s="536" t="s">
        <v>306</v>
      </c>
      <c r="BW9" s="535" t="s">
        <v>305</v>
      </c>
      <c r="BX9" s="536" t="s">
        <v>306</v>
      </c>
      <c r="BY9" s="535" t="s">
        <v>305</v>
      </c>
      <c r="BZ9" s="536" t="s">
        <v>306</v>
      </c>
      <c r="CA9" s="535" t="s">
        <v>305</v>
      </c>
      <c r="CB9" s="536" t="s">
        <v>306</v>
      </c>
      <c r="CC9" s="535" t="s">
        <v>305</v>
      </c>
      <c r="CD9" s="536" t="s">
        <v>306</v>
      </c>
      <c r="CE9" s="535" t="s">
        <v>305</v>
      </c>
      <c r="CF9" s="536" t="s">
        <v>306</v>
      </c>
      <c r="CG9" s="535" t="s">
        <v>305</v>
      </c>
      <c r="CH9" s="536" t="s">
        <v>306</v>
      </c>
      <c r="CI9" s="535" t="s">
        <v>305</v>
      </c>
      <c r="CJ9" s="536" t="s">
        <v>306</v>
      </c>
      <c r="CK9" s="535" t="s">
        <v>305</v>
      </c>
      <c r="CL9" s="536" t="s">
        <v>306</v>
      </c>
      <c r="CM9" s="535" t="s">
        <v>305</v>
      </c>
      <c r="CN9" s="536" t="s">
        <v>306</v>
      </c>
      <c r="CO9" s="535" t="s">
        <v>305</v>
      </c>
      <c r="CP9" s="536" t="s">
        <v>306</v>
      </c>
      <c r="CQ9" s="535" t="s">
        <v>305</v>
      </c>
      <c r="CR9" s="536" t="s">
        <v>306</v>
      </c>
      <c r="CS9" s="535" t="s">
        <v>305</v>
      </c>
      <c r="CT9" s="536" t="s">
        <v>306</v>
      </c>
      <c r="CU9" s="535" t="s">
        <v>305</v>
      </c>
      <c r="CV9" s="536" t="s">
        <v>306</v>
      </c>
      <c r="CW9" s="535" t="s">
        <v>305</v>
      </c>
      <c r="CX9" s="536" t="s">
        <v>306</v>
      </c>
      <c r="CY9" s="535" t="s">
        <v>305</v>
      </c>
      <c r="CZ9" s="536" t="s">
        <v>306</v>
      </c>
      <c r="DA9" s="535" t="s">
        <v>305</v>
      </c>
      <c r="DB9" s="536" t="s">
        <v>306</v>
      </c>
      <c r="DC9" s="535" t="s">
        <v>305</v>
      </c>
      <c r="DD9" s="536" t="s">
        <v>306</v>
      </c>
      <c r="DE9" s="537" t="s">
        <v>307</v>
      </c>
      <c r="DF9" s="500"/>
      <c r="DG9" s="529" t="s">
        <v>298</v>
      </c>
      <c r="DH9" s="530" t="s">
        <v>299</v>
      </c>
      <c r="DI9" s="531" t="s">
        <v>300</v>
      </c>
      <c r="DJ9" s="531" t="s">
        <v>301</v>
      </c>
      <c r="DK9" s="532" t="s">
        <v>302</v>
      </c>
      <c r="DL9" s="533" t="s">
        <v>303</v>
      </c>
      <c r="DM9" s="534" t="s">
        <v>304</v>
      </c>
      <c r="DN9" s="535" t="s">
        <v>305</v>
      </c>
      <c r="DO9" s="536" t="s">
        <v>306</v>
      </c>
      <c r="DP9" s="535" t="s">
        <v>305</v>
      </c>
      <c r="DQ9" s="536" t="s">
        <v>306</v>
      </c>
      <c r="DR9" s="535" t="s">
        <v>305</v>
      </c>
      <c r="DS9" s="536" t="s">
        <v>306</v>
      </c>
      <c r="DT9" s="535" t="s">
        <v>305</v>
      </c>
      <c r="DU9" s="536" t="s">
        <v>306</v>
      </c>
      <c r="DV9" s="535" t="s">
        <v>305</v>
      </c>
      <c r="DW9" s="536" t="s">
        <v>306</v>
      </c>
      <c r="DX9" s="535" t="s">
        <v>305</v>
      </c>
      <c r="DY9" s="536" t="s">
        <v>306</v>
      </c>
      <c r="DZ9" s="535" t="s">
        <v>305</v>
      </c>
      <c r="EA9" s="536" t="s">
        <v>306</v>
      </c>
      <c r="EB9" s="535" t="s">
        <v>305</v>
      </c>
      <c r="EC9" s="536" t="s">
        <v>306</v>
      </c>
      <c r="ED9" s="535" t="s">
        <v>305</v>
      </c>
      <c r="EE9" s="536" t="s">
        <v>306</v>
      </c>
      <c r="EF9" s="535" t="s">
        <v>305</v>
      </c>
      <c r="EG9" s="536" t="s">
        <v>306</v>
      </c>
      <c r="EH9" s="535" t="s">
        <v>305</v>
      </c>
      <c r="EI9" s="536" t="s">
        <v>306</v>
      </c>
      <c r="EJ9" s="535" t="s">
        <v>305</v>
      </c>
      <c r="EK9" s="536" t="s">
        <v>306</v>
      </c>
      <c r="EL9" s="535" t="s">
        <v>305</v>
      </c>
      <c r="EM9" s="536" t="s">
        <v>306</v>
      </c>
      <c r="EN9" s="535" t="s">
        <v>305</v>
      </c>
      <c r="EO9" s="536" t="s">
        <v>306</v>
      </c>
      <c r="EP9" s="535" t="s">
        <v>305</v>
      </c>
      <c r="EQ9" s="536" t="s">
        <v>306</v>
      </c>
      <c r="ER9" s="535" t="s">
        <v>305</v>
      </c>
      <c r="ES9" s="536" t="s">
        <v>306</v>
      </c>
      <c r="ET9" s="535" t="s">
        <v>305</v>
      </c>
      <c r="EU9" s="536" t="s">
        <v>306</v>
      </c>
      <c r="EV9" s="535" t="s">
        <v>305</v>
      </c>
      <c r="EW9" s="536" t="s">
        <v>306</v>
      </c>
      <c r="EX9" s="535" t="s">
        <v>305</v>
      </c>
      <c r="EY9" s="536" t="s">
        <v>306</v>
      </c>
      <c r="EZ9" s="535" t="s">
        <v>305</v>
      </c>
      <c r="FA9" s="536" t="s">
        <v>306</v>
      </c>
      <c r="FB9" s="535" t="s">
        <v>305</v>
      </c>
      <c r="FC9" s="536" t="s">
        <v>306</v>
      </c>
      <c r="FD9" s="535" t="s">
        <v>305</v>
      </c>
      <c r="FE9" s="536" t="s">
        <v>306</v>
      </c>
      <c r="FF9" s="535" t="s">
        <v>305</v>
      </c>
      <c r="FG9" s="536" t="s">
        <v>306</v>
      </c>
      <c r="FH9" s="537" t="s">
        <v>307</v>
      </c>
      <c r="FI9" s="538"/>
      <c r="FJ9" s="539" t="s">
        <v>298</v>
      </c>
      <c r="FK9" s="530" t="s">
        <v>299</v>
      </c>
      <c r="FL9" s="531" t="s">
        <v>300</v>
      </c>
      <c r="FM9" s="531" t="s">
        <v>301</v>
      </c>
      <c r="FN9" s="532" t="s">
        <v>302</v>
      </c>
      <c r="FO9" s="533" t="s">
        <v>303</v>
      </c>
      <c r="FP9" s="540" t="s">
        <v>45</v>
      </c>
      <c r="FQ9" s="541" t="s">
        <v>306</v>
      </c>
      <c r="FR9" s="535" t="s">
        <v>307</v>
      </c>
      <c r="FS9" s="542" t="s">
        <v>45</v>
      </c>
      <c r="FT9" s="541" t="s">
        <v>306</v>
      </c>
      <c r="FU9" s="535" t="s">
        <v>307</v>
      </c>
      <c r="FV9" s="522"/>
      <c r="FW9" s="523"/>
      <c r="FX9" s="523"/>
      <c r="FY9" s="523"/>
      <c r="FZ9" s="523"/>
      <c r="GA9" s="523"/>
      <c r="GB9" s="523"/>
      <c r="GC9" s="523"/>
      <c r="GD9" s="543"/>
      <c r="GE9" s="544"/>
      <c r="GF9" s="496"/>
      <c r="GG9" s="545"/>
      <c r="GH9" s="545"/>
      <c r="GI9" s="545"/>
      <c r="GJ9" s="526"/>
      <c r="GK9" s="527" t="s">
        <v>449</v>
      </c>
      <c r="GL9" s="526"/>
      <c r="GM9" s="527"/>
      <c r="GN9" s="526"/>
      <c r="GO9" s="546">
        <v>0.92</v>
      </c>
      <c r="GP9" s="526"/>
      <c r="GQ9" s="526"/>
      <c r="GR9" s="526"/>
      <c r="GS9" s="526"/>
      <c r="GT9" s="547"/>
      <c r="GU9" s="480" t="s">
        <v>549</v>
      </c>
      <c r="GV9" s="414"/>
      <c r="GW9" s="480"/>
      <c r="GX9" s="548">
        <v>1</v>
      </c>
      <c r="GY9" s="480"/>
      <c r="GZ9" s="483"/>
      <c r="HA9" s="527"/>
      <c r="HB9" s="527"/>
      <c r="HC9" s="527"/>
      <c r="HD9" s="438"/>
      <c r="HE9" s="438"/>
      <c r="HF9" s="1447"/>
      <c r="HG9" s="1447"/>
    </row>
    <row r="10" spans="1:353" ht="20.100000000000001" customHeight="1">
      <c r="A10" s="549"/>
      <c r="B10" s="550"/>
      <c r="C10" s="551"/>
      <c r="D10" s="552"/>
      <c r="E10" s="550"/>
      <c r="F10" s="551"/>
      <c r="G10" s="553"/>
      <c r="H10" s="554"/>
      <c r="I10" s="555"/>
      <c r="J10" s="556"/>
      <c r="K10" s="557"/>
      <c r="L10" s="556"/>
      <c r="M10" s="557"/>
      <c r="N10" s="556"/>
      <c r="O10" s="557"/>
      <c r="P10" s="556"/>
      <c r="Q10" s="557"/>
      <c r="R10" s="556"/>
      <c r="S10" s="557"/>
      <c r="T10" s="556"/>
      <c r="U10" s="557"/>
      <c r="V10" s="556"/>
      <c r="W10" s="557"/>
      <c r="X10" s="556"/>
      <c r="Y10" s="557"/>
      <c r="Z10" s="556"/>
      <c r="AA10" s="557"/>
      <c r="AB10" s="556"/>
      <c r="AC10" s="557"/>
      <c r="AD10" s="556"/>
      <c r="AE10" s="557"/>
      <c r="AF10" s="556"/>
      <c r="AG10" s="557"/>
      <c r="AH10" s="556"/>
      <c r="AI10" s="557"/>
      <c r="AJ10" s="556"/>
      <c r="AK10" s="557"/>
      <c r="AL10" s="556"/>
      <c r="AM10" s="557"/>
      <c r="AN10" s="556"/>
      <c r="AO10" s="557"/>
      <c r="AP10" s="556"/>
      <c r="AQ10" s="557"/>
      <c r="AR10" s="556"/>
      <c r="AS10" s="557"/>
      <c r="AT10" s="556"/>
      <c r="AU10" s="557"/>
      <c r="AV10" s="556"/>
      <c r="AW10" s="557"/>
      <c r="AX10" s="556"/>
      <c r="AY10" s="557"/>
      <c r="AZ10" s="556"/>
      <c r="BA10" s="557"/>
      <c r="BB10" s="558"/>
      <c r="BC10" s="559"/>
      <c r="BD10" s="549"/>
      <c r="BE10" s="550"/>
      <c r="BF10" s="551"/>
      <c r="BG10" s="552"/>
      <c r="BH10" s="550"/>
      <c r="BI10" s="551"/>
      <c r="BJ10" s="553"/>
      <c r="BK10" s="554"/>
      <c r="BL10" s="555"/>
      <c r="BM10" s="556"/>
      <c r="BN10" s="557"/>
      <c r="BO10" s="556"/>
      <c r="BP10" s="557"/>
      <c r="BQ10" s="556"/>
      <c r="BR10" s="557"/>
      <c r="BS10" s="556"/>
      <c r="BT10" s="557"/>
      <c r="BU10" s="556"/>
      <c r="BV10" s="557"/>
      <c r="BW10" s="556"/>
      <c r="BX10" s="557"/>
      <c r="BY10" s="556"/>
      <c r="BZ10" s="557"/>
      <c r="CA10" s="556"/>
      <c r="CB10" s="557"/>
      <c r="CC10" s="556"/>
      <c r="CD10" s="557"/>
      <c r="CE10" s="556"/>
      <c r="CF10" s="557"/>
      <c r="CG10" s="556"/>
      <c r="CH10" s="557"/>
      <c r="CI10" s="556"/>
      <c r="CJ10" s="557"/>
      <c r="CK10" s="556"/>
      <c r="CL10" s="557"/>
      <c r="CM10" s="556"/>
      <c r="CN10" s="557"/>
      <c r="CO10" s="556"/>
      <c r="CP10" s="557"/>
      <c r="CQ10" s="556"/>
      <c r="CR10" s="557"/>
      <c r="CS10" s="556"/>
      <c r="CT10" s="557"/>
      <c r="CU10" s="556"/>
      <c r="CV10" s="557"/>
      <c r="CW10" s="556"/>
      <c r="CX10" s="557"/>
      <c r="CY10" s="556"/>
      <c r="CZ10" s="557"/>
      <c r="DA10" s="556"/>
      <c r="DB10" s="557"/>
      <c r="DC10" s="556"/>
      <c r="DD10" s="557"/>
      <c r="DE10" s="558"/>
      <c r="DF10" s="559"/>
      <c r="DG10" s="549"/>
      <c r="DH10" s="550"/>
      <c r="DI10" s="551"/>
      <c r="DJ10" s="552"/>
      <c r="DK10" s="550"/>
      <c r="DL10" s="551"/>
      <c r="DM10" s="553"/>
      <c r="DN10" s="554"/>
      <c r="DO10" s="555"/>
      <c r="DP10" s="556"/>
      <c r="DQ10" s="557"/>
      <c r="DR10" s="556"/>
      <c r="DS10" s="557"/>
      <c r="DT10" s="556"/>
      <c r="DU10" s="557"/>
      <c r="DV10" s="556"/>
      <c r="DW10" s="557"/>
      <c r="DX10" s="556"/>
      <c r="DY10" s="557"/>
      <c r="DZ10" s="556"/>
      <c r="EA10" s="557"/>
      <c r="EB10" s="556"/>
      <c r="EC10" s="557"/>
      <c r="ED10" s="556"/>
      <c r="EE10" s="557"/>
      <c r="EF10" s="556"/>
      <c r="EG10" s="557"/>
      <c r="EH10" s="556"/>
      <c r="EI10" s="557"/>
      <c r="EJ10" s="556"/>
      <c r="EK10" s="557"/>
      <c r="EL10" s="556"/>
      <c r="EM10" s="557"/>
      <c r="EN10" s="556"/>
      <c r="EO10" s="557"/>
      <c r="EP10" s="556"/>
      <c r="EQ10" s="557"/>
      <c r="ER10" s="556"/>
      <c r="ES10" s="557"/>
      <c r="ET10" s="556"/>
      <c r="EU10" s="557"/>
      <c r="EV10" s="556"/>
      <c r="EW10" s="557"/>
      <c r="EX10" s="556"/>
      <c r="EY10" s="557"/>
      <c r="EZ10" s="556"/>
      <c r="FA10" s="557"/>
      <c r="FB10" s="556"/>
      <c r="FC10" s="557"/>
      <c r="FD10" s="556"/>
      <c r="FE10" s="557"/>
      <c r="FF10" s="556"/>
      <c r="FG10" s="557"/>
      <c r="FH10" s="558"/>
      <c r="FI10" s="560"/>
      <c r="FJ10" s="561"/>
      <c r="FK10" s="550"/>
      <c r="FL10" s="551"/>
      <c r="FM10" s="552"/>
      <c r="FN10" s="550"/>
      <c r="FO10" s="551"/>
      <c r="FP10" s="562"/>
      <c r="FQ10" s="555"/>
      <c r="FR10" s="554" t="s">
        <v>308</v>
      </c>
      <c r="FS10" s="563"/>
      <c r="FT10" s="555"/>
      <c r="FU10" s="564" t="s">
        <v>521</v>
      </c>
      <c r="FV10" s="565" t="s">
        <v>309</v>
      </c>
      <c r="FW10" s="1265"/>
      <c r="FX10" s="1266" t="s">
        <v>310</v>
      </c>
      <c r="FY10" s="1267"/>
      <c r="FZ10" s="1268" t="s">
        <v>311</v>
      </c>
      <c r="GA10" s="1269"/>
      <c r="GB10" s="1270" t="s">
        <v>537</v>
      </c>
      <c r="GC10" s="1271"/>
      <c r="GD10" s="573" t="s">
        <v>538</v>
      </c>
      <c r="GE10" s="574"/>
      <c r="GF10" s="496"/>
      <c r="GG10" s="545"/>
      <c r="GH10" s="545"/>
      <c r="GI10" s="545"/>
      <c r="GJ10" s="575"/>
      <c r="GK10" s="497"/>
      <c r="GL10" s="497"/>
      <c r="GM10" s="576"/>
      <c r="GN10" s="576"/>
      <c r="GO10" s="575"/>
      <c r="GP10" s="497"/>
      <c r="GQ10" s="497"/>
      <c r="GR10" s="497"/>
      <c r="GS10" s="497"/>
      <c r="GT10" s="497"/>
      <c r="GU10" s="497"/>
      <c r="GV10" s="497"/>
      <c r="GW10" s="576"/>
      <c r="GX10" s="576"/>
      <c r="GY10" s="576"/>
      <c r="GZ10" s="575"/>
      <c r="HA10" s="497"/>
      <c r="HB10" s="497"/>
      <c r="HC10" s="577"/>
      <c r="HD10" s="792"/>
      <c r="HE10" s="438"/>
      <c r="HF10" s="1447"/>
      <c r="HG10" s="1447"/>
    </row>
    <row r="11" spans="1:353" ht="20.100000000000001" customHeight="1">
      <c r="A11" s="549"/>
      <c r="B11" s="578"/>
      <c r="C11" s="579"/>
      <c r="D11" s="580"/>
      <c r="E11" s="578"/>
      <c r="F11" s="579"/>
      <c r="G11" s="581"/>
      <c r="H11" s="582"/>
      <c r="I11" s="583"/>
      <c r="J11" s="584"/>
      <c r="K11" s="585"/>
      <c r="L11" s="584"/>
      <c r="M11" s="585"/>
      <c r="N11" s="584"/>
      <c r="O11" s="585"/>
      <c r="P11" s="584"/>
      <c r="Q11" s="585"/>
      <c r="R11" s="584"/>
      <c r="S11" s="585"/>
      <c r="T11" s="584"/>
      <c r="U11" s="585"/>
      <c r="V11" s="584"/>
      <c r="W11" s="585"/>
      <c r="X11" s="584"/>
      <c r="Y11" s="585"/>
      <c r="Z11" s="584"/>
      <c r="AA11" s="585"/>
      <c r="AB11" s="584"/>
      <c r="AC11" s="585"/>
      <c r="AD11" s="584"/>
      <c r="AE11" s="585"/>
      <c r="AF11" s="584"/>
      <c r="AG11" s="585"/>
      <c r="AH11" s="584"/>
      <c r="AI11" s="585"/>
      <c r="AJ11" s="584"/>
      <c r="AK11" s="585"/>
      <c r="AL11" s="584"/>
      <c r="AM11" s="585"/>
      <c r="AN11" s="584"/>
      <c r="AO11" s="585"/>
      <c r="AP11" s="584"/>
      <c r="AQ11" s="585"/>
      <c r="AR11" s="584"/>
      <c r="AS11" s="585"/>
      <c r="AT11" s="584"/>
      <c r="AU11" s="585"/>
      <c r="AV11" s="584"/>
      <c r="AW11" s="585"/>
      <c r="AX11" s="584"/>
      <c r="AY11" s="585"/>
      <c r="AZ11" s="584"/>
      <c r="BA11" s="585"/>
      <c r="BB11" s="586"/>
      <c r="BC11" s="559"/>
      <c r="BD11" s="549"/>
      <c r="BE11" s="578"/>
      <c r="BF11" s="579"/>
      <c r="BG11" s="580"/>
      <c r="BH11" s="578"/>
      <c r="BI11" s="579"/>
      <c r="BJ11" s="581"/>
      <c r="BK11" s="582"/>
      <c r="BL11" s="583"/>
      <c r="BM11" s="584"/>
      <c r="BN11" s="585"/>
      <c r="BO11" s="584"/>
      <c r="BP11" s="585"/>
      <c r="BQ11" s="584"/>
      <c r="BR11" s="585"/>
      <c r="BS11" s="584"/>
      <c r="BT11" s="585"/>
      <c r="BU11" s="584"/>
      <c r="BV11" s="585"/>
      <c r="BW11" s="584"/>
      <c r="BX11" s="585"/>
      <c r="BY11" s="584"/>
      <c r="BZ11" s="585"/>
      <c r="CA11" s="584"/>
      <c r="CB11" s="585"/>
      <c r="CC11" s="584"/>
      <c r="CD11" s="585"/>
      <c r="CE11" s="584"/>
      <c r="CF11" s="585"/>
      <c r="CG11" s="584"/>
      <c r="CH11" s="585"/>
      <c r="CI11" s="584"/>
      <c r="CJ11" s="585"/>
      <c r="CK11" s="584"/>
      <c r="CL11" s="585"/>
      <c r="CM11" s="584"/>
      <c r="CN11" s="585"/>
      <c r="CO11" s="584"/>
      <c r="CP11" s="585"/>
      <c r="CQ11" s="584"/>
      <c r="CR11" s="585"/>
      <c r="CS11" s="584"/>
      <c r="CT11" s="585"/>
      <c r="CU11" s="584"/>
      <c r="CV11" s="585"/>
      <c r="CW11" s="584"/>
      <c r="CX11" s="585"/>
      <c r="CY11" s="584"/>
      <c r="CZ11" s="585"/>
      <c r="DA11" s="584"/>
      <c r="DB11" s="585"/>
      <c r="DC11" s="584"/>
      <c r="DD11" s="585"/>
      <c r="DE11" s="586"/>
      <c r="DF11" s="559"/>
      <c r="DG11" s="549"/>
      <c r="DH11" s="578"/>
      <c r="DI11" s="579"/>
      <c r="DJ11" s="580"/>
      <c r="DK11" s="578"/>
      <c r="DL11" s="579"/>
      <c r="DM11" s="581"/>
      <c r="DN11" s="582"/>
      <c r="DO11" s="583"/>
      <c r="DP11" s="584"/>
      <c r="DQ11" s="585"/>
      <c r="DR11" s="584"/>
      <c r="DS11" s="585"/>
      <c r="DT11" s="584"/>
      <c r="DU11" s="585"/>
      <c r="DV11" s="584"/>
      <c r="DW11" s="585"/>
      <c r="DX11" s="584"/>
      <c r="DY11" s="585"/>
      <c r="DZ11" s="584"/>
      <c r="EA11" s="585"/>
      <c r="EB11" s="584"/>
      <c r="EC11" s="585"/>
      <c r="ED11" s="584"/>
      <c r="EE11" s="585"/>
      <c r="EF11" s="584"/>
      <c r="EG11" s="585"/>
      <c r="EH11" s="584"/>
      <c r="EI11" s="585"/>
      <c r="EJ11" s="584"/>
      <c r="EK11" s="585"/>
      <c r="EL11" s="584"/>
      <c r="EM11" s="585"/>
      <c r="EN11" s="584"/>
      <c r="EO11" s="585"/>
      <c r="EP11" s="584"/>
      <c r="EQ11" s="585"/>
      <c r="ER11" s="584"/>
      <c r="ES11" s="585"/>
      <c r="ET11" s="584"/>
      <c r="EU11" s="585"/>
      <c r="EV11" s="584"/>
      <c r="EW11" s="585"/>
      <c r="EX11" s="584"/>
      <c r="EY11" s="585"/>
      <c r="EZ11" s="584"/>
      <c r="FA11" s="585"/>
      <c r="FB11" s="584"/>
      <c r="FC11" s="585"/>
      <c r="FD11" s="584"/>
      <c r="FE11" s="585"/>
      <c r="FF11" s="584"/>
      <c r="FG11" s="585"/>
      <c r="FH11" s="586"/>
      <c r="FI11" s="560"/>
      <c r="FJ11" s="561"/>
      <c r="FK11" s="578"/>
      <c r="FL11" s="579"/>
      <c r="FM11" s="580"/>
      <c r="FN11" s="578"/>
      <c r="FO11" s="579"/>
      <c r="FP11" s="587"/>
      <c r="FQ11" s="583"/>
      <c r="FR11" s="582" t="s">
        <v>521</v>
      </c>
      <c r="FS11" s="588"/>
      <c r="FT11" s="583"/>
      <c r="FU11" s="589" t="s">
        <v>521</v>
      </c>
      <c r="FV11" s="590"/>
      <c r="FW11" s="591"/>
      <c r="FX11" s="592"/>
      <c r="FY11" s="593"/>
      <c r="FZ11" s="594"/>
      <c r="GA11" s="595"/>
      <c r="GB11" s="596"/>
      <c r="GC11" s="597"/>
      <c r="GD11" s="596"/>
      <c r="GE11" s="598"/>
      <c r="GF11" s="496"/>
      <c r="GG11" s="599"/>
      <c r="GH11" s="599"/>
      <c r="GI11" s="599"/>
      <c r="GJ11" s="526"/>
      <c r="GK11" s="577" t="s">
        <v>451</v>
      </c>
      <c r="GL11" s="414"/>
      <c r="GM11" s="480"/>
      <c r="GN11" s="483"/>
      <c r="GO11" s="480"/>
      <c r="GP11" s="414"/>
      <c r="GQ11" s="526"/>
      <c r="GR11" s="526"/>
      <c r="GS11" s="526"/>
      <c r="GT11" s="545"/>
      <c r="GU11" s="577" t="s">
        <v>452</v>
      </c>
      <c r="GV11" s="414"/>
      <c r="GW11" s="480"/>
      <c r="GX11" s="483"/>
      <c r="GY11" s="480"/>
      <c r="GZ11" s="414"/>
      <c r="HA11" s="527"/>
      <c r="HB11" s="527"/>
      <c r="HC11" s="410"/>
      <c r="HD11" s="792"/>
      <c r="HE11" s="438"/>
      <c r="HF11" s="1447"/>
      <c r="HG11" s="1447"/>
    </row>
    <row r="12" spans="1:353" ht="20.100000000000001" customHeight="1">
      <c r="A12" s="549"/>
      <c r="B12" s="578"/>
      <c r="C12" s="579"/>
      <c r="D12" s="580"/>
      <c r="E12" s="578"/>
      <c r="F12" s="579"/>
      <c r="G12" s="581"/>
      <c r="H12" s="582"/>
      <c r="I12" s="583"/>
      <c r="J12" s="584"/>
      <c r="K12" s="585"/>
      <c r="L12" s="584"/>
      <c r="M12" s="585"/>
      <c r="N12" s="584"/>
      <c r="O12" s="585"/>
      <c r="P12" s="584"/>
      <c r="Q12" s="585"/>
      <c r="R12" s="584"/>
      <c r="S12" s="585"/>
      <c r="T12" s="584"/>
      <c r="U12" s="585"/>
      <c r="V12" s="584"/>
      <c r="W12" s="585"/>
      <c r="X12" s="584"/>
      <c r="Y12" s="585"/>
      <c r="Z12" s="584"/>
      <c r="AA12" s="585"/>
      <c r="AB12" s="584"/>
      <c r="AC12" s="585"/>
      <c r="AD12" s="584"/>
      <c r="AE12" s="585"/>
      <c r="AF12" s="584"/>
      <c r="AG12" s="585"/>
      <c r="AH12" s="584"/>
      <c r="AI12" s="585"/>
      <c r="AJ12" s="584"/>
      <c r="AK12" s="585"/>
      <c r="AL12" s="584"/>
      <c r="AM12" s="585"/>
      <c r="AN12" s="584"/>
      <c r="AO12" s="585"/>
      <c r="AP12" s="584"/>
      <c r="AQ12" s="585"/>
      <c r="AR12" s="584"/>
      <c r="AS12" s="585"/>
      <c r="AT12" s="584"/>
      <c r="AU12" s="585"/>
      <c r="AV12" s="584"/>
      <c r="AW12" s="585"/>
      <c r="AX12" s="584"/>
      <c r="AY12" s="585"/>
      <c r="AZ12" s="584"/>
      <c r="BA12" s="585"/>
      <c r="BB12" s="586"/>
      <c r="BC12" s="559"/>
      <c r="BD12" s="549"/>
      <c r="BE12" s="578"/>
      <c r="BF12" s="579"/>
      <c r="BG12" s="580"/>
      <c r="BH12" s="578"/>
      <c r="BI12" s="579"/>
      <c r="BJ12" s="581"/>
      <c r="BK12" s="582"/>
      <c r="BL12" s="583"/>
      <c r="BM12" s="584"/>
      <c r="BN12" s="585"/>
      <c r="BO12" s="584"/>
      <c r="BP12" s="585"/>
      <c r="BQ12" s="584"/>
      <c r="BR12" s="585"/>
      <c r="BS12" s="584"/>
      <c r="BT12" s="585"/>
      <c r="BU12" s="584"/>
      <c r="BV12" s="585"/>
      <c r="BW12" s="584"/>
      <c r="BX12" s="585"/>
      <c r="BY12" s="584"/>
      <c r="BZ12" s="585"/>
      <c r="CA12" s="584"/>
      <c r="CB12" s="585"/>
      <c r="CC12" s="584"/>
      <c r="CD12" s="585"/>
      <c r="CE12" s="584"/>
      <c r="CF12" s="585"/>
      <c r="CG12" s="584"/>
      <c r="CH12" s="585"/>
      <c r="CI12" s="584"/>
      <c r="CJ12" s="585"/>
      <c r="CK12" s="584"/>
      <c r="CL12" s="585"/>
      <c r="CM12" s="584"/>
      <c r="CN12" s="585"/>
      <c r="CO12" s="584"/>
      <c r="CP12" s="585"/>
      <c r="CQ12" s="584"/>
      <c r="CR12" s="585"/>
      <c r="CS12" s="584"/>
      <c r="CT12" s="585"/>
      <c r="CU12" s="584"/>
      <c r="CV12" s="585"/>
      <c r="CW12" s="584"/>
      <c r="CX12" s="585"/>
      <c r="CY12" s="584"/>
      <c r="CZ12" s="585"/>
      <c r="DA12" s="584"/>
      <c r="DB12" s="585"/>
      <c r="DC12" s="584"/>
      <c r="DD12" s="585"/>
      <c r="DE12" s="586"/>
      <c r="DF12" s="559"/>
      <c r="DG12" s="549"/>
      <c r="DH12" s="578"/>
      <c r="DI12" s="579"/>
      <c r="DJ12" s="580"/>
      <c r="DK12" s="578"/>
      <c r="DL12" s="579"/>
      <c r="DM12" s="581"/>
      <c r="DN12" s="582"/>
      <c r="DO12" s="583"/>
      <c r="DP12" s="584"/>
      <c r="DQ12" s="585"/>
      <c r="DR12" s="584"/>
      <c r="DS12" s="585"/>
      <c r="DT12" s="584"/>
      <c r="DU12" s="585"/>
      <c r="DV12" s="584"/>
      <c r="DW12" s="585"/>
      <c r="DX12" s="584"/>
      <c r="DY12" s="585"/>
      <c r="DZ12" s="584"/>
      <c r="EA12" s="585"/>
      <c r="EB12" s="584"/>
      <c r="EC12" s="585"/>
      <c r="ED12" s="584"/>
      <c r="EE12" s="585"/>
      <c r="EF12" s="584"/>
      <c r="EG12" s="585"/>
      <c r="EH12" s="584"/>
      <c r="EI12" s="585"/>
      <c r="EJ12" s="584"/>
      <c r="EK12" s="585"/>
      <c r="EL12" s="584"/>
      <c r="EM12" s="585"/>
      <c r="EN12" s="584"/>
      <c r="EO12" s="585"/>
      <c r="EP12" s="584"/>
      <c r="EQ12" s="585"/>
      <c r="ER12" s="584"/>
      <c r="ES12" s="585"/>
      <c r="ET12" s="584"/>
      <c r="EU12" s="585"/>
      <c r="EV12" s="584"/>
      <c r="EW12" s="585"/>
      <c r="EX12" s="584"/>
      <c r="EY12" s="585"/>
      <c r="EZ12" s="584"/>
      <c r="FA12" s="585"/>
      <c r="FB12" s="584"/>
      <c r="FC12" s="585"/>
      <c r="FD12" s="584"/>
      <c r="FE12" s="585"/>
      <c r="FF12" s="584"/>
      <c r="FG12" s="585"/>
      <c r="FH12" s="586"/>
      <c r="FI12" s="560"/>
      <c r="FJ12" s="561"/>
      <c r="FK12" s="578"/>
      <c r="FL12" s="579"/>
      <c r="FM12" s="580"/>
      <c r="FN12" s="578"/>
      <c r="FO12" s="579"/>
      <c r="FP12" s="587"/>
      <c r="FQ12" s="583"/>
      <c r="FR12" s="582" t="s">
        <v>521</v>
      </c>
      <c r="FS12" s="588"/>
      <c r="FT12" s="583"/>
      <c r="FU12" s="589" t="s">
        <v>308</v>
      </c>
      <c r="FV12" s="590"/>
      <c r="FW12" s="591"/>
      <c r="FX12" s="592"/>
      <c r="FY12" s="593"/>
      <c r="FZ12" s="594"/>
      <c r="GA12" s="595"/>
      <c r="GB12" s="596"/>
      <c r="GC12" s="597"/>
      <c r="GD12" s="596"/>
      <c r="GE12" s="598"/>
      <c r="GF12" s="496"/>
      <c r="GG12" s="599"/>
      <c r="GH12" s="599"/>
      <c r="GI12" s="599"/>
      <c r="GJ12" s="414"/>
      <c r="GK12" s="600" t="s">
        <v>370</v>
      </c>
      <c r="GL12" s="601"/>
      <c r="GM12" s="602" t="s">
        <v>453</v>
      </c>
      <c r="GN12" s="603" t="s">
        <v>454</v>
      </c>
      <c r="GO12" s="604" t="s">
        <v>455</v>
      </c>
      <c r="GP12" s="605" t="s">
        <v>456</v>
      </c>
      <c r="GQ12" s="604" t="s">
        <v>457</v>
      </c>
      <c r="GR12" s="604" t="s">
        <v>458</v>
      </c>
      <c r="GS12" s="606"/>
      <c r="GT12" s="545"/>
      <c r="GU12" s="600" t="s">
        <v>370</v>
      </c>
      <c r="GV12" s="601"/>
      <c r="GW12" s="602" t="s">
        <v>453</v>
      </c>
      <c r="GX12" s="607" t="s">
        <v>459</v>
      </c>
      <c r="GY12" s="608"/>
      <c r="GZ12" s="609" t="s">
        <v>455</v>
      </c>
      <c r="HA12" s="610" t="s">
        <v>460</v>
      </c>
      <c r="HB12" s="611"/>
      <c r="HC12" s="612"/>
      <c r="HD12" s="792"/>
      <c r="HE12" s="438"/>
      <c r="HF12" s="1447"/>
      <c r="HG12" s="1447"/>
    </row>
    <row r="13" spans="1:353" ht="20.100000000000001" customHeight="1">
      <c r="A13" s="549"/>
      <c r="B13" s="613"/>
      <c r="C13" s="614"/>
      <c r="D13" s="615"/>
      <c r="E13" s="613"/>
      <c r="F13" s="614"/>
      <c r="G13" s="616"/>
      <c r="H13" s="617"/>
      <c r="I13" s="618"/>
      <c r="J13" s="619"/>
      <c r="K13" s="620"/>
      <c r="L13" s="619"/>
      <c r="M13" s="620"/>
      <c r="N13" s="619"/>
      <c r="O13" s="620"/>
      <c r="P13" s="619"/>
      <c r="Q13" s="620"/>
      <c r="R13" s="619"/>
      <c r="S13" s="620"/>
      <c r="T13" s="619"/>
      <c r="U13" s="620"/>
      <c r="V13" s="619"/>
      <c r="W13" s="620"/>
      <c r="X13" s="619"/>
      <c r="Y13" s="620"/>
      <c r="Z13" s="619"/>
      <c r="AA13" s="620"/>
      <c r="AB13" s="619"/>
      <c r="AC13" s="620"/>
      <c r="AD13" s="619"/>
      <c r="AE13" s="620"/>
      <c r="AF13" s="619"/>
      <c r="AG13" s="620"/>
      <c r="AH13" s="619"/>
      <c r="AI13" s="620"/>
      <c r="AJ13" s="619"/>
      <c r="AK13" s="620"/>
      <c r="AL13" s="619"/>
      <c r="AM13" s="620"/>
      <c r="AN13" s="619"/>
      <c r="AO13" s="620"/>
      <c r="AP13" s="619"/>
      <c r="AQ13" s="620"/>
      <c r="AR13" s="619"/>
      <c r="AS13" s="620"/>
      <c r="AT13" s="619"/>
      <c r="AU13" s="620"/>
      <c r="AV13" s="619"/>
      <c r="AW13" s="620"/>
      <c r="AX13" s="619"/>
      <c r="AY13" s="620"/>
      <c r="AZ13" s="619"/>
      <c r="BA13" s="620"/>
      <c r="BB13" s="621"/>
      <c r="BC13" s="559"/>
      <c r="BD13" s="549"/>
      <c r="BE13" s="613"/>
      <c r="BF13" s="614"/>
      <c r="BG13" s="615"/>
      <c r="BH13" s="613"/>
      <c r="BI13" s="614"/>
      <c r="BJ13" s="616"/>
      <c r="BK13" s="617"/>
      <c r="BL13" s="618"/>
      <c r="BM13" s="619"/>
      <c r="BN13" s="620"/>
      <c r="BO13" s="619"/>
      <c r="BP13" s="620"/>
      <c r="BQ13" s="619"/>
      <c r="BR13" s="620"/>
      <c r="BS13" s="619"/>
      <c r="BT13" s="620"/>
      <c r="BU13" s="619"/>
      <c r="BV13" s="620"/>
      <c r="BW13" s="619"/>
      <c r="BX13" s="620"/>
      <c r="BY13" s="619"/>
      <c r="BZ13" s="620"/>
      <c r="CA13" s="619"/>
      <c r="CB13" s="620"/>
      <c r="CC13" s="619"/>
      <c r="CD13" s="620"/>
      <c r="CE13" s="619"/>
      <c r="CF13" s="620"/>
      <c r="CG13" s="619"/>
      <c r="CH13" s="620"/>
      <c r="CI13" s="619"/>
      <c r="CJ13" s="620"/>
      <c r="CK13" s="619"/>
      <c r="CL13" s="620"/>
      <c r="CM13" s="619"/>
      <c r="CN13" s="620"/>
      <c r="CO13" s="619"/>
      <c r="CP13" s="620"/>
      <c r="CQ13" s="619"/>
      <c r="CR13" s="620"/>
      <c r="CS13" s="619"/>
      <c r="CT13" s="620"/>
      <c r="CU13" s="619"/>
      <c r="CV13" s="620"/>
      <c r="CW13" s="619"/>
      <c r="CX13" s="620"/>
      <c r="CY13" s="619"/>
      <c r="CZ13" s="620"/>
      <c r="DA13" s="619"/>
      <c r="DB13" s="620"/>
      <c r="DC13" s="619"/>
      <c r="DD13" s="620"/>
      <c r="DE13" s="621"/>
      <c r="DF13" s="559"/>
      <c r="DG13" s="549"/>
      <c r="DH13" s="613"/>
      <c r="DI13" s="614"/>
      <c r="DJ13" s="615"/>
      <c r="DK13" s="613"/>
      <c r="DL13" s="614"/>
      <c r="DM13" s="616"/>
      <c r="DN13" s="617"/>
      <c r="DO13" s="618"/>
      <c r="DP13" s="619"/>
      <c r="DQ13" s="620"/>
      <c r="DR13" s="619"/>
      <c r="DS13" s="620"/>
      <c r="DT13" s="619"/>
      <c r="DU13" s="620"/>
      <c r="DV13" s="619"/>
      <c r="DW13" s="620"/>
      <c r="DX13" s="619"/>
      <c r="DY13" s="620"/>
      <c r="DZ13" s="619"/>
      <c r="EA13" s="620"/>
      <c r="EB13" s="619"/>
      <c r="EC13" s="620"/>
      <c r="ED13" s="619"/>
      <c r="EE13" s="620"/>
      <c r="EF13" s="619"/>
      <c r="EG13" s="620"/>
      <c r="EH13" s="619"/>
      <c r="EI13" s="620"/>
      <c r="EJ13" s="619"/>
      <c r="EK13" s="620"/>
      <c r="EL13" s="619"/>
      <c r="EM13" s="620"/>
      <c r="EN13" s="619"/>
      <c r="EO13" s="620"/>
      <c r="EP13" s="619"/>
      <c r="EQ13" s="620"/>
      <c r="ER13" s="619"/>
      <c r="ES13" s="620"/>
      <c r="ET13" s="619"/>
      <c r="EU13" s="620"/>
      <c r="EV13" s="619"/>
      <c r="EW13" s="620"/>
      <c r="EX13" s="619"/>
      <c r="EY13" s="620"/>
      <c r="EZ13" s="619"/>
      <c r="FA13" s="620"/>
      <c r="FB13" s="619"/>
      <c r="FC13" s="620"/>
      <c r="FD13" s="619"/>
      <c r="FE13" s="620"/>
      <c r="FF13" s="619"/>
      <c r="FG13" s="620"/>
      <c r="FH13" s="621"/>
      <c r="FI13" s="560"/>
      <c r="FJ13" s="561"/>
      <c r="FK13" s="613"/>
      <c r="FL13" s="614"/>
      <c r="FM13" s="615"/>
      <c r="FN13" s="613"/>
      <c r="FO13" s="614"/>
      <c r="FP13" s="622"/>
      <c r="FQ13" s="618"/>
      <c r="FR13" s="617" t="s">
        <v>521</v>
      </c>
      <c r="FS13" s="623"/>
      <c r="FT13" s="618"/>
      <c r="FU13" s="624" t="s">
        <v>308</v>
      </c>
      <c r="FV13" s="590"/>
      <c r="FW13" s="591"/>
      <c r="FX13" s="592"/>
      <c r="FY13" s="593"/>
      <c r="FZ13" s="594"/>
      <c r="GA13" s="595"/>
      <c r="GB13" s="596"/>
      <c r="GC13" s="597"/>
      <c r="GD13" s="596"/>
      <c r="GE13" s="598"/>
      <c r="GF13" s="496"/>
      <c r="GG13" s="599"/>
      <c r="GH13" s="599"/>
      <c r="GI13" s="599"/>
      <c r="GJ13" s="414"/>
      <c r="GK13" s="625"/>
      <c r="GL13" s="626"/>
      <c r="GM13" s="627"/>
      <c r="GN13" s="628"/>
      <c r="GO13" s="629"/>
      <c r="GP13" s="629"/>
      <c r="GQ13" s="630">
        <v>0</v>
      </c>
      <c r="GR13" s="631">
        <v>0</v>
      </c>
      <c r="GS13" s="575"/>
      <c r="GT13" s="414"/>
      <c r="GU13" s="625"/>
      <c r="GV13" s="626"/>
      <c r="GW13" s="632"/>
      <c r="GX13" s="633"/>
      <c r="GY13" s="634"/>
      <c r="GZ13" s="635"/>
      <c r="HA13" s="636">
        <v>0</v>
      </c>
      <c r="HB13" s="637"/>
      <c r="HC13" s="527"/>
      <c r="HD13" s="792"/>
      <c r="HE13" s="438"/>
      <c r="HF13" s="387"/>
      <c r="HG13" s="387"/>
    </row>
    <row r="14" spans="1:353" ht="20.100000000000001" customHeight="1">
      <c r="A14" s="638"/>
      <c r="B14" s="639"/>
      <c r="C14" s="639"/>
      <c r="D14" s="640" t="s">
        <v>522</v>
      </c>
      <c r="E14" s="639"/>
      <c r="F14" s="639"/>
      <c r="G14" s="641"/>
      <c r="H14" s="642">
        <f>SUM(H10:H13)</f>
        <v>0</v>
      </c>
      <c r="I14" s="728"/>
      <c r="J14" s="642">
        <f>SUM(J10:J13)</f>
        <v>0</v>
      </c>
      <c r="K14" s="728"/>
      <c r="L14" s="642">
        <f>SUM(L10:L13)</f>
        <v>0</v>
      </c>
      <c r="M14" s="728"/>
      <c r="N14" s="642">
        <f>SUM(N10:N13)</f>
        <v>0</v>
      </c>
      <c r="O14" s="728"/>
      <c r="P14" s="642">
        <f>SUM(P10:P13)</f>
        <v>0</v>
      </c>
      <c r="Q14" s="728"/>
      <c r="R14" s="642">
        <f>SUM(R10:R13)</f>
        <v>0</v>
      </c>
      <c r="S14" s="728"/>
      <c r="T14" s="642">
        <f>SUM(T10:T13)</f>
        <v>0</v>
      </c>
      <c r="U14" s="728"/>
      <c r="V14" s="642">
        <f>SUM(V10:V13)</f>
        <v>0</v>
      </c>
      <c r="W14" s="728"/>
      <c r="X14" s="642">
        <f>SUM(X10:X13)</f>
        <v>0</v>
      </c>
      <c r="Y14" s="728"/>
      <c r="Z14" s="642">
        <f>SUM(Z10:Z13)</f>
        <v>0</v>
      </c>
      <c r="AA14" s="728"/>
      <c r="AB14" s="642">
        <f>SUM(AB10:AB13)</f>
        <v>0</v>
      </c>
      <c r="AC14" s="728"/>
      <c r="AD14" s="642">
        <f>SUM(AD10:AD13)</f>
        <v>0</v>
      </c>
      <c r="AE14" s="728"/>
      <c r="AF14" s="642">
        <f>SUM(AF10:AF13)</f>
        <v>0</v>
      </c>
      <c r="AG14" s="728"/>
      <c r="AH14" s="642">
        <f>SUM(AH10:AH13)</f>
        <v>0</v>
      </c>
      <c r="AI14" s="728"/>
      <c r="AJ14" s="642">
        <f>SUM(AJ10:AJ13)</f>
        <v>0</v>
      </c>
      <c r="AK14" s="728"/>
      <c r="AL14" s="642">
        <f>SUM(AL10:AL13)</f>
        <v>0</v>
      </c>
      <c r="AM14" s="728"/>
      <c r="AN14" s="642">
        <f>SUM(AN10:AN13)</f>
        <v>0</v>
      </c>
      <c r="AO14" s="728"/>
      <c r="AP14" s="642">
        <f>SUM(AP10:AP13)</f>
        <v>0</v>
      </c>
      <c r="AQ14" s="728"/>
      <c r="AR14" s="642">
        <f>SUM(AR10:AR13)</f>
        <v>0</v>
      </c>
      <c r="AS14" s="728"/>
      <c r="AT14" s="642">
        <f>SUM(AT10:AT13)</f>
        <v>0</v>
      </c>
      <c r="AU14" s="728"/>
      <c r="AV14" s="642">
        <f>SUM(AV10:AV13)</f>
        <v>0</v>
      </c>
      <c r="AW14" s="728"/>
      <c r="AX14" s="642">
        <f>SUM(AX10:AX13)</f>
        <v>0</v>
      </c>
      <c r="AY14" s="728"/>
      <c r="AZ14" s="642">
        <f>SUM(AZ10:AZ13)</f>
        <v>0</v>
      </c>
      <c r="BA14" s="728"/>
      <c r="BB14" s="644">
        <f>SUM(BB10:BB13)</f>
        <v>0</v>
      </c>
      <c r="BC14" s="645"/>
      <c r="BD14" s="638"/>
      <c r="BE14" s="639"/>
      <c r="BF14" s="639"/>
      <c r="BG14" s="640" t="s">
        <v>523</v>
      </c>
      <c r="BH14" s="639"/>
      <c r="BI14" s="639"/>
      <c r="BJ14" s="641"/>
      <c r="BK14" s="642">
        <f>SUM(BK10:BK13)</f>
        <v>0</v>
      </c>
      <c r="BL14" s="728"/>
      <c r="BM14" s="642">
        <f>SUM(BM10:BM13)</f>
        <v>0</v>
      </c>
      <c r="BN14" s="728"/>
      <c r="BO14" s="642">
        <f>SUM(BO10:BO13)</f>
        <v>0</v>
      </c>
      <c r="BP14" s="728"/>
      <c r="BQ14" s="642">
        <f>SUM(BQ10:BQ13)</f>
        <v>0</v>
      </c>
      <c r="BR14" s="728"/>
      <c r="BS14" s="642">
        <f>SUM(BS10:BS13)</f>
        <v>0</v>
      </c>
      <c r="BT14" s="728"/>
      <c r="BU14" s="642">
        <f>SUM(BU10:BU13)</f>
        <v>0</v>
      </c>
      <c r="BV14" s="728"/>
      <c r="BW14" s="642">
        <f>SUM(BW10:BW13)</f>
        <v>0</v>
      </c>
      <c r="BX14" s="728"/>
      <c r="BY14" s="642">
        <f>SUM(BY10:BY13)</f>
        <v>0</v>
      </c>
      <c r="BZ14" s="728"/>
      <c r="CA14" s="642">
        <f>SUM(CA10:CA13)</f>
        <v>0</v>
      </c>
      <c r="CB14" s="728"/>
      <c r="CC14" s="642">
        <f>SUM(CC10:CC13)</f>
        <v>0</v>
      </c>
      <c r="CD14" s="728"/>
      <c r="CE14" s="642">
        <f>SUM(CE10:CE13)</f>
        <v>0</v>
      </c>
      <c r="CF14" s="728"/>
      <c r="CG14" s="642">
        <f>SUM(CG10:CG13)</f>
        <v>0</v>
      </c>
      <c r="CH14" s="728"/>
      <c r="CI14" s="642">
        <f>SUM(CI10:CI13)</f>
        <v>0</v>
      </c>
      <c r="CJ14" s="728"/>
      <c r="CK14" s="642">
        <f>SUM(CK10:CK13)</f>
        <v>0</v>
      </c>
      <c r="CL14" s="728"/>
      <c r="CM14" s="642">
        <f>SUM(CM10:CM13)</f>
        <v>0</v>
      </c>
      <c r="CN14" s="728"/>
      <c r="CO14" s="642">
        <f>SUM(CO10:CO13)</f>
        <v>0</v>
      </c>
      <c r="CP14" s="728"/>
      <c r="CQ14" s="642">
        <f>SUM(CQ10:CQ13)</f>
        <v>0</v>
      </c>
      <c r="CR14" s="728"/>
      <c r="CS14" s="642">
        <f>SUM(CS10:CS13)</f>
        <v>0</v>
      </c>
      <c r="CT14" s="728"/>
      <c r="CU14" s="642">
        <f>SUM(CU10:CU13)</f>
        <v>0</v>
      </c>
      <c r="CV14" s="728"/>
      <c r="CW14" s="642">
        <f>SUM(CW10:CW13)</f>
        <v>0</v>
      </c>
      <c r="CX14" s="728"/>
      <c r="CY14" s="642">
        <f>SUM(CY10:CY13)</f>
        <v>0</v>
      </c>
      <c r="CZ14" s="728"/>
      <c r="DA14" s="642">
        <f>SUM(DA10:DA13)</f>
        <v>0</v>
      </c>
      <c r="DB14" s="728"/>
      <c r="DC14" s="642">
        <f>SUM(DC10:DC13)</f>
        <v>0</v>
      </c>
      <c r="DD14" s="728"/>
      <c r="DE14" s="644">
        <f>SUM(DE10:DE13)</f>
        <v>0</v>
      </c>
      <c r="DF14" s="645"/>
      <c r="DG14" s="638"/>
      <c r="DH14" s="639"/>
      <c r="DI14" s="639"/>
      <c r="DJ14" s="640" t="s">
        <v>522</v>
      </c>
      <c r="DK14" s="639"/>
      <c r="DL14" s="639"/>
      <c r="DM14" s="641"/>
      <c r="DN14" s="642">
        <f>SUM(DN10:DN13)</f>
        <v>0</v>
      </c>
      <c r="DO14" s="728"/>
      <c r="DP14" s="642">
        <f>SUM(DP10:DP13)</f>
        <v>0</v>
      </c>
      <c r="DQ14" s="728"/>
      <c r="DR14" s="642">
        <f>SUM(DR10:DR13)</f>
        <v>0</v>
      </c>
      <c r="DS14" s="728"/>
      <c r="DT14" s="642">
        <f>SUM(DT10:DT13)</f>
        <v>0</v>
      </c>
      <c r="DU14" s="728"/>
      <c r="DV14" s="642">
        <f>SUM(DV10:DV13)</f>
        <v>0</v>
      </c>
      <c r="DW14" s="728"/>
      <c r="DX14" s="642">
        <f>SUM(DX10:DX13)</f>
        <v>0</v>
      </c>
      <c r="DY14" s="728"/>
      <c r="DZ14" s="642">
        <f>SUM(DZ10:DZ13)</f>
        <v>0</v>
      </c>
      <c r="EA14" s="728"/>
      <c r="EB14" s="642">
        <f>SUM(EB10:EB13)</f>
        <v>0</v>
      </c>
      <c r="EC14" s="728"/>
      <c r="ED14" s="642">
        <f>SUM(ED10:ED13)</f>
        <v>0</v>
      </c>
      <c r="EE14" s="728"/>
      <c r="EF14" s="642">
        <f>SUM(EF10:EF13)</f>
        <v>0</v>
      </c>
      <c r="EG14" s="728"/>
      <c r="EH14" s="642">
        <f>SUM(EH10:EH13)</f>
        <v>0</v>
      </c>
      <c r="EI14" s="728"/>
      <c r="EJ14" s="642">
        <f>SUM(EJ10:EJ13)</f>
        <v>0</v>
      </c>
      <c r="EK14" s="728"/>
      <c r="EL14" s="642">
        <f>SUM(EL10:EL13)</f>
        <v>0</v>
      </c>
      <c r="EM14" s="728"/>
      <c r="EN14" s="642">
        <f>SUM(EN10:EN13)</f>
        <v>0</v>
      </c>
      <c r="EO14" s="728"/>
      <c r="EP14" s="642">
        <f>SUM(EP10:EP13)</f>
        <v>0</v>
      </c>
      <c r="EQ14" s="728"/>
      <c r="ER14" s="642">
        <f>SUM(ER10:ER13)</f>
        <v>0</v>
      </c>
      <c r="ES14" s="728"/>
      <c r="ET14" s="642">
        <f>SUM(ET10:ET13)</f>
        <v>0</v>
      </c>
      <c r="EU14" s="728"/>
      <c r="EV14" s="642">
        <f>SUM(EV10:EV13)</f>
        <v>0</v>
      </c>
      <c r="EW14" s="728"/>
      <c r="EX14" s="642">
        <f>SUM(EX10:EX13)</f>
        <v>0</v>
      </c>
      <c r="EY14" s="728"/>
      <c r="EZ14" s="642">
        <f>SUM(EZ10:EZ13)</f>
        <v>0</v>
      </c>
      <c r="FA14" s="728"/>
      <c r="FB14" s="642">
        <f>SUM(FB10:FB13)</f>
        <v>0</v>
      </c>
      <c r="FC14" s="728"/>
      <c r="FD14" s="642">
        <f>SUM(FD10:FD13)</f>
        <v>0</v>
      </c>
      <c r="FE14" s="728"/>
      <c r="FF14" s="642">
        <f>SUM(FF10:FF13)</f>
        <v>0</v>
      </c>
      <c r="FG14" s="728"/>
      <c r="FH14" s="644">
        <f>SUM(FH10:FH13)</f>
        <v>0</v>
      </c>
      <c r="FI14" s="646"/>
      <c r="FJ14" s="561"/>
      <c r="FK14" s="639"/>
      <c r="FL14" s="639"/>
      <c r="FM14" s="640" t="s">
        <v>523</v>
      </c>
      <c r="FN14" s="639"/>
      <c r="FO14" s="639"/>
      <c r="FP14" s="647"/>
      <c r="FQ14" s="648"/>
      <c r="FR14" s="642">
        <f>SUM(FR10:FR13)</f>
        <v>0</v>
      </c>
      <c r="FS14" s="649"/>
      <c r="FT14" s="648"/>
      <c r="FU14" s="650">
        <f>SUM(FU10:FU13)</f>
        <v>0</v>
      </c>
      <c r="FV14" s="590"/>
      <c r="FW14" s="591"/>
      <c r="FX14" s="592"/>
      <c r="FY14" s="593"/>
      <c r="FZ14" s="594"/>
      <c r="GA14" s="595"/>
      <c r="GB14" s="596"/>
      <c r="GC14" s="597"/>
      <c r="GD14" s="596"/>
      <c r="GE14" s="598"/>
      <c r="GF14" s="651"/>
      <c r="GG14" s="652"/>
      <c r="GH14" s="652"/>
      <c r="GI14" s="652"/>
      <c r="GJ14" s="612"/>
      <c r="GK14" s="625"/>
      <c r="GL14" s="626"/>
      <c r="GM14" s="627"/>
      <c r="GN14" s="628"/>
      <c r="GO14" s="629"/>
      <c r="GP14" s="653"/>
      <c r="GQ14" s="630">
        <v>0</v>
      </c>
      <c r="GR14" s="631">
        <v>0</v>
      </c>
      <c r="GS14" s="612"/>
      <c r="GT14" s="654"/>
      <c r="GU14" s="625"/>
      <c r="GV14" s="626"/>
      <c r="GW14" s="632"/>
      <c r="GX14" s="633"/>
      <c r="GY14" s="634"/>
      <c r="GZ14" s="635"/>
      <c r="HA14" s="636">
        <v>0</v>
      </c>
      <c r="HB14" s="637"/>
      <c r="HC14" s="527"/>
      <c r="HD14" s="1446"/>
      <c r="HE14" s="416"/>
      <c r="HF14" s="416"/>
      <c r="HG14" s="416"/>
    </row>
    <row r="15" spans="1:353" ht="24" customHeight="1">
      <c r="A15" s="529" t="s">
        <v>314</v>
      </c>
      <c r="B15" s="655" t="s">
        <v>299</v>
      </c>
      <c r="C15" s="656" t="s">
        <v>300</v>
      </c>
      <c r="D15" s="657" t="s">
        <v>524</v>
      </c>
      <c r="E15" s="657" t="s">
        <v>315</v>
      </c>
      <c r="F15" s="658" t="s">
        <v>112</v>
      </c>
      <c r="G15" s="659" t="s">
        <v>525</v>
      </c>
      <c r="H15" s="660" t="s">
        <v>526</v>
      </c>
      <c r="I15" s="661" t="s">
        <v>318</v>
      </c>
      <c r="J15" s="660" t="s">
        <v>527</v>
      </c>
      <c r="K15" s="661" t="s">
        <v>318</v>
      </c>
      <c r="L15" s="660" t="s">
        <v>528</v>
      </c>
      <c r="M15" s="661" t="s">
        <v>318</v>
      </c>
      <c r="N15" s="660" t="s">
        <v>317</v>
      </c>
      <c r="O15" s="661" t="s">
        <v>318</v>
      </c>
      <c r="P15" s="660" t="s">
        <v>528</v>
      </c>
      <c r="Q15" s="661" t="s">
        <v>318</v>
      </c>
      <c r="R15" s="660" t="s">
        <v>528</v>
      </c>
      <c r="S15" s="661" t="s">
        <v>318</v>
      </c>
      <c r="T15" s="660" t="s">
        <v>317</v>
      </c>
      <c r="U15" s="661" t="s">
        <v>318</v>
      </c>
      <c r="V15" s="660" t="s">
        <v>527</v>
      </c>
      <c r="W15" s="661" t="s">
        <v>318</v>
      </c>
      <c r="X15" s="660" t="s">
        <v>528</v>
      </c>
      <c r="Y15" s="661" t="s">
        <v>318</v>
      </c>
      <c r="Z15" s="660" t="s">
        <v>526</v>
      </c>
      <c r="AA15" s="661" t="s">
        <v>318</v>
      </c>
      <c r="AB15" s="660" t="s">
        <v>527</v>
      </c>
      <c r="AC15" s="661" t="s">
        <v>318</v>
      </c>
      <c r="AD15" s="660" t="s">
        <v>528</v>
      </c>
      <c r="AE15" s="661" t="s">
        <v>318</v>
      </c>
      <c r="AF15" s="660" t="s">
        <v>527</v>
      </c>
      <c r="AG15" s="661" t="s">
        <v>318</v>
      </c>
      <c r="AH15" s="660" t="s">
        <v>527</v>
      </c>
      <c r="AI15" s="661" t="s">
        <v>318</v>
      </c>
      <c r="AJ15" s="660" t="s">
        <v>317</v>
      </c>
      <c r="AK15" s="661" t="s">
        <v>318</v>
      </c>
      <c r="AL15" s="660" t="s">
        <v>528</v>
      </c>
      <c r="AM15" s="661" t="s">
        <v>318</v>
      </c>
      <c r="AN15" s="660" t="s">
        <v>527</v>
      </c>
      <c r="AO15" s="661" t="s">
        <v>318</v>
      </c>
      <c r="AP15" s="660" t="s">
        <v>527</v>
      </c>
      <c r="AQ15" s="661" t="s">
        <v>318</v>
      </c>
      <c r="AR15" s="660" t="s">
        <v>317</v>
      </c>
      <c r="AS15" s="661" t="s">
        <v>318</v>
      </c>
      <c r="AT15" s="660" t="s">
        <v>527</v>
      </c>
      <c r="AU15" s="661" t="s">
        <v>318</v>
      </c>
      <c r="AV15" s="660" t="s">
        <v>317</v>
      </c>
      <c r="AW15" s="661" t="s">
        <v>318</v>
      </c>
      <c r="AX15" s="660" t="s">
        <v>526</v>
      </c>
      <c r="AY15" s="661" t="s">
        <v>318</v>
      </c>
      <c r="AZ15" s="660" t="s">
        <v>317</v>
      </c>
      <c r="BA15" s="661" t="s">
        <v>318</v>
      </c>
      <c r="BB15" s="662" t="s">
        <v>319</v>
      </c>
      <c r="BC15" s="663"/>
      <c r="BD15" s="529" t="s">
        <v>314</v>
      </c>
      <c r="BE15" s="655" t="s">
        <v>299</v>
      </c>
      <c r="BF15" s="656" t="s">
        <v>300</v>
      </c>
      <c r="BG15" s="657" t="s">
        <v>301</v>
      </c>
      <c r="BH15" s="657" t="s">
        <v>315</v>
      </c>
      <c r="BI15" s="658" t="s">
        <v>112</v>
      </c>
      <c r="BJ15" s="659" t="s">
        <v>525</v>
      </c>
      <c r="BK15" s="660" t="s">
        <v>527</v>
      </c>
      <c r="BL15" s="661" t="s">
        <v>318</v>
      </c>
      <c r="BM15" s="660" t="s">
        <v>526</v>
      </c>
      <c r="BN15" s="661" t="s">
        <v>318</v>
      </c>
      <c r="BO15" s="660" t="s">
        <v>528</v>
      </c>
      <c r="BP15" s="661" t="s">
        <v>318</v>
      </c>
      <c r="BQ15" s="660" t="s">
        <v>526</v>
      </c>
      <c r="BR15" s="661" t="s">
        <v>318</v>
      </c>
      <c r="BS15" s="660" t="s">
        <v>526</v>
      </c>
      <c r="BT15" s="661" t="s">
        <v>318</v>
      </c>
      <c r="BU15" s="660" t="s">
        <v>528</v>
      </c>
      <c r="BV15" s="661" t="s">
        <v>318</v>
      </c>
      <c r="BW15" s="660" t="s">
        <v>528</v>
      </c>
      <c r="BX15" s="661" t="s">
        <v>318</v>
      </c>
      <c r="BY15" s="660" t="s">
        <v>527</v>
      </c>
      <c r="BZ15" s="661" t="s">
        <v>318</v>
      </c>
      <c r="CA15" s="660" t="s">
        <v>527</v>
      </c>
      <c r="CB15" s="661" t="s">
        <v>318</v>
      </c>
      <c r="CC15" s="660" t="s">
        <v>527</v>
      </c>
      <c r="CD15" s="661" t="s">
        <v>318</v>
      </c>
      <c r="CE15" s="660" t="s">
        <v>527</v>
      </c>
      <c r="CF15" s="661" t="s">
        <v>318</v>
      </c>
      <c r="CG15" s="660" t="s">
        <v>527</v>
      </c>
      <c r="CH15" s="661" t="s">
        <v>318</v>
      </c>
      <c r="CI15" s="660" t="s">
        <v>317</v>
      </c>
      <c r="CJ15" s="661" t="s">
        <v>318</v>
      </c>
      <c r="CK15" s="660" t="s">
        <v>317</v>
      </c>
      <c r="CL15" s="661" t="s">
        <v>318</v>
      </c>
      <c r="CM15" s="660" t="s">
        <v>317</v>
      </c>
      <c r="CN15" s="661" t="s">
        <v>318</v>
      </c>
      <c r="CO15" s="660" t="s">
        <v>527</v>
      </c>
      <c r="CP15" s="661" t="s">
        <v>318</v>
      </c>
      <c r="CQ15" s="660" t="s">
        <v>317</v>
      </c>
      <c r="CR15" s="661" t="s">
        <v>318</v>
      </c>
      <c r="CS15" s="660" t="s">
        <v>526</v>
      </c>
      <c r="CT15" s="661" t="s">
        <v>318</v>
      </c>
      <c r="CU15" s="660" t="s">
        <v>526</v>
      </c>
      <c r="CV15" s="661" t="s">
        <v>318</v>
      </c>
      <c r="CW15" s="660" t="s">
        <v>528</v>
      </c>
      <c r="CX15" s="661" t="s">
        <v>318</v>
      </c>
      <c r="CY15" s="660" t="s">
        <v>526</v>
      </c>
      <c r="CZ15" s="661" t="s">
        <v>318</v>
      </c>
      <c r="DA15" s="660" t="s">
        <v>528</v>
      </c>
      <c r="DB15" s="661" t="s">
        <v>318</v>
      </c>
      <c r="DC15" s="660" t="s">
        <v>526</v>
      </c>
      <c r="DD15" s="661" t="s">
        <v>318</v>
      </c>
      <c r="DE15" s="662" t="s">
        <v>319</v>
      </c>
      <c r="DF15" s="663"/>
      <c r="DG15" s="529" t="s">
        <v>314</v>
      </c>
      <c r="DH15" s="655" t="s">
        <v>299</v>
      </c>
      <c r="DI15" s="656" t="s">
        <v>300</v>
      </c>
      <c r="DJ15" s="657" t="s">
        <v>301</v>
      </c>
      <c r="DK15" s="657" t="s">
        <v>315</v>
      </c>
      <c r="DL15" s="658" t="s">
        <v>112</v>
      </c>
      <c r="DM15" s="659" t="s">
        <v>529</v>
      </c>
      <c r="DN15" s="660" t="s">
        <v>527</v>
      </c>
      <c r="DO15" s="661" t="s">
        <v>318</v>
      </c>
      <c r="DP15" s="660" t="s">
        <v>526</v>
      </c>
      <c r="DQ15" s="661" t="s">
        <v>318</v>
      </c>
      <c r="DR15" s="660" t="s">
        <v>527</v>
      </c>
      <c r="DS15" s="661" t="s">
        <v>318</v>
      </c>
      <c r="DT15" s="660" t="s">
        <v>528</v>
      </c>
      <c r="DU15" s="661" t="s">
        <v>318</v>
      </c>
      <c r="DV15" s="660" t="s">
        <v>528</v>
      </c>
      <c r="DW15" s="661" t="s">
        <v>318</v>
      </c>
      <c r="DX15" s="660" t="s">
        <v>526</v>
      </c>
      <c r="DY15" s="661" t="s">
        <v>318</v>
      </c>
      <c r="DZ15" s="660" t="s">
        <v>526</v>
      </c>
      <c r="EA15" s="661" t="s">
        <v>318</v>
      </c>
      <c r="EB15" s="660" t="s">
        <v>526</v>
      </c>
      <c r="EC15" s="661" t="s">
        <v>318</v>
      </c>
      <c r="ED15" s="660" t="s">
        <v>528</v>
      </c>
      <c r="EE15" s="661" t="s">
        <v>318</v>
      </c>
      <c r="EF15" s="660" t="s">
        <v>317</v>
      </c>
      <c r="EG15" s="661" t="s">
        <v>318</v>
      </c>
      <c r="EH15" s="660" t="s">
        <v>528</v>
      </c>
      <c r="EI15" s="661" t="s">
        <v>318</v>
      </c>
      <c r="EJ15" s="660" t="s">
        <v>528</v>
      </c>
      <c r="EK15" s="661" t="s">
        <v>318</v>
      </c>
      <c r="EL15" s="660" t="s">
        <v>317</v>
      </c>
      <c r="EM15" s="661" t="s">
        <v>318</v>
      </c>
      <c r="EN15" s="660" t="s">
        <v>526</v>
      </c>
      <c r="EO15" s="661" t="s">
        <v>318</v>
      </c>
      <c r="EP15" s="660" t="s">
        <v>526</v>
      </c>
      <c r="EQ15" s="661" t="s">
        <v>318</v>
      </c>
      <c r="ER15" s="660" t="s">
        <v>317</v>
      </c>
      <c r="ES15" s="661" t="s">
        <v>318</v>
      </c>
      <c r="ET15" s="660" t="s">
        <v>317</v>
      </c>
      <c r="EU15" s="661" t="s">
        <v>318</v>
      </c>
      <c r="EV15" s="660" t="s">
        <v>317</v>
      </c>
      <c r="EW15" s="661" t="s">
        <v>318</v>
      </c>
      <c r="EX15" s="660" t="s">
        <v>526</v>
      </c>
      <c r="EY15" s="661" t="s">
        <v>318</v>
      </c>
      <c r="EZ15" s="660" t="s">
        <v>527</v>
      </c>
      <c r="FA15" s="661" t="s">
        <v>318</v>
      </c>
      <c r="FB15" s="660" t="s">
        <v>317</v>
      </c>
      <c r="FC15" s="661" t="s">
        <v>318</v>
      </c>
      <c r="FD15" s="660" t="s">
        <v>528</v>
      </c>
      <c r="FE15" s="661" t="s">
        <v>318</v>
      </c>
      <c r="FF15" s="660" t="s">
        <v>528</v>
      </c>
      <c r="FG15" s="661" t="s">
        <v>318</v>
      </c>
      <c r="FH15" s="662" t="s">
        <v>319</v>
      </c>
      <c r="FI15" s="664"/>
      <c r="FJ15" s="539" t="s">
        <v>314</v>
      </c>
      <c r="FK15" s="655" t="s">
        <v>299</v>
      </c>
      <c r="FL15" s="656" t="s">
        <v>300</v>
      </c>
      <c r="FM15" s="657" t="s">
        <v>301</v>
      </c>
      <c r="FN15" s="657" t="s">
        <v>315</v>
      </c>
      <c r="FO15" s="658" t="s">
        <v>112</v>
      </c>
      <c r="FP15" s="665" t="s">
        <v>45</v>
      </c>
      <c r="FQ15" s="666" t="s">
        <v>318</v>
      </c>
      <c r="FR15" s="660" t="s">
        <v>319</v>
      </c>
      <c r="FS15" s="667" t="s">
        <v>45</v>
      </c>
      <c r="FT15" s="666" t="s">
        <v>318</v>
      </c>
      <c r="FU15" s="668" t="s">
        <v>319</v>
      </c>
      <c r="FV15" s="590"/>
      <c r="FW15" s="591"/>
      <c r="FX15" s="592"/>
      <c r="FY15" s="593"/>
      <c r="FZ15" s="594"/>
      <c r="GA15" s="595"/>
      <c r="GB15" s="596"/>
      <c r="GC15" s="597"/>
      <c r="GD15" s="596"/>
      <c r="GE15" s="598"/>
      <c r="GF15" s="669"/>
      <c r="GG15" s="670"/>
      <c r="GH15" s="670"/>
      <c r="GI15" s="670"/>
      <c r="GJ15" s="526"/>
      <c r="GK15" s="625"/>
      <c r="GL15" s="626"/>
      <c r="GM15" s="627"/>
      <c r="GN15" s="628"/>
      <c r="GO15" s="629"/>
      <c r="GP15" s="653"/>
      <c r="GQ15" s="630">
        <v>0</v>
      </c>
      <c r="GR15" s="631">
        <v>0</v>
      </c>
      <c r="GS15" s="526"/>
      <c r="GT15" s="670"/>
      <c r="GU15" s="625"/>
      <c r="GV15" s="626"/>
      <c r="GW15" s="632"/>
      <c r="GX15" s="633"/>
      <c r="GY15" s="634"/>
      <c r="GZ15" s="635"/>
      <c r="HA15" s="636">
        <v>0</v>
      </c>
      <c r="HB15" s="637"/>
      <c r="HC15" s="671"/>
      <c r="HD15" s="663"/>
      <c r="HE15" s="416"/>
      <c r="HF15" s="416"/>
      <c r="HG15" s="416"/>
    </row>
    <row r="16" spans="1:353" ht="20.100000000000001" customHeight="1">
      <c r="A16" s="549"/>
      <c r="B16" s="551" t="s">
        <v>258</v>
      </c>
      <c r="C16" s="672"/>
      <c r="D16" s="552">
        <v>20.72</v>
      </c>
      <c r="E16" s="673">
        <v>2.5</v>
      </c>
      <c r="F16" s="674"/>
      <c r="G16" s="675">
        <v>0</v>
      </c>
      <c r="H16" s="556">
        <f>ROUND(20.72*2.5*0,0)</f>
        <v>0</v>
      </c>
      <c r="I16" s="676">
        <v>0</v>
      </c>
      <c r="J16" s="556">
        <f>ROUND(20.72*2.5*0,0)</f>
        <v>0</v>
      </c>
      <c r="K16" s="676">
        <v>0</v>
      </c>
      <c r="L16" s="556">
        <f>ROUND(20.72*2.5*0,0)</f>
        <v>0</v>
      </c>
      <c r="M16" s="676">
        <v>0</v>
      </c>
      <c r="N16" s="556">
        <f>ROUND(20.72*2.5*0,0)</f>
        <v>0</v>
      </c>
      <c r="O16" s="676">
        <v>0</v>
      </c>
      <c r="P16" s="556">
        <f>ROUND(20.72*2.5*0,0)</f>
        <v>0</v>
      </c>
      <c r="Q16" s="676">
        <v>0</v>
      </c>
      <c r="R16" s="556">
        <f>ROUND(20.72*2.5*0,0)</f>
        <v>0</v>
      </c>
      <c r="S16" s="676">
        <v>0</v>
      </c>
      <c r="T16" s="556">
        <f>ROUND(20.72*2.5*0,0)</f>
        <v>0</v>
      </c>
      <c r="U16" s="676">
        <v>0</v>
      </c>
      <c r="V16" s="556">
        <f>ROUND(20.72*2.5*0,0)</f>
        <v>0</v>
      </c>
      <c r="W16" s="676">
        <v>1.6</v>
      </c>
      <c r="X16" s="556">
        <f>ROUND(20.72*2.5*1.6,0)</f>
        <v>83</v>
      </c>
      <c r="Y16" s="676">
        <v>2</v>
      </c>
      <c r="Z16" s="556">
        <f>ROUND(20.72*2.5*2,0)</f>
        <v>104</v>
      </c>
      <c r="AA16" s="676">
        <v>2.2000000000000002</v>
      </c>
      <c r="AB16" s="556">
        <f>ROUND(20.72*2.5*2.2,0)</f>
        <v>114</v>
      </c>
      <c r="AC16" s="676">
        <v>2.2999999999999998</v>
      </c>
      <c r="AD16" s="556">
        <f>ROUND(20.72*2.5*2.3,0)</f>
        <v>119</v>
      </c>
      <c r="AE16" s="676">
        <v>2.4</v>
      </c>
      <c r="AF16" s="556">
        <f>ROUND(20.72*2.5*2.4,0)</f>
        <v>124</v>
      </c>
      <c r="AG16" s="676">
        <v>2.4</v>
      </c>
      <c r="AH16" s="556">
        <f>ROUND(20.72*2.5*2.4,0)</f>
        <v>124</v>
      </c>
      <c r="AI16" s="676">
        <v>2.2000000000000002</v>
      </c>
      <c r="AJ16" s="556">
        <f>ROUND(20.72*2.5*2.2,0)</f>
        <v>114</v>
      </c>
      <c r="AK16" s="676">
        <v>2.1</v>
      </c>
      <c r="AL16" s="556">
        <f>ROUND(20.72*2.5*2.1,0)</f>
        <v>109</v>
      </c>
      <c r="AM16" s="676">
        <v>1.8</v>
      </c>
      <c r="AN16" s="556">
        <f>ROUND(20.72*2.5*1.8,0)</f>
        <v>93</v>
      </c>
      <c r="AO16" s="676">
        <v>1.6</v>
      </c>
      <c r="AP16" s="556">
        <f>ROUND(20.72*2.5*1.6,0)</f>
        <v>83</v>
      </c>
      <c r="AQ16" s="676">
        <v>0</v>
      </c>
      <c r="AR16" s="556">
        <f>ROUND(20.72*2.5*0,0)</f>
        <v>0</v>
      </c>
      <c r="AS16" s="676">
        <v>0</v>
      </c>
      <c r="AT16" s="556">
        <f>ROUND(20.72*2.5*0,0)</f>
        <v>0</v>
      </c>
      <c r="AU16" s="676">
        <v>0</v>
      </c>
      <c r="AV16" s="556">
        <f>ROUND(20.72*2.5*0,0)</f>
        <v>0</v>
      </c>
      <c r="AW16" s="676">
        <v>0</v>
      </c>
      <c r="AX16" s="556">
        <f>ROUND(20.72*2.5*0,0)</f>
        <v>0</v>
      </c>
      <c r="AY16" s="676">
        <v>0</v>
      </c>
      <c r="AZ16" s="556">
        <f>ROUND(20.72*2.5*0,0)</f>
        <v>0</v>
      </c>
      <c r="BA16" s="676">
        <v>0</v>
      </c>
      <c r="BB16" s="677">
        <f>ROUND(20.72*2.5*0,0)</f>
        <v>0</v>
      </c>
      <c r="BC16" s="559"/>
      <c r="BD16" s="549"/>
      <c r="BE16" s="551" t="s">
        <v>258</v>
      </c>
      <c r="BF16" s="672"/>
      <c r="BG16" s="552">
        <v>20.72</v>
      </c>
      <c r="BH16" s="673">
        <v>2.5</v>
      </c>
      <c r="BI16" s="674"/>
      <c r="BJ16" s="675">
        <v>0</v>
      </c>
      <c r="BK16" s="556">
        <f>ROUND(20.72*2.5*0,0)</f>
        <v>0</v>
      </c>
      <c r="BL16" s="676">
        <v>0</v>
      </c>
      <c r="BM16" s="556">
        <f>ROUND(20.72*2.5*0,0)</f>
        <v>0</v>
      </c>
      <c r="BN16" s="676">
        <v>0</v>
      </c>
      <c r="BO16" s="556">
        <f>ROUND(20.72*2.5*0,0)</f>
        <v>0</v>
      </c>
      <c r="BP16" s="676">
        <v>0</v>
      </c>
      <c r="BQ16" s="556">
        <f>ROUND(20.72*2.5*0,0)</f>
        <v>0</v>
      </c>
      <c r="BR16" s="676">
        <v>0</v>
      </c>
      <c r="BS16" s="556">
        <f>ROUND(20.72*2.5*0,0)</f>
        <v>0</v>
      </c>
      <c r="BT16" s="676">
        <v>0</v>
      </c>
      <c r="BU16" s="556">
        <f>ROUND(20.72*2.5*0,0)</f>
        <v>0</v>
      </c>
      <c r="BV16" s="676">
        <v>0</v>
      </c>
      <c r="BW16" s="556">
        <f>ROUND(20.72*2.5*0,0)</f>
        <v>0</v>
      </c>
      <c r="BX16" s="676">
        <v>0</v>
      </c>
      <c r="BY16" s="556">
        <f>ROUND(20.72*2.5*0,0)</f>
        <v>0</v>
      </c>
      <c r="BZ16" s="676">
        <v>1.5</v>
      </c>
      <c r="CA16" s="556">
        <f>ROUND(20.72*2.5*1.5,0)</f>
        <v>78</v>
      </c>
      <c r="CB16" s="676">
        <v>1.8</v>
      </c>
      <c r="CC16" s="556">
        <f>ROUND(20.72*2.5*1.8,0)</f>
        <v>93</v>
      </c>
      <c r="CD16" s="676">
        <v>2.1</v>
      </c>
      <c r="CE16" s="556">
        <f>ROUND(20.72*2.5*2.1,0)</f>
        <v>109</v>
      </c>
      <c r="CF16" s="676">
        <v>2.2000000000000002</v>
      </c>
      <c r="CG16" s="556">
        <f>ROUND(20.72*2.5*2.2,0)</f>
        <v>114</v>
      </c>
      <c r="CH16" s="676">
        <v>2.2999999999999998</v>
      </c>
      <c r="CI16" s="556">
        <f>ROUND(20.72*2.5*2.3,0)</f>
        <v>119</v>
      </c>
      <c r="CJ16" s="676">
        <v>2.2000000000000002</v>
      </c>
      <c r="CK16" s="556">
        <f>ROUND(20.72*2.5*2.2,0)</f>
        <v>114</v>
      </c>
      <c r="CL16" s="676">
        <v>2.1</v>
      </c>
      <c r="CM16" s="556">
        <f>ROUND(20.72*2.5*2.1,0)</f>
        <v>109</v>
      </c>
      <c r="CN16" s="676">
        <v>2</v>
      </c>
      <c r="CO16" s="556">
        <f>ROUND(20.72*2.5*2,0)</f>
        <v>104</v>
      </c>
      <c r="CP16" s="676">
        <v>1.8</v>
      </c>
      <c r="CQ16" s="556">
        <f>ROUND(20.72*2.5*1.8,0)</f>
        <v>93</v>
      </c>
      <c r="CR16" s="676">
        <v>1.5</v>
      </c>
      <c r="CS16" s="556">
        <f>ROUND(20.72*2.5*1.5,0)</f>
        <v>78</v>
      </c>
      <c r="CT16" s="676">
        <v>0</v>
      </c>
      <c r="CU16" s="556">
        <f>ROUND(20.72*2.5*0,0)</f>
        <v>0</v>
      </c>
      <c r="CV16" s="676">
        <v>0</v>
      </c>
      <c r="CW16" s="556">
        <f>ROUND(20.72*2.5*0,0)</f>
        <v>0</v>
      </c>
      <c r="CX16" s="676">
        <v>0</v>
      </c>
      <c r="CY16" s="556">
        <f>ROUND(20.72*2.5*0,0)</f>
        <v>0</v>
      </c>
      <c r="CZ16" s="676">
        <v>0</v>
      </c>
      <c r="DA16" s="556">
        <f>ROUND(20.72*2.5*0,0)</f>
        <v>0</v>
      </c>
      <c r="DB16" s="676">
        <v>0</v>
      </c>
      <c r="DC16" s="556">
        <f>ROUND(20.72*2.5*0,0)</f>
        <v>0</v>
      </c>
      <c r="DD16" s="676">
        <v>0</v>
      </c>
      <c r="DE16" s="677">
        <f>ROUND(20.72*2.5*0,0)</f>
        <v>0</v>
      </c>
      <c r="DF16" s="559"/>
      <c r="DG16" s="549"/>
      <c r="DH16" s="551" t="s">
        <v>258</v>
      </c>
      <c r="DI16" s="672"/>
      <c r="DJ16" s="552">
        <v>20.72</v>
      </c>
      <c r="DK16" s="673">
        <v>2.5</v>
      </c>
      <c r="DL16" s="674"/>
      <c r="DM16" s="675">
        <v>0</v>
      </c>
      <c r="DN16" s="556">
        <f>ROUND(20.72*2.5*0,0)</f>
        <v>0</v>
      </c>
      <c r="DO16" s="676">
        <v>0</v>
      </c>
      <c r="DP16" s="556">
        <f>ROUND(20.72*2.5*0,0)</f>
        <v>0</v>
      </c>
      <c r="DQ16" s="676">
        <v>0</v>
      </c>
      <c r="DR16" s="556">
        <f>ROUND(20.72*2.5*0,0)</f>
        <v>0</v>
      </c>
      <c r="DS16" s="676">
        <v>0</v>
      </c>
      <c r="DT16" s="556">
        <f>ROUND(20.72*2.5*0,0)</f>
        <v>0</v>
      </c>
      <c r="DU16" s="676">
        <v>0</v>
      </c>
      <c r="DV16" s="556">
        <f>ROUND(20.72*2.5*0,0)</f>
        <v>0</v>
      </c>
      <c r="DW16" s="676">
        <v>0</v>
      </c>
      <c r="DX16" s="556">
        <f>ROUND(20.72*2.5*0,0)</f>
        <v>0</v>
      </c>
      <c r="DY16" s="676">
        <v>0</v>
      </c>
      <c r="DZ16" s="556">
        <f>ROUND(20.72*2.5*0,0)</f>
        <v>0</v>
      </c>
      <c r="EA16" s="676">
        <v>0</v>
      </c>
      <c r="EB16" s="556">
        <f>ROUND(20.72*2.5*0,0)</f>
        <v>0</v>
      </c>
      <c r="EC16" s="676">
        <v>0.8</v>
      </c>
      <c r="ED16" s="556">
        <f>ROUND(20.72*2.5*0.8,0)</f>
        <v>41</v>
      </c>
      <c r="EE16" s="676">
        <v>1.2</v>
      </c>
      <c r="EF16" s="556">
        <f>ROUND(20.72*2.5*1.2,0)</f>
        <v>62</v>
      </c>
      <c r="EG16" s="676">
        <v>1.5</v>
      </c>
      <c r="EH16" s="556">
        <f>ROUND(20.72*2.5*1.5,0)</f>
        <v>78</v>
      </c>
      <c r="EI16" s="676">
        <v>1.7</v>
      </c>
      <c r="EJ16" s="556">
        <f>ROUND(20.72*2.5*1.7,0)</f>
        <v>88</v>
      </c>
      <c r="EK16" s="676">
        <v>1.7</v>
      </c>
      <c r="EL16" s="556">
        <f>ROUND(20.72*2.5*1.7,0)</f>
        <v>88</v>
      </c>
      <c r="EM16" s="676">
        <v>1.6</v>
      </c>
      <c r="EN16" s="556">
        <f>ROUND(20.72*2.5*1.6,0)</f>
        <v>83</v>
      </c>
      <c r="EO16" s="676">
        <v>1.5</v>
      </c>
      <c r="EP16" s="556">
        <f>ROUND(20.72*2.5*1.5,0)</f>
        <v>78</v>
      </c>
      <c r="EQ16" s="676">
        <v>1.4</v>
      </c>
      <c r="ER16" s="556">
        <f>ROUND(20.72*2.5*1.4,0)</f>
        <v>73</v>
      </c>
      <c r="ES16" s="676">
        <v>1.1000000000000001</v>
      </c>
      <c r="ET16" s="556">
        <f>ROUND(20.72*2.5*1.1,0)</f>
        <v>57</v>
      </c>
      <c r="EU16" s="676">
        <v>0.8</v>
      </c>
      <c r="EV16" s="556">
        <f>ROUND(20.72*2.5*0.8,0)</f>
        <v>41</v>
      </c>
      <c r="EW16" s="676">
        <v>0</v>
      </c>
      <c r="EX16" s="556">
        <f>ROUND(20.72*2.5*0,0)</f>
        <v>0</v>
      </c>
      <c r="EY16" s="676">
        <v>0</v>
      </c>
      <c r="EZ16" s="556">
        <f>ROUND(20.72*2.5*0,0)</f>
        <v>0</v>
      </c>
      <c r="FA16" s="676">
        <v>0</v>
      </c>
      <c r="FB16" s="556">
        <f>ROUND(20.72*2.5*0,0)</f>
        <v>0</v>
      </c>
      <c r="FC16" s="676">
        <v>0</v>
      </c>
      <c r="FD16" s="556">
        <f>ROUND(20.72*2.5*0,0)</f>
        <v>0</v>
      </c>
      <c r="FE16" s="676">
        <v>0</v>
      </c>
      <c r="FF16" s="556">
        <f>ROUND(20.72*2.5*0,0)</f>
        <v>0</v>
      </c>
      <c r="FG16" s="676">
        <v>0</v>
      </c>
      <c r="FH16" s="677">
        <f>ROUND(20.72*2.5*0,0)</f>
        <v>0</v>
      </c>
      <c r="FI16" s="560"/>
      <c r="FJ16" s="561"/>
      <c r="FK16" s="551" t="s">
        <v>258</v>
      </c>
      <c r="FL16" s="672"/>
      <c r="FM16" s="552">
        <v>20.72</v>
      </c>
      <c r="FN16" s="673">
        <v>2.5</v>
      </c>
      <c r="FO16" s="674"/>
      <c r="FP16" s="678">
        <v>9</v>
      </c>
      <c r="FQ16" s="679">
        <v>6</v>
      </c>
      <c r="FR16" s="556">
        <f>ROUND(20.72*2.5*6,0)</f>
        <v>311</v>
      </c>
      <c r="FS16" s="680">
        <v>9</v>
      </c>
      <c r="FT16" s="679">
        <v>6.1</v>
      </c>
      <c r="FU16" s="564">
        <f>ROUND(20.72*2.5*6.1,0)</f>
        <v>316</v>
      </c>
      <c r="FV16" s="590"/>
      <c r="FW16" s="591"/>
      <c r="FX16" s="592"/>
      <c r="FY16" s="593"/>
      <c r="FZ16" s="594"/>
      <c r="GA16" s="595"/>
      <c r="GB16" s="596"/>
      <c r="GC16" s="597"/>
      <c r="GD16" s="596"/>
      <c r="GE16" s="598"/>
      <c r="GF16" s="681"/>
      <c r="GG16" s="670"/>
      <c r="GH16" s="670"/>
      <c r="GI16" s="670"/>
      <c r="GJ16" s="414"/>
      <c r="GK16" s="625"/>
      <c r="GL16" s="626"/>
      <c r="GM16" s="627"/>
      <c r="GN16" s="628"/>
      <c r="GO16" s="629"/>
      <c r="GP16" s="653"/>
      <c r="GQ16" s="630">
        <v>0</v>
      </c>
      <c r="GR16" s="631">
        <v>0</v>
      </c>
      <c r="GS16" s="410"/>
      <c r="GT16" s="682"/>
      <c r="GU16" s="625"/>
      <c r="GV16" s="626"/>
      <c r="GW16" s="632"/>
      <c r="GX16" s="633"/>
      <c r="GY16" s="634"/>
      <c r="GZ16" s="635"/>
      <c r="HA16" s="636">
        <v>0</v>
      </c>
      <c r="HB16" s="637"/>
      <c r="HC16" s="683"/>
      <c r="HD16" s="416"/>
      <c r="HE16" s="416"/>
      <c r="HF16" s="416"/>
      <c r="HG16" s="416"/>
    </row>
    <row r="17" spans="1:218" ht="20.100000000000001" customHeight="1">
      <c r="A17" s="549"/>
      <c r="B17" s="579" t="s">
        <v>258</v>
      </c>
      <c r="C17" s="684"/>
      <c r="D17" s="580">
        <v>8.9600000000000009</v>
      </c>
      <c r="E17" s="685">
        <v>2.5</v>
      </c>
      <c r="F17" s="686"/>
      <c r="G17" s="687">
        <v>0</v>
      </c>
      <c r="H17" s="584">
        <f>ROUND(8.96*2.5*0,0)</f>
        <v>0</v>
      </c>
      <c r="I17" s="688">
        <v>0</v>
      </c>
      <c r="J17" s="584">
        <f>ROUND(8.96*2.5*0,0)</f>
        <v>0</v>
      </c>
      <c r="K17" s="688">
        <v>0</v>
      </c>
      <c r="L17" s="584">
        <f>ROUND(8.96*2.5*0,0)</f>
        <v>0</v>
      </c>
      <c r="M17" s="688">
        <v>0</v>
      </c>
      <c r="N17" s="584">
        <f>ROUND(8.96*2.5*0,0)</f>
        <v>0</v>
      </c>
      <c r="O17" s="688">
        <v>0</v>
      </c>
      <c r="P17" s="584">
        <f>ROUND(8.96*2.5*0,0)</f>
        <v>0</v>
      </c>
      <c r="Q17" s="688">
        <v>0</v>
      </c>
      <c r="R17" s="584">
        <f>ROUND(8.96*2.5*0,0)</f>
        <v>0</v>
      </c>
      <c r="S17" s="688">
        <v>0</v>
      </c>
      <c r="T17" s="584">
        <f>ROUND(8.96*2.5*0,0)</f>
        <v>0</v>
      </c>
      <c r="U17" s="688">
        <v>0</v>
      </c>
      <c r="V17" s="584">
        <f>ROUND(8.96*2.5*0,0)</f>
        <v>0</v>
      </c>
      <c r="W17" s="688">
        <v>2.1</v>
      </c>
      <c r="X17" s="584">
        <f>ROUND(8.96*2.5*2.1,0)</f>
        <v>47</v>
      </c>
      <c r="Y17" s="688">
        <v>2.6</v>
      </c>
      <c r="Z17" s="584">
        <f>ROUND(8.96*2.5*2.6,0)</f>
        <v>58</v>
      </c>
      <c r="AA17" s="688">
        <v>2.9</v>
      </c>
      <c r="AB17" s="584">
        <f>ROUND(8.96*2.5*2.9,0)</f>
        <v>65</v>
      </c>
      <c r="AC17" s="688">
        <v>3.1</v>
      </c>
      <c r="AD17" s="584">
        <f>ROUND(8.96*2.5*3.1,0)</f>
        <v>69</v>
      </c>
      <c r="AE17" s="688">
        <v>3.2</v>
      </c>
      <c r="AF17" s="584">
        <f>ROUND(8.96*2.5*3.2,0)</f>
        <v>72</v>
      </c>
      <c r="AG17" s="688">
        <v>3.2</v>
      </c>
      <c r="AH17" s="584">
        <f>ROUND(8.96*2.5*3.2,0)</f>
        <v>72</v>
      </c>
      <c r="AI17" s="688">
        <v>3</v>
      </c>
      <c r="AJ17" s="584">
        <f>ROUND(8.96*2.5*3,0)</f>
        <v>67</v>
      </c>
      <c r="AK17" s="688">
        <v>2.8</v>
      </c>
      <c r="AL17" s="584">
        <f>ROUND(8.96*2.5*2.8,0)</f>
        <v>63</v>
      </c>
      <c r="AM17" s="688">
        <v>2.4</v>
      </c>
      <c r="AN17" s="584">
        <f>ROUND(8.96*2.5*2.4,0)</f>
        <v>54</v>
      </c>
      <c r="AO17" s="688">
        <v>2.1</v>
      </c>
      <c r="AP17" s="584">
        <f>ROUND(8.96*2.5*2.1,0)</f>
        <v>47</v>
      </c>
      <c r="AQ17" s="688">
        <v>0</v>
      </c>
      <c r="AR17" s="584">
        <f>ROUND(8.96*2.5*0,0)</f>
        <v>0</v>
      </c>
      <c r="AS17" s="688">
        <v>0</v>
      </c>
      <c r="AT17" s="584">
        <f>ROUND(8.96*2.5*0,0)</f>
        <v>0</v>
      </c>
      <c r="AU17" s="688">
        <v>0</v>
      </c>
      <c r="AV17" s="584">
        <f>ROUND(8.96*2.5*0,0)</f>
        <v>0</v>
      </c>
      <c r="AW17" s="688">
        <v>0</v>
      </c>
      <c r="AX17" s="584">
        <f>ROUND(8.96*2.5*0,0)</f>
        <v>0</v>
      </c>
      <c r="AY17" s="688">
        <v>0</v>
      </c>
      <c r="AZ17" s="584">
        <f>ROUND(8.96*2.5*0,0)</f>
        <v>0</v>
      </c>
      <c r="BA17" s="688">
        <v>0</v>
      </c>
      <c r="BB17" s="586">
        <f>ROUND(8.96*2.5*0,0)</f>
        <v>0</v>
      </c>
      <c r="BC17" s="559"/>
      <c r="BD17" s="549"/>
      <c r="BE17" s="579" t="s">
        <v>258</v>
      </c>
      <c r="BF17" s="684"/>
      <c r="BG17" s="580">
        <v>8.9600000000000009</v>
      </c>
      <c r="BH17" s="685">
        <v>2.5</v>
      </c>
      <c r="BI17" s="686"/>
      <c r="BJ17" s="687">
        <v>0</v>
      </c>
      <c r="BK17" s="584">
        <f>ROUND(8.96*2.5*0,0)</f>
        <v>0</v>
      </c>
      <c r="BL17" s="688">
        <v>0</v>
      </c>
      <c r="BM17" s="584">
        <f>ROUND(8.96*2.5*0,0)</f>
        <v>0</v>
      </c>
      <c r="BN17" s="688">
        <v>0</v>
      </c>
      <c r="BO17" s="584">
        <f>ROUND(8.96*2.5*0,0)</f>
        <v>0</v>
      </c>
      <c r="BP17" s="688">
        <v>0</v>
      </c>
      <c r="BQ17" s="584">
        <f>ROUND(8.96*2.5*0,0)</f>
        <v>0</v>
      </c>
      <c r="BR17" s="688">
        <v>0</v>
      </c>
      <c r="BS17" s="584">
        <f>ROUND(8.96*2.5*0,0)</f>
        <v>0</v>
      </c>
      <c r="BT17" s="688">
        <v>0</v>
      </c>
      <c r="BU17" s="584">
        <f>ROUND(8.96*2.5*0,0)</f>
        <v>0</v>
      </c>
      <c r="BV17" s="688">
        <v>0</v>
      </c>
      <c r="BW17" s="584">
        <f>ROUND(8.96*2.5*0,0)</f>
        <v>0</v>
      </c>
      <c r="BX17" s="688">
        <v>0</v>
      </c>
      <c r="BY17" s="584">
        <f>ROUND(8.96*2.5*0,0)</f>
        <v>0</v>
      </c>
      <c r="BZ17" s="688">
        <v>2</v>
      </c>
      <c r="CA17" s="584">
        <f>ROUND(8.96*2.5*2,0)</f>
        <v>45</v>
      </c>
      <c r="CB17" s="688">
        <v>2.4</v>
      </c>
      <c r="CC17" s="584">
        <f>ROUND(8.96*2.5*2.4,0)</f>
        <v>54</v>
      </c>
      <c r="CD17" s="688">
        <v>2.8</v>
      </c>
      <c r="CE17" s="584">
        <f>ROUND(8.96*2.5*2.8,0)</f>
        <v>63</v>
      </c>
      <c r="CF17" s="688">
        <v>3</v>
      </c>
      <c r="CG17" s="584">
        <f>ROUND(8.96*2.5*3,0)</f>
        <v>67</v>
      </c>
      <c r="CH17" s="688">
        <v>3</v>
      </c>
      <c r="CI17" s="584">
        <f>ROUND(8.96*2.5*3,0)</f>
        <v>67</v>
      </c>
      <c r="CJ17" s="688">
        <v>3</v>
      </c>
      <c r="CK17" s="584">
        <f>ROUND(8.96*2.5*3,0)</f>
        <v>67</v>
      </c>
      <c r="CL17" s="688">
        <v>2.8</v>
      </c>
      <c r="CM17" s="584">
        <f>ROUND(8.96*2.5*2.8,0)</f>
        <v>63</v>
      </c>
      <c r="CN17" s="688">
        <v>2.6</v>
      </c>
      <c r="CO17" s="584">
        <f>ROUND(8.96*2.5*2.6,0)</f>
        <v>58</v>
      </c>
      <c r="CP17" s="688">
        <v>2.4</v>
      </c>
      <c r="CQ17" s="584">
        <f>ROUND(8.96*2.5*2.4,0)</f>
        <v>54</v>
      </c>
      <c r="CR17" s="688">
        <v>2</v>
      </c>
      <c r="CS17" s="584">
        <f>ROUND(8.96*2.5*2,0)</f>
        <v>45</v>
      </c>
      <c r="CT17" s="688">
        <v>0</v>
      </c>
      <c r="CU17" s="584">
        <f>ROUND(8.96*2.5*0,0)</f>
        <v>0</v>
      </c>
      <c r="CV17" s="688">
        <v>0</v>
      </c>
      <c r="CW17" s="584">
        <f>ROUND(8.96*2.5*0,0)</f>
        <v>0</v>
      </c>
      <c r="CX17" s="688">
        <v>0</v>
      </c>
      <c r="CY17" s="584">
        <f>ROUND(8.96*2.5*0,0)</f>
        <v>0</v>
      </c>
      <c r="CZ17" s="688">
        <v>0</v>
      </c>
      <c r="DA17" s="584">
        <f>ROUND(8.96*2.5*0,0)</f>
        <v>0</v>
      </c>
      <c r="DB17" s="688">
        <v>0</v>
      </c>
      <c r="DC17" s="584">
        <f>ROUND(8.96*2.5*0,0)</f>
        <v>0</v>
      </c>
      <c r="DD17" s="688">
        <v>0</v>
      </c>
      <c r="DE17" s="586">
        <f>ROUND(8.96*2.5*0,0)</f>
        <v>0</v>
      </c>
      <c r="DF17" s="559"/>
      <c r="DG17" s="549"/>
      <c r="DH17" s="579" t="s">
        <v>258</v>
      </c>
      <c r="DI17" s="684"/>
      <c r="DJ17" s="580">
        <v>8.9600000000000009</v>
      </c>
      <c r="DK17" s="685">
        <v>2.5</v>
      </c>
      <c r="DL17" s="686"/>
      <c r="DM17" s="687">
        <v>0</v>
      </c>
      <c r="DN17" s="584">
        <f>ROUND(8.96*2.5*0,0)</f>
        <v>0</v>
      </c>
      <c r="DO17" s="688">
        <v>0</v>
      </c>
      <c r="DP17" s="584">
        <f>ROUND(8.96*2.5*0,0)</f>
        <v>0</v>
      </c>
      <c r="DQ17" s="688">
        <v>0</v>
      </c>
      <c r="DR17" s="584">
        <f>ROUND(8.96*2.5*0,0)</f>
        <v>0</v>
      </c>
      <c r="DS17" s="688">
        <v>0</v>
      </c>
      <c r="DT17" s="584">
        <f>ROUND(8.96*2.5*0,0)</f>
        <v>0</v>
      </c>
      <c r="DU17" s="688">
        <v>0</v>
      </c>
      <c r="DV17" s="584">
        <f>ROUND(8.96*2.5*0,0)</f>
        <v>0</v>
      </c>
      <c r="DW17" s="688">
        <v>0</v>
      </c>
      <c r="DX17" s="584">
        <f>ROUND(8.96*2.5*0,0)</f>
        <v>0</v>
      </c>
      <c r="DY17" s="688">
        <v>0</v>
      </c>
      <c r="DZ17" s="584">
        <f>ROUND(8.96*2.5*0,0)</f>
        <v>0</v>
      </c>
      <c r="EA17" s="688">
        <v>0</v>
      </c>
      <c r="EB17" s="584">
        <f>ROUND(8.96*2.5*0,0)</f>
        <v>0</v>
      </c>
      <c r="EC17" s="688">
        <v>1.1000000000000001</v>
      </c>
      <c r="ED17" s="584">
        <f>ROUND(8.96*2.5*1.1,0)</f>
        <v>25</v>
      </c>
      <c r="EE17" s="688">
        <v>1.6</v>
      </c>
      <c r="EF17" s="584">
        <f>ROUND(8.96*2.5*1.6,0)</f>
        <v>36</v>
      </c>
      <c r="EG17" s="688">
        <v>2</v>
      </c>
      <c r="EH17" s="584">
        <f>ROUND(8.96*2.5*2,0)</f>
        <v>45</v>
      </c>
      <c r="EI17" s="688">
        <v>2.2000000000000002</v>
      </c>
      <c r="EJ17" s="584">
        <f>ROUND(8.96*2.5*2.2,0)</f>
        <v>49</v>
      </c>
      <c r="EK17" s="688">
        <v>2.2999999999999998</v>
      </c>
      <c r="EL17" s="584">
        <f>ROUND(8.96*2.5*2.3,0)</f>
        <v>52</v>
      </c>
      <c r="EM17" s="688">
        <v>2.2000000000000002</v>
      </c>
      <c r="EN17" s="584">
        <f>ROUND(8.96*2.5*2.2,0)</f>
        <v>49</v>
      </c>
      <c r="EO17" s="688">
        <v>2</v>
      </c>
      <c r="EP17" s="584">
        <f>ROUND(8.96*2.5*2,0)</f>
        <v>45</v>
      </c>
      <c r="EQ17" s="688">
        <v>1.9</v>
      </c>
      <c r="ER17" s="584">
        <f>ROUND(8.96*2.5*1.9,0)</f>
        <v>43</v>
      </c>
      <c r="ES17" s="688">
        <v>1.5</v>
      </c>
      <c r="ET17" s="584">
        <f>ROUND(8.96*2.5*1.5,0)</f>
        <v>34</v>
      </c>
      <c r="EU17" s="688">
        <v>1.1000000000000001</v>
      </c>
      <c r="EV17" s="584">
        <f>ROUND(8.96*2.5*1.1,0)</f>
        <v>25</v>
      </c>
      <c r="EW17" s="688">
        <v>0</v>
      </c>
      <c r="EX17" s="584">
        <f>ROUND(8.96*2.5*0,0)</f>
        <v>0</v>
      </c>
      <c r="EY17" s="688">
        <v>0</v>
      </c>
      <c r="EZ17" s="584">
        <f>ROUND(8.96*2.5*0,0)</f>
        <v>0</v>
      </c>
      <c r="FA17" s="688">
        <v>0</v>
      </c>
      <c r="FB17" s="584">
        <f>ROUND(8.96*2.5*0,0)</f>
        <v>0</v>
      </c>
      <c r="FC17" s="688">
        <v>0</v>
      </c>
      <c r="FD17" s="584">
        <f>ROUND(8.96*2.5*0,0)</f>
        <v>0</v>
      </c>
      <c r="FE17" s="688">
        <v>0</v>
      </c>
      <c r="FF17" s="584">
        <f>ROUND(8.96*2.5*0,0)</f>
        <v>0</v>
      </c>
      <c r="FG17" s="688">
        <v>0</v>
      </c>
      <c r="FH17" s="586">
        <f>ROUND(8.96*2.5*0,0)</f>
        <v>0</v>
      </c>
      <c r="FI17" s="560"/>
      <c r="FJ17" s="561"/>
      <c r="FK17" s="579" t="s">
        <v>258</v>
      </c>
      <c r="FL17" s="684"/>
      <c r="FM17" s="580">
        <v>8.9600000000000009</v>
      </c>
      <c r="FN17" s="685">
        <v>2.5</v>
      </c>
      <c r="FO17" s="686"/>
      <c r="FP17" s="689">
        <v>9</v>
      </c>
      <c r="FQ17" s="690">
        <v>8</v>
      </c>
      <c r="FR17" s="584">
        <f>ROUND(8.96*2.5*8,0)</f>
        <v>179</v>
      </c>
      <c r="FS17" s="691">
        <v>9</v>
      </c>
      <c r="FT17" s="690">
        <v>8.1999999999999993</v>
      </c>
      <c r="FU17" s="589">
        <f>ROUND(8.96*2.5*8.2,0)</f>
        <v>184</v>
      </c>
      <c r="FV17" s="590"/>
      <c r="FW17" s="591"/>
      <c r="FX17" s="592"/>
      <c r="FY17" s="593"/>
      <c r="FZ17" s="594"/>
      <c r="GA17" s="595"/>
      <c r="GB17" s="596"/>
      <c r="GC17" s="597"/>
      <c r="GD17" s="596"/>
      <c r="GE17" s="598"/>
      <c r="GF17" s="681"/>
      <c r="GG17" s="599"/>
      <c r="GH17" s="599"/>
      <c r="GI17" s="599"/>
      <c r="GJ17" s="577"/>
      <c r="GK17" s="625"/>
      <c r="GL17" s="626"/>
      <c r="GM17" s="627"/>
      <c r="GN17" s="628"/>
      <c r="GO17" s="629"/>
      <c r="GP17" s="653"/>
      <c r="GQ17" s="630">
        <v>0</v>
      </c>
      <c r="GR17" s="631">
        <v>0</v>
      </c>
      <c r="GS17" s="692"/>
      <c r="GT17" s="682"/>
      <c r="GU17" s="625"/>
      <c r="GV17" s="626"/>
      <c r="GW17" s="632"/>
      <c r="GX17" s="633"/>
      <c r="GY17" s="634"/>
      <c r="GZ17" s="635"/>
      <c r="HA17" s="636">
        <v>0</v>
      </c>
      <c r="HB17" s="637"/>
      <c r="HC17" s="527"/>
      <c r="HD17" s="416"/>
      <c r="HE17" s="416"/>
      <c r="HF17" s="416"/>
      <c r="HG17" s="416"/>
    </row>
    <row r="18" spans="1:218" ht="20.100000000000001" customHeight="1">
      <c r="A18" s="549"/>
      <c r="B18" s="693" t="s">
        <v>246</v>
      </c>
      <c r="C18" s="684"/>
      <c r="D18" s="580">
        <v>13.2</v>
      </c>
      <c r="E18" s="685">
        <v>0.5</v>
      </c>
      <c r="F18" s="686"/>
      <c r="G18" s="687">
        <v>0</v>
      </c>
      <c r="H18" s="584">
        <f>ROUND(13.2*0.5*0,0)</f>
        <v>0</v>
      </c>
      <c r="I18" s="688">
        <v>0</v>
      </c>
      <c r="J18" s="584">
        <f>ROUND(13.2*0.5*0,0)</f>
        <v>0</v>
      </c>
      <c r="K18" s="688">
        <v>0</v>
      </c>
      <c r="L18" s="584">
        <f>ROUND(13.2*0.5*0,0)</f>
        <v>0</v>
      </c>
      <c r="M18" s="688">
        <v>0</v>
      </c>
      <c r="N18" s="584">
        <f>ROUND(13.2*0.5*0,0)</f>
        <v>0</v>
      </c>
      <c r="O18" s="688">
        <v>0</v>
      </c>
      <c r="P18" s="584">
        <f>ROUND(13.2*0.5*0,0)</f>
        <v>0</v>
      </c>
      <c r="Q18" s="688">
        <v>0</v>
      </c>
      <c r="R18" s="584">
        <f>ROUND(13.2*0.5*0,0)</f>
        <v>0</v>
      </c>
      <c r="S18" s="688">
        <v>0</v>
      </c>
      <c r="T18" s="584">
        <f>ROUND(13.2*0.5*0,0)</f>
        <v>0</v>
      </c>
      <c r="U18" s="688">
        <v>0</v>
      </c>
      <c r="V18" s="584">
        <f>ROUND(13.2*0.5*0,0)</f>
        <v>0</v>
      </c>
      <c r="W18" s="688">
        <v>5.3</v>
      </c>
      <c r="X18" s="584">
        <f>ROUND(13.2*0.5*5.3,0)</f>
        <v>35</v>
      </c>
      <c r="Y18" s="688">
        <v>5.2</v>
      </c>
      <c r="Z18" s="584">
        <f>ROUND(13.2*0.5*5.2,0)</f>
        <v>34</v>
      </c>
      <c r="AA18" s="688">
        <v>5.2</v>
      </c>
      <c r="AB18" s="584">
        <f>ROUND(13.2*0.5*5.2,0)</f>
        <v>34</v>
      </c>
      <c r="AC18" s="688">
        <v>5.3</v>
      </c>
      <c r="AD18" s="584">
        <f>ROUND(13.2*0.5*5.3,0)</f>
        <v>35</v>
      </c>
      <c r="AE18" s="688">
        <v>5.7</v>
      </c>
      <c r="AF18" s="584">
        <f>ROUND(13.2*0.5*5.7,0)</f>
        <v>38</v>
      </c>
      <c r="AG18" s="688">
        <v>6.3</v>
      </c>
      <c r="AH18" s="584">
        <f>ROUND(13.2*0.5*6.3,0)</f>
        <v>42</v>
      </c>
      <c r="AI18" s="688">
        <v>7</v>
      </c>
      <c r="AJ18" s="584">
        <f>ROUND(13.2*0.5*7,0)</f>
        <v>46</v>
      </c>
      <c r="AK18" s="688">
        <v>7.8</v>
      </c>
      <c r="AL18" s="584">
        <f>ROUND(13.2*0.5*7.8,0)</f>
        <v>51</v>
      </c>
      <c r="AM18" s="688">
        <v>8.6</v>
      </c>
      <c r="AN18" s="584">
        <f>ROUND(13.2*0.5*8.6,0)</f>
        <v>57</v>
      </c>
      <c r="AO18" s="688">
        <v>9.4</v>
      </c>
      <c r="AP18" s="584">
        <f>ROUND(13.2*0.5*9.4,0)</f>
        <v>62</v>
      </c>
      <c r="AQ18" s="688">
        <v>0</v>
      </c>
      <c r="AR18" s="584">
        <f>ROUND(13.2*0.5*0,0)</f>
        <v>0</v>
      </c>
      <c r="AS18" s="688">
        <v>0</v>
      </c>
      <c r="AT18" s="584">
        <f>ROUND(13.2*0.5*0,0)</f>
        <v>0</v>
      </c>
      <c r="AU18" s="688">
        <v>0</v>
      </c>
      <c r="AV18" s="584">
        <f>ROUND(13.2*0.5*0,0)</f>
        <v>0</v>
      </c>
      <c r="AW18" s="688">
        <v>0</v>
      </c>
      <c r="AX18" s="584">
        <f>ROUND(13.2*0.5*0,0)</f>
        <v>0</v>
      </c>
      <c r="AY18" s="688">
        <v>0</v>
      </c>
      <c r="AZ18" s="584">
        <f>ROUND(13.2*0.5*0,0)</f>
        <v>0</v>
      </c>
      <c r="BA18" s="688">
        <v>0</v>
      </c>
      <c r="BB18" s="586">
        <f>ROUND(13.2*0.5*0,0)</f>
        <v>0</v>
      </c>
      <c r="BC18" s="559"/>
      <c r="BD18" s="549"/>
      <c r="BE18" s="693" t="s">
        <v>246</v>
      </c>
      <c r="BF18" s="684"/>
      <c r="BG18" s="580">
        <v>13.2</v>
      </c>
      <c r="BH18" s="685">
        <v>0.5</v>
      </c>
      <c r="BI18" s="686"/>
      <c r="BJ18" s="687">
        <v>0</v>
      </c>
      <c r="BK18" s="584">
        <f>ROUND(13.2*0.5*0,0)</f>
        <v>0</v>
      </c>
      <c r="BL18" s="688">
        <v>0</v>
      </c>
      <c r="BM18" s="584">
        <f>ROUND(13.2*0.5*0,0)</f>
        <v>0</v>
      </c>
      <c r="BN18" s="688">
        <v>0</v>
      </c>
      <c r="BO18" s="584">
        <f>ROUND(13.2*0.5*0,0)</f>
        <v>0</v>
      </c>
      <c r="BP18" s="688">
        <v>0</v>
      </c>
      <c r="BQ18" s="584">
        <f>ROUND(13.2*0.5*0,0)</f>
        <v>0</v>
      </c>
      <c r="BR18" s="688">
        <v>0</v>
      </c>
      <c r="BS18" s="584">
        <f>ROUND(13.2*0.5*0,0)</f>
        <v>0</v>
      </c>
      <c r="BT18" s="688">
        <v>0</v>
      </c>
      <c r="BU18" s="584">
        <f>ROUND(13.2*0.5*0,0)</f>
        <v>0</v>
      </c>
      <c r="BV18" s="688">
        <v>0</v>
      </c>
      <c r="BW18" s="584">
        <f>ROUND(13.2*0.5*0,0)</f>
        <v>0</v>
      </c>
      <c r="BX18" s="688">
        <v>0</v>
      </c>
      <c r="BY18" s="584">
        <f>ROUND(13.2*0.5*0,0)</f>
        <v>0</v>
      </c>
      <c r="BZ18" s="688">
        <v>5.2</v>
      </c>
      <c r="CA18" s="584">
        <f>ROUND(13.2*0.5*5.2,0)</f>
        <v>34</v>
      </c>
      <c r="CB18" s="688">
        <v>5</v>
      </c>
      <c r="CC18" s="584">
        <f>ROUND(13.2*0.5*5,0)</f>
        <v>33</v>
      </c>
      <c r="CD18" s="688">
        <v>5</v>
      </c>
      <c r="CE18" s="584">
        <f>ROUND(13.2*0.5*5,0)</f>
        <v>33</v>
      </c>
      <c r="CF18" s="688">
        <v>5.0999999999999996</v>
      </c>
      <c r="CG18" s="584">
        <f>ROUND(13.2*0.5*5.1,0)</f>
        <v>34</v>
      </c>
      <c r="CH18" s="688">
        <v>5.4</v>
      </c>
      <c r="CI18" s="584">
        <f>ROUND(13.2*0.5*5.4,0)</f>
        <v>36</v>
      </c>
      <c r="CJ18" s="688">
        <v>6</v>
      </c>
      <c r="CK18" s="584">
        <f>ROUND(13.2*0.5*6,0)</f>
        <v>40</v>
      </c>
      <c r="CL18" s="688">
        <v>6.8</v>
      </c>
      <c r="CM18" s="584">
        <f>ROUND(13.2*0.5*6.8,0)</f>
        <v>45</v>
      </c>
      <c r="CN18" s="688">
        <v>7.8</v>
      </c>
      <c r="CO18" s="584">
        <f>ROUND(13.2*0.5*7.8,0)</f>
        <v>51</v>
      </c>
      <c r="CP18" s="688">
        <v>8.6999999999999993</v>
      </c>
      <c r="CQ18" s="584">
        <f>ROUND(13.2*0.5*8.7,0)</f>
        <v>57</v>
      </c>
      <c r="CR18" s="688">
        <v>9.6</v>
      </c>
      <c r="CS18" s="584">
        <f>ROUND(13.2*0.5*9.6,0)</f>
        <v>63</v>
      </c>
      <c r="CT18" s="688">
        <v>0</v>
      </c>
      <c r="CU18" s="584">
        <f>ROUND(13.2*0.5*0,0)</f>
        <v>0</v>
      </c>
      <c r="CV18" s="688">
        <v>0</v>
      </c>
      <c r="CW18" s="584">
        <f>ROUND(13.2*0.5*0,0)</f>
        <v>0</v>
      </c>
      <c r="CX18" s="688">
        <v>0</v>
      </c>
      <c r="CY18" s="584">
        <f>ROUND(13.2*0.5*0,0)</f>
        <v>0</v>
      </c>
      <c r="CZ18" s="688">
        <v>0</v>
      </c>
      <c r="DA18" s="584">
        <f>ROUND(13.2*0.5*0,0)</f>
        <v>0</v>
      </c>
      <c r="DB18" s="688">
        <v>0</v>
      </c>
      <c r="DC18" s="584">
        <f>ROUND(13.2*0.5*0,0)</f>
        <v>0</v>
      </c>
      <c r="DD18" s="688">
        <v>0</v>
      </c>
      <c r="DE18" s="586">
        <f>ROUND(13.2*0.5*0,0)</f>
        <v>0</v>
      </c>
      <c r="DF18" s="559"/>
      <c r="DG18" s="549"/>
      <c r="DH18" s="693" t="s">
        <v>246</v>
      </c>
      <c r="DI18" s="684"/>
      <c r="DJ18" s="580">
        <v>13.2</v>
      </c>
      <c r="DK18" s="685">
        <v>0.5</v>
      </c>
      <c r="DL18" s="686"/>
      <c r="DM18" s="687">
        <v>0</v>
      </c>
      <c r="DN18" s="584">
        <f>ROUND(13.2*0.5*0,0)</f>
        <v>0</v>
      </c>
      <c r="DO18" s="688">
        <v>0</v>
      </c>
      <c r="DP18" s="584">
        <f>ROUND(13.2*0.5*0,0)</f>
        <v>0</v>
      </c>
      <c r="DQ18" s="688">
        <v>0</v>
      </c>
      <c r="DR18" s="584">
        <f>ROUND(13.2*0.5*0,0)</f>
        <v>0</v>
      </c>
      <c r="DS18" s="688">
        <v>0</v>
      </c>
      <c r="DT18" s="584">
        <f>ROUND(13.2*0.5*0,0)</f>
        <v>0</v>
      </c>
      <c r="DU18" s="688">
        <v>0</v>
      </c>
      <c r="DV18" s="584">
        <f>ROUND(13.2*0.5*0,0)</f>
        <v>0</v>
      </c>
      <c r="DW18" s="688">
        <v>0</v>
      </c>
      <c r="DX18" s="584">
        <f>ROUND(13.2*0.5*0,0)</f>
        <v>0</v>
      </c>
      <c r="DY18" s="688">
        <v>0</v>
      </c>
      <c r="DZ18" s="584">
        <f>ROUND(13.2*0.5*0,0)</f>
        <v>0</v>
      </c>
      <c r="EA18" s="688">
        <v>0</v>
      </c>
      <c r="EB18" s="584">
        <f>ROUND(13.2*0.5*0,0)</f>
        <v>0</v>
      </c>
      <c r="EC18" s="688">
        <v>3.8</v>
      </c>
      <c r="ED18" s="584">
        <f>ROUND(13.2*0.5*3.8,0)</f>
        <v>25</v>
      </c>
      <c r="EE18" s="688">
        <v>3.5</v>
      </c>
      <c r="EF18" s="584">
        <f>ROUND(13.2*0.5*3.5,0)</f>
        <v>23</v>
      </c>
      <c r="EG18" s="688">
        <v>3.4</v>
      </c>
      <c r="EH18" s="584">
        <f>ROUND(13.2*0.5*3.4,0)</f>
        <v>22</v>
      </c>
      <c r="EI18" s="688">
        <v>3.6</v>
      </c>
      <c r="EJ18" s="584">
        <f>ROUND(13.2*0.5*3.6,0)</f>
        <v>24</v>
      </c>
      <c r="EK18" s="688">
        <v>4.0999999999999996</v>
      </c>
      <c r="EL18" s="584">
        <f>ROUND(13.2*0.5*4.1,0)</f>
        <v>27</v>
      </c>
      <c r="EM18" s="688">
        <v>4.9000000000000004</v>
      </c>
      <c r="EN18" s="584">
        <f>ROUND(13.2*0.5*4.9,0)</f>
        <v>32</v>
      </c>
      <c r="EO18" s="688">
        <v>6</v>
      </c>
      <c r="EP18" s="584">
        <f>ROUND(13.2*0.5*6,0)</f>
        <v>40</v>
      </c>
      <c r="EQ18" s="688">
        <v>7.3</v>
      </c>
      <c r="ER18" s="584">
        <f>ROUND(13.2*0.5*7.3,0)</f>
        <v>48</v>
      </c>
      <c r="ES18" s="688">
        <v>8.5</v>
      </c>
      <c r="ET18" s="584">
        <f>ROUND(13.2*0.5*8.5,0)</f>
        <v>56</v>
      </c>
      <c r="EU18" s="688">
        <v>9.6</v>
      </c>
      <c r="EV18" s="584">
        <f>ROUND(13.2*0.5*9.6,0)</f>
        <v>63</v>
      </c>
      <c r="EW18" s="688">
        <v>0</v>
      </c>
      <c r="EX18" s="584">
        <f>ROUND(13.2*0.5*0,0)</f>
        <v>0</v>
      </c>
      <c r="EY18" s="688">
        <v>0</v>
      </c>
      <c r="EZ18" s="584">
        <f>ROUND(13.2*0.5*0,0)</f>
        <v>0</v>
      </c>
      <c r="FA18" s="688">
        <v>0</v>
      </c>
      <c r="FB18" s="584">
        <f>ROUND(13.2*0.5*0,0)</f>
        <v>0</v>
      </c>
      <c r="FC18" s="688">
        <v>0</v>
      </c>
      <c r="FD18" s="584">
        <f>ROUND(13.2*0.5*0,0)</f>
        <v>0</v>
      </c>
      <c r="FE18" s="688">
        <v>0</v>
      </c>
      <c r="FF18" s="584">
        <f>ROUND(13.2*0.5*0,0)</f>
        <v>0</v>
      </c>
      <c r="FG18" s="688">
        <v>0</v>
      </c>
      <c r="FH18" s="586">
        <f>ROUND(13.2*0.5*0,0)</f>
        <v>0</v>
      </c>
      <c r="FI18" s="560"/>
      <c r="FJ18" s="561"/>
      <c r="FK18" s="693" t="s">
        <v>246</v>
      </c>
      <c r="FL18" s="684"/>
      <c r="FM18" s="580">
        <v>13.2</v>
      </c>
      <c r="FN18" s="685">
        <v>0.5</v>
      </c>
      <c r="FO18" s="686"/>
      <c r="FP18" s="689">
        <v>9</v>
      </c>
      <c r="FQ18" s="690">
        <v>20</v>
      </c>
      <c r="FR18" s="584">
        <f>ROUND(13.2*0.5*20,0)</f>
        <v>132</v>
      </c>
      <c r="FS18" s="691">
        <v>9</v>
      </c>
      <c r="FT18" s="690">
        <v>20.5</v>
      </c>
      <c r="FU18" s="589">
        <f>ROUND(13.2*0.5*20.5,0)</f>
        <v>135</v>
      </c>
      <c r="FV18" s="590"/>
      <c r="FW18" s="591"/>
      <c r="FX18" s="592"/>
      <c r="FY18" s="593"/>
      <c r="FZ18" s="594"/>
      <c r="GA18" s="595"/>
      <c r="GB18" s="596"/>
      <c r="GC18" s="597"/>
      <c r="GD18" s="596"/>
      <c r="GE18" s="598"/>
      <c r="GF18" s="681"/>
      <c r="GG18" s="599"/>
      <c r="GH18" s="599"/>
      <c r="GI18" s="599"/>
      <c r="GJ18" s="410"/>
      <c r="GK18" s="625"/>
      <c r="GL18" s="626"/>
      <c r="GM18" s="627"/>
      <c r="GN18" s="628"/>
      <c r="GO18" s="629"/>
      <c r="GP18" s="653"/>
      <c r="GQ18" s="630">
        <v>0</v>
      </c>
      <c r="GR18" s="631">
        <v>0</v>
      </c>
      <c r="GS18" s="410"/>
      <c r="GT18" s="414"/>
      <c r="GU18" s="625"/>
      <c r="GV18" s="626"/>
      <c r="GW18" s="632"/>
      <c r="GX18" s="633"/>
      <c r="GY18" s="634"/>
      <c r="GZ18" s="635"/>
      <c r="HA18" s="636">
        <v>0</v>
      </c>
      <c r="HB18" s="637"/>
      <c r="HC18" s="576"/>
      <c r="HD18" s="559"/>
      <c r="HE18" s="416"/>
      <c r="HF18" s="416"/>
      <c r="HG18" s="416"/>
    </row>
    <row r="19" spans="1:218" ht="20.100000000000001" customHeight="1">
      <c r="A19" s="549"/>
      <c r="B19" s="693" t="s">
        <v>269</v>
      </c>
      <c r="C19" s="684"/>
      <c r="D19" s="580">
        <v>13.2</v>
      </c>
      <c r="E19" s="685">
        <v>2.8</v>
      </c>
      <c r="F19" s="686"/>
      <c r="G19" s="687">
        <v>0</v>
      </c>
      <c r="H19" s="584">
        <f>ROUND(13.2*2.8*0,0)</f>
        <v>0</v>
      </c>
      <c r="I19" s="688">
        <v>0</v>
      </c>
      <c r="J19" s="584">
        <f>ROUND(13.2*2.8*0,0)</f>
        <v>0</v>
      </c>
      <c r="K19" s="688">
        <v>0</v>
      </c>
      <c r="L19" s="584">
        <f>ROUND(13.2*2.8*0,0)</f>
        <v>0</v>
      </c>
      <c r="M19" s="688">
        <v>0</v>
      </c>
      <c r="N19" s="584">
        <f>ROUND(13.2*2.8*0,0)</f>
        <v>0</v>
      </c>
      <c r="O19" s="688">
        <v>0</v>
      </c>
      <c r="P19" s="584">
        <f>ROUND(13.2*2.8*0,0)</f>
        <v>0</v>
      </c>
      <c r="Q19" s="688">
        <v>0</v>
      </c>
      <c r="R19" s="584">
        <f>ROUND(13.2*2.8*0,0)</f>
        <v>0</v>
      </c>
      <c r="S19" s="688">
        <v>0</v>
      </c>
      <c r="T19" s="584">
        <f>ROUND(13.2*2.8*0,0)</f>
        <v>0</v>
      </c>
      <c r="U19" s="688">
        <v>0</v>
      </c>
      <c r="V19" s="584">
        <f>ROUND(13.2*2.8*0,0)</f>
        <v>0</v>
      </c>
      <c r="W19" s="688">
        <v>1.6</v>
      </c>
      <c r="X19" s="584">
        <f>ROUND(13.2*2.8*1.6,0)</f>
        <v>59</v>
      </c>
      <c r="Y19" s="688">
        <v>2</v>
      </c>
      <c r="Z19" s="584">
        <f>ROUND(13.2*2.8*2,0)</f>
        <v>74</v>
      </c>
      <c r="AA19" s="688">
        <v>2.2000000000000002</v>
      </c>
      <c r="AB19" s="584">
        <f>ROUND(13.2*2.8*2.2,0)</f>
        <v>81</v>
      </c>
      <c r="AC19" s="688">
        <v>2.2999999999999998</v>
      </c>
      <c r="AD19" s="584">
        <f>ROUND(13.2*2.8*2.3,0)</f>
        <v>85</v>
      </c>
      <c r="AE19" s="688">
        <v>2.4</v>
      </c>
      <c r="AF19" s="584">
        <f>ROUND(13.2*2.8*2.4,0)</f>
        <v>89</v>
      </c>
      <c r="AG19" s="688">
        <v>2.4</v>
      </c>
      <c r="AH19" s="584">
        <f>ROUND(13.2*2.8*2.4,0)</f>
        <v>89</v>
      </c>
      <c r="AI19" s="688">
        <v>2.2000000000000002</v>
      </c>
      <c r="AJ19" s="584">
        <f>ROUND(13.2*2.8*2.2,0)</f>
        <v>81</v>
      </c>
      <c r="AK19" s="688">
        <v>2.1</v>
      </c>
      <c r="AL19" s="584">
        <f>ROUND(13.2*2.8*2.1,0)</f>
        <v>78</v>
      </c>
      <c r="AM19" s="688">
        <v>1.8</v>
      </c>
      <c r="AN19" s="584">
        <f>ROUND(13.2*2.8*1.8,0)</f>
        <v>67</v>
      </c>
      <c r="AO19" s="688">
        <v>1.6</v>
      </c>
      <c r="AP19" s="584">
        <f>ROUND(13.2*2.8*1.6,0)</f>
        <v>59</v>
      </c>
      <c r="AQ19" s="688">
        <v>0</v>
      </c>
      <c r="AR19" s="584">
        <f>ROUND(13.2*2.8*0,0)</f>
        <v>0</v>
      </c>
      <c r="AS19" s="688">
        <v>0</v>
      </c>
      <c r="AT19" s="584">
        <f>ROUND(13.2*2.8*0,0)</f>
        <v>0</v>
      </c>
      <c r="AU19" s="688">
        <v>0</v>
      </c>
      <c r="AV19" s="584">
        <f>ROUND(13.2*2.8*0,0)</f>
        <v>0</v>
      </c>
      <c r="AW19" s="688">
        <v>0</v>
      </c>
      <c r="AX19" s="584">
        <f>ROUND(13.2*2.8*0,0)</f>
        <v>0</v>
      </c>
      <c r="AY19" s="688">
        <v>0</v>
      </c>
      <c r="AZ19" s="584">
        <f>ROUND(13.2*2.8*0,0)</f>
        <v>0</v>
      </c>
      <c r="BA19" s="688">
        <v>0</v>
      </c>
      <c r="BB19" s="586">
        <f>ROUND(13.2*2.8*0,0)</f>
        <v>0</v>
      </c>
      <c r="BC19" s="559"/>
      <c r="BD19" s="549"/>
      <c r="BE19" s="693" t="s">
        <v>269</v>
      </c>
      <c r="BF19" s="684"/>
      <c r="BG19" s="580">
        <v>13.2</v>
      </c>
      <c r="BH19" s="685">
        <v>2.8</v>
      </c>
      <c r="BI19" s="686"/>
      <c r="BJ19" s="687">
        <v>0</v>
      </c>
      <c r="BK19" s="584">
        <f>ROUND(13.2*2.8*0,0)</f>
        <v>0</v>
      </c>
      <c r="BL19" s="688">
        <v>0</v>
      </c>
      <c r="BM19" s="584">
        <f>ROUND(13.2*2.8*0,0)</f>
        <v>0</v>
      </c>
      <c r="BN19" s="688">
        <v>0</v>
      </c>
      <c r="BO19" s="584">
        <f>ROUND(13.2*2.8*0,0)</f>
        <v>0</v>
      </c>
      <c r="BP19" s="688">
        <v>0</v>
      </c>
      <c r="BQ19" s="584">
        <f>ROUND(13.2*2.8*0,0)</f>
        <v>0</v>
      </c>
      <c r="BR19" s="688">
        <v>0</v>
      </c>
      <c r="BS19" s="584">
        <f>ROUND(13.2*2.8*0,0)</f>
        <v>0</v>
      </c>
      <c r="BT19" s="688">
        <v>0</v>
      </c>
      <c r="BU19" s="584">
        <f>ROUND(13.2*2.8*0,0)</f>
        <v>0</v>
      </c>
      <c r="BV19" s="688">
        <v>0</v>
      </c>
      <c r="BW19" s="584">
        <f>ROUND(13.2*2.8*0,0)</f>
        <v>0</v>
      </c>
      <c r="BX19" s="688">
        <v>0</v>
      </c>
      <c r="BY19" s="584">
        <f>ROUND(13.2*2.8*0,0)</f>
        <v>0</v>
      </c>
      <c r="BZ19" s="688">
        <v>1.5</v>
      </c>
      <c r="CA19" s="584">
        <f>ROUND(13.2*2.8*1.5,0)</f>
        <v>55</v>
      </c>
      <c r="CB19" s="688">
        <v>1.8</v>
      </c>
      <c r="CC19" s="584">
        <f>ROUND(13.2*2.8*1.8,0)</f>
        <v>67</v>
      </c>
      <c r="CD19" s="688">
        <v>2.1</v>
      </c>
      <c r="CE19" s="584">
        <f>ROUND(13.2*2.8*2.1,0)</f>
        <v>78</v>
      </c>
      <c r="CF19" s="688">
        <v>2.2000000000000002</v>
      </c>
      <c r="CG19" s="584">
        <f>ROUND(13.2*2.8*2.2,0)</f>
        <v>81</v>
      </c>
      <c r="CH19" s="688">
        <v>2.2999999999999998</v>
      </c>
      <c r="CI19" s="584">
        <f>ROUND(13.2*2.8*2.3,0)</f>
        <v>85</v>
      </c>
      <c r="CJ19" s="688">
        <v>2.2000000000000002</v>
      </c>
      <c r="CK19" s="584">
        <f>ROUND(13.2*2.8*2.2,0)</f>
        <v>81</v>
      </c>
      <c r="CL19" s="688">
        <v>2.1</v>
      </c>
      <c r="CM19" s="584">
        <f>ROUND(13.2*2.8*2.1,0)</f>
        <v>78</v>
      </c>
      <c r="CN19" s="688">
        <v>2</v>
      </c>
      <c r="CO19" s="584">
        <f>ROUND(13.2*2.8*2,0)</f>
        <v>74</v>
      </c>
      <c r="CP19" s="688">
        <v>1.8</v>
      </c>
      <c r="CQ19" s="584">
        <f>ROUND(13.2*2.8*1.8,0)</f>
        <v>67</v>
      </c>
      <c r="CR19" s="688">
        <v>1.5</v>
      </c>
      <c r="CS19" s="584">
        <f>ROUND(13.2*2.8*1.5,0)</f>
        <v>55</v>
      </c>
      <c r="CT19" s="688">
        <v>0</v>
      </c>
      <c r="CU19" s="584">
        <f>ROUND(13.2*2.8*0,0)</f>
        <v>0</v>
      </c>
      <c r="CV19" s="688">
        <v>0</v>
      </c>
      <c r="CW19" s="584">
        <f>ROUND(13.2*2.8*0,0)</f>
        <v>0</v>
      </c>
      <c r="CX19" s="688">
        <v>0</v>
      </c>
      <c r="CY19" s="584">
        <f>ROUND(13.2*2.8*0,0)</f>
        <v>0</v>
      </c>
      <c r="CZ19" s="688">
        <v>0</v>
      </c>
      <c r="DA19" s="584">
        <f>ROUND(13.2*2.8*0,0)</f>
        <v>0</v>
      </c>
      <c r="DB19" s="688">
        <v>0</v>
      </c>
      <c r="DC19" s="584">
        <f>ROUND(13.2*2.8*0,0)</f>
        <v>0</v>
      </c>
      <c r="DD19" s="688">
        <v>0</v>
      </c>
      <c r="DE19" s="586">
        <f>ROUND(13.2*2.8*0,0)</f>
        <v>0</v>
      </c>
      <c r="DF19" s="559"/>
      <c r="DG19" s="549"/>
      <c r="DH19" s="693" t="s">
        <v>269</v>
      </c>
      <c r="DI19" s="684"/>
      <c r="DJ19" s="580">
        <v>13.2</v>
      </c>
      <c r="DK19" s="685">
        <v>2.8</v>
      </c>
      <c r="DL19" s="686"/>
      <c r="DM19" s="687">
        <v>0</v>
      </c>
      <c r="DN19" s="584">
        <f>ROUND(13.2*2.8*0,0)</f>
        <v>0</v>
      </c>
      <c r="DO19" s="688">
        <v>0</v>
      </c>
      <c r="DP19" s="584">
        <f>ROUND(13.2*2.8*0,0)</f>
        <v>0</v>
      </c>
      <c r="DQ19" s="688">
        <v>0</v>
      </c>
      <c r="DR19" s="584">
        <f>ROUND(13.2*2.8*0,0)</f>
        <v>0</v>
      </c>
      <c r="DS19" s="688">
        <v>0</v>
      </c>
      <c r="DT19" s="584">
        <f>ROUND(13.2*2.8*0,0)</f>
        <v>0</v>
      </c>
      <c r="DU19" s="688">
        <v>0</v>
      </c>
      <c r="DV19" s="584">
        <f>ROUND(13.2*2.8*0,0)</f>
        <v>0</v>
      </c>
      <c r="DW19" s="688">
        <v>0</v>
      </c>
      <c r="DX19" s="584">
        <f>ROUND(13.2*2.8*0,0)</f>
        <v>0</v>
      </c>
      <c r="DY19" s="688">
        <v>0</v>
      </c>
      <c r="DZ19" s="584">
        <f>ROUND(13.2*2.8*0,0)</f>
        <v>0</v>
      </c>
      <c r="EA19" s="688">
        <v>0</v>
      </c>
      <c r="EB19" s="584">
        <f>ROUND(13.2*2.8*0,0)</f>
        <v>0</v>
      </c>
      <c r="EC19" s="688">
        <v>0.8</v>
      </c>
      <c r="ED19" s="584">
        <f>ROUND(13.2*2.8*0.8,0)</f>
        <v>30</v>
      </c>
      <c r="EE19" s="688">
        <v>1.2</v>
      </c>
      <c r="EF19" s="584">
        <f>ROUND(13.2*2.8*1.2,0)</f>
        <v>44</v>
      </c>
      <c r="EG19" s="688">
        <v>1.5</v>
      </c>
      <c r="EH19" s="584">
        <f>ROUND(13.2*2.8*1.5,0)</f>
        <v>55</v>
      </c>
      <c r="EI19" s="688">
        <v>1.7</v>
      </c>
      <c r="EJ19" s="584">
        <f>ROUND(13.2*2.8*1.7,0)</f>
        <v>63</v>
      </c>
      <c r="EK19" s="688">
        <v>1.7</v>
      </c>
      <c r="EL19" s="584">
        <f>ROUND(13.2*2.8*1.7,0)</f>
        <v>63</v>
      </c>
      <c r="EM19" s="688">
        <v>1.6</v>
      </c>
      <c r="EN19" s="584">
        <f>ROUND(13.2*2.8*1.6,0)</f>
        <v>59</v>
      </c>
      <c r="EO19" s="688">
        <v>1.5</v>
      </c>
      <c r="EP19" s="584">
        <f>ROUND(13.2*2.8*1.5,0)</f>
        <v>55</v>
      </c>
      <c r="EQ19" s="688">
        <v>1.4</v>
      </c>
      <c r="ER19" s="584">
        <f>ROUND(13.2*2.8*1.4,0)</f>
        <v>52</v>
      </c>
      <c r="ES19" s="688">
        <v>1.1000000000000001</v>
      </c>
      <c r="ET19" s="584">
        <f>ROUND(13.2*2.8*1.1,0)</f>
        <v>41</v>
      </c>
      <c r="EU19" s="688">
        <v>0.8</v>
      </c>
      <c r="EV19" s="584">
        <f>ROUND(13.2*2.8*0.8,0)</f>
        <v>30</v>
      </c>
      <c r="EW19" s="688">
        <v>0</v>
      </c>
      <c r="EX19" s="584">
        <f>ROUND(13.2*2.8*0,0)</f>
        <v>0</v>
      </c>
      <c r="EY19" s="688">
        <v>0</v>
      </c>
      <c r="EZ19" s="584">
        <f>ROUND(13.2*2.8*0,0)</f>
        <v>0</v>
      </c>
      <c r="FA19" s="688">
        <v>0</v>
      </c>
      <c r="FB19" s="584">
        <f>ROUND(13.2*2.8*0,0)</f>
        <v>0</v>
      </c>
      <c r="FC19" s="688">
        <v>0</v>
      </c>
      <c r="FD19" s="584">
        <f>ROUND(13.2*2.8*0,0)</f>
        <v>0</v>
      </c>
      <c r="FE19" s="688">
        <v>0</v>
      </c>
      <c r="FF19" s="584">
        <f>ROUND(13.2*2.8*0,0)</f>
        <v>0</v>
      </c>
      <c r="FG19" s="688">
        <v>0</v>
      </c>
      <c r="FH19" s="586">
        <f>ROUND(13.2*2.8*0,0)</f>
        <v>0</v>
      </c>
      <c r="FI19" s="560"/>
      <c r="FJ19" s="561"/>
      <c r="FK19" s="693" t="s">
        <v>269</v>
      </c>
      <c r="FL19" s="684"/>
      <c r="FM19" s="580">
        <v>13.2</v>
      </c>
      <c r="FN19" s="685">
        <v>2.8</v>
      </c>
      <c r="FO19" s="686"/>
      <c r="FP19" s="689">
        <v>9</v>
      </c>
      <c r="FQ19" s="690">
        <v>6</v>
      </c>
      <c r="FR19" s="584">
        <f>ROUND(13.2*2.8*6,0)</f>
        <v>222</v>
      </c>
      <c r="FS19" s="691">
        <v>9</v>
      </c>
      <c r="FT19" s="690">
        <v>6.1</v>
      </c>
      <c r="FU19" s="589">
        <f>ROUND(13.2*2.8*6.1,0)</f>
        <v>225</v>
      </c>
      <c r="FV19" s="590"/>
      <c r="FW19" s="591"/>
      <c r="FX19" s="592"/>
      <c r="FY19" s="593"/>
      <c r="FZ19" s="594"/>
      <c r="GA19" s="595"/>
      <c r="GB19" s="596"/>
      <c r="GC19" s="597"/>
      <c r="GD19" s="596"/>
      <c r="GE19" s="598"/>
      <c r="GF19" s="681"/>
      <c r="GG19" s="599"/>
      <c r="GH19" s="599"/>
      <c r="GI19" s="599"/>
      <c r="GJ19" s="410"/>
      <c r="GK19" s="625"/>
      <c r="GL19" s="626"/>
      <c r="GM19" s="627"/>
      <c r="GN19" s="628"/>
      <c r="GO19" s="629"/>
      <c r="GP19" s="653"/>
      <c r="GQ19" s="630">
        <v>0</v>
      </c>
      <c r="GR19" s="631">
        <v>0</v>
      </c>
      <c r="GS19" s="410"/>
      <c r="GT19" s="654"/>
      <c r="GU19" s="625"/>
      <c r="GV19" s="626"/>
      <c r="GW19" s="632"/>
      <c r="GX19" s="633"/>
      <c r="GY19" s="634"/>
      <c r="GZ19" s="635"/>
      <c r="HA19" s="636">
        <v>0</v>
      </c>
      <c r="HB19" s="637"/>
      <c r="HC19" s="526"/>
      <c r="HD19" s="559"/>
      <c r="HE19" s="416"/>
      <c r="HF19" s="416"/>
      <c r="HG19" s="416"/>
    </row>
    <row r="20" spans="1:218" ht="20.100000000000001" customHeight="1">
      <c r="A20" s="549"/>
      <c r="B20" s="693"/>
      <c r="C20" s="684"/>
      <c r="D20" s="580"/>
      <c r="E20" s="685"/>
      <c r="F20" s="686"/>
      <c r="G20" s="687"/>
      <c r="H20" s="584"/>
      <c r="I20" s="688"/>
      <c r="J20" s="584"/>
      <c r="K20" s="688"/>
      <c r="L20" s="584"/>
      <c r="M20" s="688"/>
      <c r="N20" s="584"/>
      <c r="O20" s="688"/>
      <c r="P20" s="584"/>
      <c r="Q20" s="688"/>
      <c r="R20" s="584"/>
      <c r="S20" s="688"/>
      <c r="T20" s="584"/>
      <c r="U20" s="688"/>
      <c r="V20" s="584"/>
      <c r="W20" s="688"/>
      <c r="X20" s="584"/>
      <c r="Y20" s="688"/>
      <c r="Z20" s="584"/>
      <c r="AA20" s="688"/>
      <c r="AB20" s="584"/>
      <c r="AC20" s="688"/>
      <c r="AD20" s="584"/>
      <c r="AE20" s="688"/>
      <c r="AF20" s="584"/>
      <c r="AG20" s="688"/>
      <c r="AH20" s="584"/>
      <c r="AI20" s="688"/>
      <c r="AJ20" s="584"/>
      <c r="AK20" s="688"/>
      <c r="AL20" s="584"/>
      <c r="AM20" s="688"/>
      <c r="AN20" s="584"/>
      <c r="AO20" s="688"/>
      <c r="AP20" s="584"/>
      <c r="AQ20" s="688"/>
      <c r="AR20" s="584"/>
      <c r="AS20" s="688"/>
      <c r="AT20" s="584"/>
      <c r="AU20" s="688"/>
      <c r="AV20" s="584"/>
      <c r="AW20" s="688"/>
      <c r="AX20" s="584"/>
      <c r="AY20" s="688"/>
      <c r="AZ20" s="584"/>
      <c r="BA20" s="688"/>
      <c r="BB20" s="586"/>
      <c r="BC20" s="559"/>
      <c r="BD20" s="549"/>
      <c r="BE20" s="693"/>
      <c r="BF20" s="684"/>
      <c r="BG20" s="580"/>
      <c r="BH20" s="685"/>
      <c r="BI20" s="686"/>
      <c r="BJ20" s="687"/>
      <c r="BK20" s="584"/>
      <c r="BL20" s="688"/>
      <c r="BM20" s="584"/>
      <c r="BN20" s="688"/>
      <c r="BO20" s="584"/>
      <c r="BP20" s="688"/>
      <c r="BQ20" s="584"/>
      <c r="BR20" s="688"/>
      <c r="BS20" s="584"/>
      <c r="BT20" s="688"/>
      <c r="BU20" s="584"/>
      <c r="BV20" s="688"/>
      <c r="BW20" s="584"/>
      <c r="BX20" s="688"/>
      <c r="BY20" s="584"/>
      <c r="BZ20" s="688"/>
      <c r="CA20" s="584"/>
      <c r="CB20" s="688"/>
      <c r="CC20" s="584"/>
      <c r="CD20" s="688"/>
      <c r="CE20" s="584"/>
      <c r="CF20" s="688"/>
      <c r="CG20" s="584"/>
      <c r="CH20" s="688"/>
      <c r="CI20" s="584"/>
      <c r="CJ20" s="688"/>
      <c r="CK20" s="584"/>
      <c r="CL20" s="688"/>
      <c r="CM20" s="584"/>
      <c r="CN20" s="688"/>
      <c r="CO20" s="584"/>
      <c r="CP20" s="688"/>
      <c r="CQ20" s="584"/>
      <c r="CR20" s="688"/>
      <c r="CS20" s="584"/>
      <c r="CT20" s="688"/>
      <c r="CU20" s="584"/>
      <c r="CV20" s="688"/>
      <c r="CW20" s="584"/>
      <c r="CX20" s="688"/>
      <c r="CY20" s="584"/>
      <c r="CZ20" s="688"/>
      <c r="DA20" s="584"/>
      <c r="DB20" s="688"/>
      <c r="DC20" s="584"/>
      <c r="DD20" s="688"/>
      <c r="DE20" s="586"/>
      <c r="DF20" s="559"/>
      <c r="DG20" s="549"/>
      <c r="DH20" s="693"/>
      <c r="DI20" s="684"/>
      <c r="DJ20" s="580"/>
      <c r="DK20" s="685"/>
      <c r="DL20" s="686"/>
      <c r="DM20" s="687"/>
      <c r="DN20" s="584"/>
      <c r="DO20" s="688"/>
      <c r="DP20" s="584"/>
      <c r="DQ20" s="688"/>
      <c r="DR20" s="584"/>
      <c r="DS20" s="688"/>
      <c r="DT20" s="584"/>
      <c r="DU20" s="688"/>
      <c r="DV20" s="584"/>
      <c r="DW20" s="688"/>
      <c r="DX20" s="584"/>
      <c r="DY20" s="688"/>
      <c r="DZ20" s="584"/>
      <c r="EA20" s="688"/>
      <c r="EB20" s="584"/>
      <c r="EC20" s="688"/>
      <c r="ED20" s="584"/>
      <c r="EE20" s="688"/>
      <c r="EF20" s="584"/>
      <c r="EG20" s="688"/>
      <c r="EH20" s="584"/>
      <c r="EI20" s="688"/>
      <c r="EJ20" s="584"/>
      <c r="EK20" s="688"/>
      <c r="EL20" s="584"/>
      <c r="EM20" s="688"/>
      <c r="EN20" s="584"/>
      <c r="EO20" s="688"/>
      <c r="EP20" s="584"/>
      <c r="EQ20" s="688"/>
      <c r="ER20" s="584"/>
      <c r="ES20" s="688"/>
      <c r="ET20" s="584"/>
      <c r="EU20" s="688"/>
      <c r="EV20" s="584"/>
      <c r="EW20" s="688"/>
      <c r="EX20" s="584"/>
      <c r="EY20" s="688"/>
      <c r="EZ20" s="584"/>
      <c r="FA20" s="688"/>
      <c r="FB20" s="584"/>
      <c r="FC20" s="688"/>
      <c r="FD20" s="584"/>
      <c r="FE20" s="688"/>
      <c r="FF20" s="584"/>
      <c r="FG20" s="688"/>
      <c r="FH20" s="586"/>
      <c r="FI20" s="560"/>
      <c r="FJ20" s="561"/>
      <c r="FK20" s="693"/>
      <c r="FL20" s="684"/>
      <c r="FM20" s="580"/>
      <c r="FN20" s="685"/>
      <c r="FO20" s="686"/>
      <c r="FP20" s="689"/>
      <c r="FQ20" s="690"/>
      <c r="FR20" s="584"/>
      <c r="FS20" s="691"/>
      <c r="FT20" s="690"/>
      <c r="FU20" s="589"/>
      <c r="FV20" s="590"/>
      <c r="FW20" s="591"/>
      <c r="FX20" s="592"/>
      <c r="FY20" s="593"/>
      <c r="FZ20" s="594"/>
      <c r="GA20" s="595"/>
      <c r="GB20" s="596"/>
      <c r="GC20" s="597"/>
      <c r="GD20" s="596"/>
      <c r="GE20" s="598"/>
      <c r="GF20" s="681"/>
      <c r="GG20" s="599"/>
      <c r="GH20" s="599"/>
      <c r="GI20" s="599"/>
      <c r="GJ20" s="410"/>
      <c r="GK20" s="625"/>
      <c r="GL20" s="626"/>
      <c r="GM20" s="627"/>
      <c r="GN20" s="628"/>
      <c r="GO20" s="629"/>
      <c r="GP20" s="653"/>
      <c r="GQ20" s="630">
        <v>0</v>
      </c>
      <c r="GR20" s="631">
        <v>0</v>
      </c>
      <c r="GS20" s="414"/>
      <c r="GT20" s="654"/>
      <c r="GU20" s="625"/>
      <c r="GV20" s="626"/>
      <c r="GW20" s="632"/>
      <c r="GX20" s="633"/>
      <c r="GY20" s="634"/>
      <c r="GZ20" s="635"/>
      <c r="HA20" s="636">
        <v>0</v>
      </c>
      <c r="HB20" s="637"/>
      <c r="HC20" s="410"/>
      <c r="HD20" s="559"/>
      <c r="HE20" s="416"/>
      <c r="HF20" s="416"/>
      <c r="HG20" s="416"/>
    </row>
    <row r="21" spans="1:218" ht="20.100000000000001" customHeight="1">
      <c r="A21" s="549"/>
      <c r="B21" s="693"/>
      <c r="C21" s="684"/>
      <c r="D21" s="580"/>
      <c r="E21" s="685"/>
      <c r="F21" s="686"/>
      <c r="G21" s="687"/>
      <c r="H21" s="584"/>
      <c r="I21" s="688"/>
      <c r="J21" s="584"/>
      <c r="K21" s="688"/>
      <c r="L21" s="584"/>
      <c r="M21" s="688"/>
      <c r="N21" s="584"/>
      <c r="O21" s="688"/>
      <c r="P21" s="584"/>
      <c r="Q21" s="688"/>
      <c r="R21" s="584"/>
      <c r="S21" s="688"/>
      <c r="T21" s="584"/>
      <c r="U21" s="688"/>
      <c r="V21" s="584"/>
      <c r="W21" s="688"/>
      <c r="X21" s="584"/>
      <c r="Y21" s="688"/>
      <c r="Z21" s="584"/>
      <c r="AA21" s="688"/>
      <c r="AB21" s="584"/>
      <c r="AC21" s="688"/>
      <c r="AD21" s="584"/>
      <c r="AE21" s="688"/>
      <c r="AF21" s="584"/>
      <c r="AG21" s="688"/>
      <c r="AH21" s="584"/>
      <c r="AI21" s="688"/>
      <c r="AJ21" s="584"/>
      <c r="AK21" s="688"/>
      <c r="AL21" s="584"/>
      <c r="AM21" s="688"/>
      <c r="AN21" s="584"/>
      <c r="AO21" s="688"/>
      <c r="AP21" s="584"/>
      <c r="AQ21" s="688"/>
      <c r="AR21" s="584"/>
      <c r="AS21" s="688"/>
      <c r="AT21" s="584"/>
      <c r="AU21" s="688"/>
      <c r="AV21" s="584"/>
      <c r="AW21" s="688"/>
      <c r="AX21" s="584"/>
      <c r="AY21" s="688"/>
      <c r="AZ21" s="584"/>
      <c r="BA21" s="688"/>
      <c r="BB21" s="586"/>
      <c r="BC21" s="559"/>
      <c r="BD21" s="549"/>
      <c r="BE21" s="693"/>
      <c r="BF21" s="684"/>
      <c r="BG21" s="580"/>
      <c r="BH21" s="685"/>
      <c r="BI21" s="686"/>
      <c r="BJ21" s="687"/>
      <c r="BK21" s="584"/>
      <c r="BL21" s="688"/>
      <c r="BM21" s="584"/>
      <c r="BN21" s="688"/>
      <c r="BO21" s="584"/>
      <c r="BP21" s="688"/>
      <c r="BQ21" s="584"/>
      <c r="BR21" s="688"/>
      <c r="BS21" s="584"/>
      <c r="BT21" s="688"/>
      <c r="BU21" s="584"/>
      <c r="BV21" s="688"/>
      <c r="BW21" s="584"/>
      <c r="BX21" s="688"/>
      <c r="BY21" s="584"/>
      <c r="BZ21" s="688"/>
      <c r="CA21" s="584"/>
      <c r="CB21" s="688"/>
      <c r="CC21" s="584"/>
      <c r="CD21" s="688"/>
      <c r="CE21" s="584"/>
      <c r="CF21" s="688"/>
      <c r="CG21" s="584"/>
      <c r="CH21" s="688"/>
      <c r="CI21" s="584"/>
      <c r="CJ21" s="688"/>
      <c r="CK21" s="584"/>
      <c r="CL21" s="688"/>
      <c r="CM21" s="584"/>
      <c r="CN21" s="688"/>
      <c r="CO21" s="584"/>
      <c r="CP21" s="688"/>
      <c r="CQ21" s="584"/>
      <c r="CR21" s="688"/>
      <c r="CS21" s="584"/>
      <c r="CT21" s="688"/>
      <c r="CU21" s="584"/>
      <c r="CV21" s="688"/>
      <c r="CW21" s="584"/>
      <c r="CX21" s="688"/>
      <c r="CY21" s="584"/>
      <c r="CZ21" s="688"/>
      <c r="DA21" s="584"/>
      <c r="DB21" s="688"/>
      <c r="DC21" s="584"/>
      <c r="DD21" s="688"/>
      <c r="DE21" s="586"/>
      <c r="DF21" s="559"/>
      <c r="DG21" s="549"/>
      <c r="DH21" s="693"/>
      <c r="DI21" s="684"/>
      <c r="DJ21" s="580"/>
      <c r="DK21" s="685"/>
      <c r="DL21" s="686"/>
      <c r="DM21" s="687"/>
      <c r="DN21" s="584"/>
      <c r="DO21" s="688"/>
      <c r="DP21" s="584"/>
      <c r="DQ21" s="688"/>
      <c r="DR21" s="584"/>
      <c r="DS21" s="688"/>
      <c r="DT21" s="584"/>
      <c r="DU21" s="688"/>
      <c r="DV21" s="584"/>
      <c r="DW21" s="688"/>
      <c r="DX21" s="584"/>
      <c r="DY21" s="688"/>
      <c r="DZ21" s="584"/>
      <c r="EA21" s="688"/>
      <c r="EB21" s="584"/>
      <c r="EC21" s="688"/>
      <c r="ED21" s="584"/>
      <c r="EE21" s="688"/>
      <c r="EF21" s="584"/>
      <c r="EG21" s="688"/>
      <c r="EH21" s="584"/>
      <c r="EI21" s="688"/>
      <c r="EJ21" s="584"/>
      <c r="EK21" s="688"/>
      <c r="EL21" s="584"/>
      <c r="EM21" s="688"/>
      <c r="EN21" s="584"/>
      <c r="EO21" s="688"/>
      <c r="EP21" s="584"/>
      <c r="EQ21" s="688"/>
      <c r="ER21" s="584"/>
      <c r="ES21" s="688"/>
      <c r="ET21" s="584"/>
      <c r="EU21" s="688"/>
      <c r="EV21" s="584"/>
      <c r="EW21" s="688"/>
      <c r="EX21" s="584"/>
      <c r="EY21" s="688"/>
      <c r="EZ21" s="584"/>
      <c r="FA21" s="688"/>
      <c r="FB21" s="584"/>
      <c r="FC21" s="688"/>
      <c r="FD21" s="584"/>
      <c r="FE21" s="688"/>
      <c r="FF21" s="584"/>
      <c r="FG21" s="688"/>
      <c r="FH21" s="586"/>
      <c r="FI21" s="560"/>
      <c r="FJ21" s="561"/>
      <c r="FK21" s="693"/>
      <c r="FL21" s="684"/>
      <c r="FM21" s="580"/>
      <c r="FN21" s="685"/>
      <c r="FO21" s="686"/>
      <c r="FP21" s="689"/>
      <c r="FQ21" s="690"/>
      <c r="FR21" s="584"/>
      <c r="FS21" s="691"/>
      <c r="FT21" s="690"/>
      <c r="FU21" s="589"/>
      <c r="FV21" s="590"/>
      <c r="FW21" s="591"/>
      <c r="FX21" s="592"/>
      <c r="FY21" s="593"/>
      <c r="FZ21" s="594"/>
      <c r="GA21" s="595"/>
      <c r="GB21" s="596"/>
      <c r="GC21" s="597"/>
      <c r="GD21" s="596"/>
      <c r="GE21" s="598"/>
      <c r="GF21" s="681"/>
      <c r="GG21" s="599"/>
      <c r="GH21" s="599"/>
      <c r="GI21" s="599"/>
      <c r="GJ21" s="410"/>
      <c r="GK21" s="694" t="s">
        <v>463</v>
      </c>
      <c r="GL21" s="695"/>
      <c r="GM21" s="696"/>
      <c r="GN21" s="635">
        <v>0</v>
      </c>
      <c r="GO21" s="697"/>
      <c r="GP21" s="698"/>
      <c r="GQ21" s="630">
        <v>0</v>
      </c>
      <c r="GR21" s="631">
        <v>0</v>
      </c>
      <c r="GS21" s="575"/>
      <c r="GT21" s="670"/>
      <c r="GU21" s="694" t="s">
        <v>463</v>
      </c>
      <c r="GV21" s="695"/>
      <c r="GW21" s="696"/>
      <c r="GX21" s="699">
        <v>0</v>
      </c>
      <c r="GY21" s="700"/>
      <c r="GZ21" s="697"/>
      <c r="HA21" s="701">
        <v>0</v>
      </c>
      <c r="HB21" s="702"/>
      <c r="HC21" s="703"/>
      <c r="HD21" s="559"/>
      <c r="HE21" s="612"/>
      <c r="HF21" s="612"/>
      <c r="HG21" s="416"/>
    </row>
    <row r="22" spans="1:218" ht="20.100000000000001" customHeight="1">
      <c r="A22" s="549"/>
      <c r="B22" s="693"/>
      <c r="C22" s="684"/>
      <c r="D22" s="580"/>
      <c r="E22" s="685"/>
      <c r="F22" s="686"/>
      <c r="G22" s="687"/>
      <c r="H22" s="584"/>
      <c r="I22" s="688"/>
      <c r="J22" s="584"/>
      <c r="K22" s="688"/>
      <c r="L22" s="584"/>
      <c r="M22" s="688"/>
      <c r="N22" s="584"/>
      <c r="O22" s="688"/>
      <c r="P22" s="584"/>
      <c r="Q22" s="688"/>
      <c r="R22" s="584"/>
      <c r="S22" s="688"/>
      <c r="T22" s="584"/>
      <c r="U22" s="688"/>
      <c r="V22" s="584"/>
      <c r="W22" s="688"/>
      <c r="X22" s="584"/>
      <c r="Y22" s="688"/>
      <c r="Z22" s="584"/>
      <c r="AA22" s="688"/>
      <c r="AB22" s="584"/>
      <c r="AC22" s="688"/>
      <c r="AD22" s="584"/>
      <c r="AE22" s="688"/>
      <c r="AF22" s="584"/>
      <c r="AG22" s="688"/>
      <c r="AH22" s="584"/>
      <c r="AI22" s="688"/>
      <c r="AJ22" s="584"/>
      <c r="AK22" s="688"/>
      <c r="AL22" s="584"/>
      <c r="AM22" s="688"/>
      <c r="AN22" s="584"/>
      <c r="AO22" s="688"/>
      <c r="AP22" s="584"/>
      <c r="AQ22" s="688"/>
      <c r="AR22" s="584"/>
      <c r="AS22" s="688"/>
      <c r="AT22" s="584"/>
      <c r="AU22" s="688"/>
      <c r="AV22" s="584"/>
      <c r="AW22" s="688"/>
      <c r="AX22" s="584"/>
      <c r="AY22" s="688"/>
      <c r="AZ22" s="584"/>
      <c r="BA22" s="688"/>
      <c r="BB22" s="586"/>
      <c r="BC22" s="559"/>
      <c r="BD22" s="549"/>
      <c r="BE22" s="693"/>
      <c r="BF22" s="684"/>
      <c r="BG22" s="580"/>
      <c r="BH22" s="685"/>
      <c r="BI22" s="686"/>
      <c r="BJ22" s="687"/>
      <c r="BK22" s="584"/>
      <c r="BL22" s="688"/>
      <c r="BM22" s="584"/>
      <c r="BN22" s="688"/>
      <c r="BO22" s="584"/>
      <c r="BP22" s="688"/>
      <c r="BQ22" s="584"/>
      <c r="BR22" s="688"/>
      <c r="BS22" s="584"/>
      <c r="BT22" s="688"/>
      <c r="BU22" s="584"/>
      <c r="BV22" s="688"/>
      <c r="BW22" s="584"/>
      <c r="BX22" s="688"/>
      <c r="BY22" s="584"/>
      <c r="BZ22" s="688"/>
      <c r="CA22" s="584"/>
      <c r="CB22" s="688"/>
      <c r="CC22" s="584"/>
      <c r="CD22" s="688"/>
      <c r="CE22" s="584"/>
      <c r="CF22" s="688"/>
      <c r="CG22" s="584"/>
      <c r="CH22" s="688"/>
      <c r="CI22" s="584"/>
      <c r="CJ22" s="688"/>
      <c r="CK22" s="584"/>
      <c r="CL22" s="688"/>
      <c r="CM22" s="584"/>
      <c r="CN22" s="688"/>
      <c r="CO22" s="584"/>
      <c r="CP22" s="688"/>
      <c r="CQ22" s="584"/>
      <c r="CR22" s="688"/>
      <c r="CS22" s="584"/>
      <c r="CT22" s="688"/>
      <c r="CU22" s="584"/>
      <c r="CV22" s="688"/>
      <c r="CW22" s="584"/>
      <c r="CX22" s="688"/>
      <c r="CY22" s="584"/>
      <c r="CZ22" s="688"/>
      <c r="DA22" s="584"/>
      <c r="DB22" s="688"/>
      <c r="DC22" s="584"/>
      <c r="DD22" s="688"/>
      <c r="DE22" s="586"/>
      <c r="DF22" s="559"/>
      <c r="DG22" s="549"/>
      <c r="DH22" s="693"/>
      <c r="DI22" s="684"/>
      <c r="DJ22" s="580"/>
      <c r="DK22" s="685"/>
      <c r="DL22" s="686"/>
      <c r="DM22" s="687"/>
      <c r="DN22" s="584"/>
      <c r="DO22" s="688"/>
      <c r="DP22" s="584"/>
      <c r="DQ22" s="688"/>
      <c r="DR22" s="584"/>
      <c r="DS22" s="688"/>
      <c r="DT22" s="584"/>
      <c r="DU22" s="688"/>
      <c r="DV22" s="584"/>
      <c r="DW22" s="688"/>
      <c r="DX22" s="584"/>
      <c r="DY22" s="688"/>
      <c r="DZ22" s="584"/>
      <c r="EA22" s="688"/>
      <c r="EB22" s="584"/>
      <c r="EC22" s="688"/>
      <c r="ED22" s="584"/>
      <c r="EE22" s="688"/>
      <c r="EF22" s="584"/>
      <c r="EG22" s="688"/>
      <c r="EH22" s="584"/>
      <c r="EI22" s="688"/>
      <c r="EJ22" s="584"/>
      <c r="EK22" s="688"/>
      <c r="EL22" s="584"/>
      <c r="EM22" s="688"/>
      <c r="EN22" s="584"/>
      <c r="EO22" s="688"/>
      <c r="EP22" s="584"/>
      <c r="EQ22" s="688"/>
      <c r="ER22" s="584"/>
      <c r="ES22" s="688"/>
      <c r="ET22" s="584"/>
      <c r="EU22" s="688"/>
      <c r="EV22" s="584"/>
      <c r="EW22" s="688"/>
      <c r="EX22" s="584"/>
      <c r="EY22" s="688"/>
      <c r="EZ22" s="584"/>
      <c r="FA22" s="688"/>
      <c r="FB22" s="584"/>
      <c r="FC22" s="688"/>
      <c r="FD22" s="584"/>
      <c r="FE22" s="688"/>
      <c r="FF22" s="584"/>
      <c r="FG22" s="688"/>
      <c r="FH22" s="586"/>
      <c r="FI22" s="560"/>
      <c r="FJ22" s="561"/>
      <c r="FK22" s="693"/>
      <c r="FL22" s="684"/>
      <c r="FM22" s="580"/>
      <c r="FN22" s="685"/>
      <c r="FO22" s="686"/>
      <c r="FP22" s="689"/>
      <c r="FQ22" s="690"/>
      <c r="FR22" s="584"/>
      <c r="FS22" s="691"/>
      <c r="FT22" s="690"/>
      <c r="FU22" s="589"/>
      <c r="FV22" s="590"/>
      <c r="FW22" s="591"/>
      <c r="FX22" s="592"/>
      <c r="FY22" s="593"/>
      <c r="FZ22" s="594"/>
      <c r="GA22" s="595"/>
      <c r="GB22" s="596"/>
      <c r="GC22" s="597"/>
      <c r="GD22" s="596"/>
      <c r="GE22" s="598"/>
      <c r="GF22" s="681"/>
      <c r="GG22" s="599"/>
      <c r="GH22" s="599"/>
      <c r="GI22" s="599"/>
      <c r="GJ22" s="527"/>
      <c r="GK22" s="704" t="s">
        <v>464</v>
      </c>
      <c r="GL22" s="705"/>
      <c r="GM22" s="705"/>
      <c r="GN22" s="706"/>
      <c r="GO22" s="630">
        <v>0</v>
      </c>
      <c r="GP22" s="630">
        <v>1</v>
      </c>
      <c r="GQ22" s="707"/>
      <c r="GR22" s="708"/>
      <c r="GS22" s="575"/>
      <c r="GT22" s="670"/>
      <c r="GU22" s="704" t="s">
        <v>464</v>
      </c>
      <c r="GV22" s="705"/>
      <c r="GW22" s="705"/>
      <c r="GX22" s="705"/>
      <c r="GY22" s="706"/>
      <c r="GZ22" s="630">
        <v>0</v>
      </c>
      <c r="HA22" s="709"/>
      <c r="HB22" s="710"/>
      <c r="HC22" s="414"/>
      <c r="HD22" s="559"/>
      <c r="HE22" s="416"/>
      <c r="HF22" s="416"/>
      <c r="HG22" s="416"/>
    </row>
    <row r="23" spans="1:218" ht="20.100000000000001" customHeight="1">
      <c r="A23" s="549"/>
      <c r="B23" s="693"/>
      <c r="C23" s="684"/>
      <c r="D23" s="580"/>
      <c r="E23" s="685"/>
      <c r="F23" s="686"/>
      <c r="G23" s="687"/>
      <c r="H23" s="584"/>
      <c r="I23" s="688"/>
      <c r="J23" s="584"/>
      <c r="K23" s="688"/>
      <c r="L23" s="584"/>
      <c r="M23" s="688"/>
      <c r="N23" s="584"/>
      <c r="O23" s="688"/>
      <c r="P23" s="584"/>
      <c r="Q23" s="688"/>
      <c r="R23" s="584"/>
      <c r="S23" s="688"/>
      <c r="T23" s="584"/>
      <c r="U23" s="688"/>
      <c r="V23" s="584"/>
      <c r="W23" s="688"/>
      <c r="X23" s="584"/>
      <c r="Y23" s="688"/>
      <c r="Z23" s="584"/>
      <c r="AA23" s="688"/>
      <c r="AB23" s="584"/>
      <c r="AC23" s="688"/>
      <c r="AD23" s="584"/>
      <c r="AE23" s="688"/>
      <c r="AF23" s="584"/>
      <c r="AG23" s="688"/>
      <c r="AH23" s="584"/>
      <c r="AI23" s="688"/>
      <c r="AJ23" s="584"/>
      <c r="AK23" s="688"/>
      <c r="AL23" s="584"/>
      <c r="AM23" s="688"/>
      <c r="AN23" s="584"/>
      <c r="AO23" s="688"/>
      <c r="AP23" s="584"/>
      <c r="AQ23" s="688"/>
      <c r="AR23" s="584"/>
      <c r="AS23" s="688"/>
      <c r="AT23" s="584"/>
      <c r="AU23" s="688"/>
      <c r="AV23" s="584"/>
      <c r="AW23" s="688"/>
      <c r="AX23" s="584"/>
      <c r="AY23" s="688"/>
      <c r="AZ23" s="584"/>
      <c r="BA23" s="688"/>
      <c r="BB23" s="586"/>
      <c r="BC23" s="559"/>
      <c r="BD23" s="549"/>
      <c r="BE23" s="693"/>
      <c r="BF23" s="684"/>
      <c r="BG23" s="580"/>
      <c r="BH23" s="685"/>
      <c r="BI23" s="686"/>
      <c r="BJ23" s="687"/>
      <c r="BK23" s="584"/>
      <c r="BL23" s="688"/>
      <c r="BM23" s="584"/>
      <c r="BN23" s="688"/>
      <c r="BO23" s="584"/>
      <c r="BP23" s="688"/>
      <c r="BQ23" s="584"/>
      <c r="BR23" s="688"/>
      <c r="BS23" s="584"/>
      <c r="BT23" s="688"/>
      <c r="BU23" s="584"/>
      <c r="BV23" s="688"/>
      <c r="BW23" s="584"/>
      <c r="BX23" s="688"/>
      <c r="BY23" s="584"/>
      <c r="BZ23" s="688"/>
      <c r="CA23" s="584"/>
      <c r="CB23" s="688"/>
      <c r="CC23" s="584"/>
      <c r="CD23" s="688"/>
      <c r="CE23" s="584"/>
      <c r="CF23" s="688"/>
      <c r="CG23" s="584"/>
      <c r="CH23" s="688"/>
      <c r="CI23" s="584"/>
      <c r="CJ23" s="688"/>
      <c r="CK23" s="584"/>
      <c r="CL23" s="688"/>
      <c r="CM23" s="584"/>
      <c r="CN23" s="688"/>
      <c r="CO23" s="584"/>
      <c r="CP23" s="688"/>
      <c r="CQ23" s="584"/>
      <c r="CR23" s="688"/>
      <c r="CS23" s="584"/>
      <c r="CT23" s="688"/>
      <c r="CU23" s="584"/>
      <c r="CV23" s="688"/>
      <c r="CW23" s="584"/>
      <c r="CX23" s="688"/>
      <c r="CY23" s="584"/>
      <c r="CZ23" s="688"/>
      <c r="DA23" s="584"/>
      <c r="DB23" s="688"/>
      <c r="DC23" s="584"/>
      <c r="DD23" s="688"/>
      <c r="DE23" s="586"/>
      <c r="DF23" s="559"/>
      <c r="DG23" s="549"/>
      <c r="DH23" s="693"/>
      <c r="DI23" s="684"/>
      <c r="DJ23" s="580"/>
      <c r="DK23" s="685"/>
      <c r="DL23" s="686"/>
      <c r="DM23" s="687"/>
      <c r="DN23" s="584"/>
      <c r="DO23" s="688"/>
      <c r="DP23" s="584"/>
      <c r="DQ23" s="688"/>
      <c r="DR23" s="584"/>
      <c r="DS23" s="688"/>
      <c r="DT23" s="584"/>
      <c r="DU23" s="688"/>
      <c r="DV23" s="584"/>
      <c r="DW23" s="688"/>
      <c r="DX23" s="584"/>
      <c r="DY23" s="688"/>
      <c r="DZ23" s="584"/>
      <c r="EA23" s="688"/>
      <c r="EB23" s="584"/>
      <c r="EC23" s="688"/>
      <c r="ED23" s="584"/>
      <c r="EE23" s="688"/>
      <c r="EF23" s="584"/>
      <c r="EG23" s="688"/>
      <c r="EH23" s="584"/>
      <c r="EI23" s="688"/>
      <c r="EJ23" s="584"/>
      <c r="EK23" s="688"/>
      <c r="EL23" s="584"/>
      <c r="EM23" s="688"/>
      <c r="EN23" s="584"/>
      <c r="EO23" s="688"/>
      <c r="EP23" s="584"/>
      <c r="EQ23" s="688"/>
      <c r="ER23" s="584"/>
      <c r="ES23" s="688"/>
      <c r="ET23" s="584"/>
      <c r="EU23" s="688"/>
      <c r="EV23" s="584"/>
      <c r="EW23" s="688"/>
      <c r="EX23" s="584"/>
      <c r="EY23" s="688"/>
      <c r="EZ23" s="584"/>
      <c r="FA23" s="688"/>
      <c r="FB23" s="584"/>
      <c r="FC23" s="688"/>
      <c r="FD23" s="584"/>
      <c r="FE23" s="688"/>
      <c r="FF23" s="584"/>
      <c r="FG23" s="688"/>
      <c r="FH23" s="586"/>
      <c r="FI23" s="560"/>
      <c r="FJ23" s="561"/>
      <c r="FK23" s="693"/>
      <c r="FL23" s="684"/>
      <c r="FM23" s="580"/>
      <c r="FN23" s="685"/>
      <c r="FO23" s="686"/>
      <c r="FP23" s="689"/>
      <c r="FQ23" s="690"/>
      <c r="FR23" s="584"/>
      <c r="FS23" s="691"/>
      <c r="FT23" s="690"/>
      <c r="FU23" s="589"/>
      <c r="FV23" s="590"/>
      <c r="FW23" s="591"/>
      <c r="FX23" s="592"/>
      <c r="FY23" s="593"/>
      <c r="FZ23" s="594"/>
      <c r="GA23" s="595"/>
      <c r="GB23" s="596"/>
      <c r="GC23" s="597"/>
      <c r="GD23" s="596"/>
      <c r="GE23" s="598"/>
      <c r="GF23" s="681"/>
      <c r="GG23" s="599"/>
      <c r="GH23" s="599"/>
      <c r="GI23" s="599"/>
      <c r="GJ23" s="612"/>
      <c r="GK23" s="577" t="s">
        <v>465</v>
      </c>
      <c r="GL23" s="606"/>
      <c r="GM23" s="711"/>
      <c r="GN23" s="712">
        <v>13.2</v>
      </c>
      <c r="GO23" s="497" t="s">
        <v>466</v>
      </c>
      <c r="GP23" s="712"/>
      <c r="GQ23" s="606"/>
      <c r="GR23" s="612"/>
      <c r="GS23" s="575"/>
      <c r="GT23" s="670"/>
      <c r="GU23" s="606"/>
      <c r="GV23" s="527"/>
      <c r="GW23" s="606"/>
      <c r="GX23" s="606"/>
      <c r="GY23" s="713"/>
      <c r="GZ23" s="714"/>
      <c r="HA23" s="414"/>
      <c r="HB23" s="714" t="s">
        <v>467</v>
      </c>
      <c r="HC23" s="612"/>
      <c r="HD23" s="559"/>
      <c r="HE23" s="414"/>
      <c r="HF23" s="414"/>
      <c r="HG23" s="416"/>
    </row>
    <row r="24" spans="1:218" ht="20.100000000000001" customHeight="1">
      <c r="A24" s="549"/>
      <c r="B24" s="693"/>
      <c r="C24" s="684"/>
      <c r="D24" s="580"/>
      <c r="E24" s="685"/>
      <c r="F24" s="686"/>
      <c r="G24" s="687"/>
      <c r="H24" s="584"/>
      <c r="I24" s="688"/>
      <c r="J24" s="584"/>
      <c r="K24" s="688"/>
      <c r="L24" s="584"/>
      <c r="M24" s="688"/>
      <c r="N24" s="584"/>
      <c r="O24" s="688"/>
      <c r="P24" s="584"/>
      <c r="Q24" s="688"/>
      <c r="R24" s="584"/>
      <c r="S24" s="688"/>
      <c r="T24" s="584"/>
      <c r="U24" s="688"/>
      <c r="V24" s="584"/>
      <c r="W24" s="688"/>
      <c r="X24" s="584"/>
      <c r="Y24" s="688"/>
      <c r="Z24" s="584"/>
      <c r="AA24" s="688"/>
      <c r="AB24" s="584"/>
      <c r="AC24" s="688"/>
      <c r="AD24" s="584"/>
      <c r="AE24" s="688"/>
      <c r="AF24" s="584"/>
      <c r="AG24" s="688"/>
      <c r="AH24" s="584"/>
      <c r="AI24" s="688"/>
      <c r="AJ24" s="584"/>
      <c r="AK24" s="688"/>
      <c r="AL24" s="584"/>
      <c r="AM24" s="688"/>
      <c r="AN24" s="584"/>
      <c r="AO24" s="688"/>
      <c r="AP24" s="584"/>
      <c r="AQ24" s="688"/>
      <c r="AR24" s="584"/>
      <c r="AS24" s="688"/>
      <c r="AT24" s="584"/>
      <c r="AU24" s="688"/>
      <c r="AV24" s="584"/>
      <c r="AW24" s="688"/>
      <c r="AX24" s="584"/>
      <c r="AY24" s="688"/>
      <c r="AZ24" s="584"/>
      <c r="BA24" s="688"/>
      <c r="BB24" s="586"/>
      <c r="BC24" s="559"/>
      <c r="BD24" s="549"/>
      <c r="BE24" s="693"/>
      <c r="BF24" s="684"/>
      <c r="BG24" s="580"/>
      <c r="BH24" s="685"/>
      <c r="BI24" s="686"/>
      <c r="BJ24" s="687"/>
      <c r="BK24" s="584"/>
      <c r="BL24" s="688"/>
      <c r="BM24" s="584"/>
      <c r="BN24" s="688"/>
      <c r="BO24" s="584"/>
      <c r="BP24" s="688"/>
      <c r="BQ24" s="584"/>
      <c r="BR24" s="688"/>
      <c r="BS24" s="584"/>
      <c r="BT24" s="688"/>
      <c r="BU24" s="584"/>
      <c r="BV24" s="688"/>
      <c r="BW24" s="584"/>
      <c r="BX24" s="688"/>
      <c r="BY24" s="584"/>
      <c r="BZ24" s="688"/>
      <c r="CA24" s="584"/>
      <c r="CB24" s="688"/>
      <c r="CC24" s="584"/>
      <c r="CD24" s="688"/>
      <c r="CE24" s="584"/>
      <c r="CF24" s="688"/>
      <c r="CG24" s="584"/>
      <c r="CH24" s="688"/>
      <c r="CI24" s="584"/>
      <c r="CJ24" s="688"/>
      <c r="CK24" s="584"/>
      <c r="CL24" s="688"/>
      <c r="CM24" s="584"/>
      <c r="CN24" s="688"/>
      <c r="CO24" s="584"/>
      <c r="CP24" s="688"/>
      <c r="CQ24" s="584"/>
      <c r="CR24" s="688"/>
      <c r="CS24" s="584"/>
      <c r="CT24" s="688"/>
      <c r="CU24" s="584"/>
      <c r="CV24" s="688"/>
      <c r="CW24" s="584"/>
      <c r="CX24" s="688"/>
      <c r="CY24" s="584"/>
      <c r="CZ24" s="688"/>
      <c r="DA24" s="584"/>
      <c r="DB24" s="688"/>
      <c r="DC24" s="584"/>
      <c r="DD24" s="688"/>
      <c r="DE24" s="586"/>
      <c r="DF24" s="559"/>
      <c r="DG24" s="549"/>
      <c r="DH24" s="693"/>
      <c r="DI24" s="684"/>
      <c r="DJ24" s="580"/>
      <c r="DK24" s="685"/>
      <c r="DL24" s="686"/>
      <c r="DM24" s="687"/>
      <c r="DN24" s="584"/>
      <c r="DO24" s="688"/>
      <c r="DP24" s="584"/>
      <c r="DQ24" s="688"/>
      <c r="DR24" s="584"/>
      <c r="DS24" s="688"/>
      <c r="DT24" s="584"/>
      <c r="DU24" s="688"/>
      <c r="DV24" s="584"/>
      <c r="DW24" s="688"/>
      <c r="DX24" s="584"/>
      <c r="DY24" s="688"/>
      <c r="DZ24" s="584"/>
      <c r="EA24" s="688"/>
      <c r="EB24" s="584"/>
      <c r="EC24" s="688"/>
      <c r="ED24" s="584"/>
      <c r="EE24" s="688"/>
      <c r="EF24" s="584"/>
      <c r="EG24" s="688"/>
      <c r="EH24" s="584"/>
      <c r="EI24" s="688"/>
      <c r="EJ24" s="584"/>
      <c r="EK24" s="688"/>
      <c r="EL24" s="584"/>
      <c r="EM24" s="688"/>
      <c r="EN24" s="584"/>
      <c r="EO24" s="688"/>
      <c r="EP24" s="584"/>
      <c r="EQ24" s="688"/>
      <c r="ER24" s="584"/>
      <c r="ES24" s="688"/>
      <c r="ET24" s="584"/>
      <c r="EU24" s="688"/>
      <c r="EV24" s="584"/>
      <c r="EW24" s="688"/>
      <c r="EX24" s="584"/>
      <c r="EY24" s="688"/>
      <c r="EZ24" s="584"/>
      <c r="FA24" s="688"/>
      <c r="FB24" s="584"/>
      <c r="FC24" s="688"/>
      <c r="FD24" s="584"/>
      <c r="FE24" s="688"/>
      <c r="FF24" s="584"/>
      <c r="FG24" s="688"/>
      <c r="FH24" s="586"/>
      <c r="FI24" s="560"/>
      <c r="FJ24" s="561"/>
      <c r="FK24" s="693"/>
      <c r="FL24" s="684"/>
      <c r="FM24" s="580"/>
      <c r="FN24" s="685"/>
      <c r="FO24" s="686"/>
      <c r="FP24" s="689"/>
      <c r="FQ24" s="690"/>
      <c r="FR24" s="584"/>
      <c r="FS24" s="691"/>
      <c r="FT24" s="690"/>
      <c r="FU24" s="589"/>
      <c r="FV24" s="590"/>
      <c r="FW24" s="591"/>
      <c r="FX24" s="592"/>
      <c r="FY24" s="593"/>
      <c r="FZ24" s="594"/>
      <c r="GA24" s="595"/>
      <c r="GB24" s="596"/>
      <c r="GC24" s="597"/>
      <c r="GD24" s="596"/>
      <c r="GE24" s="598"/>
      <c r="GF24" s="681"/>
      <c r="GG24" s="599"/>
      <c r="GH24" s="599"/>
      <c r="GI24" s="599"/>
      <c r="GJ24" s="612"/>
      <c r="GK24" s="577" t="s">
        <v>468</v>
      </c>
      <c r="GL24" s="606"/>
      <c r="GM24" s="711"/>
      <c r="GN24" s="712">
        <v>0</v>
      </c>
      <c r="GO24" s="712"/>
      <c r="GP24" s="712"/>
      <c r="GQ24" s="606"/>
      <c r="GR24" s="612"/>
      <c r="GS24" s="606"/>
      <c r="GT24" s="670"/>
      <c r="GU24" s="577" t="s">
        <v>469</v>
      </c>
      <c r="GV24" s="606"/>
      <c r="GW24" s="606"/>
      <c r="GX24" s="414"/>
      <c r="GY24" s="715">
        <v>614</v>
      </c>
      <c r="GZ24" s="577" t="s">
        <v>470</v>
      </c>
      <c r="HA24" s="527"/>
      <c r="HB24" s="527"/>
      <c r="HC24" s="612"/>
      <c r="HD24" s="559"/>
      <c r="HE24" s="716"/>
      <c r="HF24" s="416"/>
      <c r="HG24" s="527"/>
      <c r="HH24" s="559"/>
      <c r="HI24" s="416"/>
      <c r="HJ24" s="416"/>
    </row>
    <row r="25" spans="1:218" ht="20.100000000000001" customHeight="1">
      <c r="A25" s="549"/>
      <c r="B25" s="717"/>
      <c r="C25" s="718"/>
      <c r="D25" s="615"/>
      <c r="E25" s="719"/>
      <c r="F25" s="720"/>
      <c r="G25" s="721"/>
      <c r="H25" s="619"/>
      <c r="I25" s="722"/>
      <c r="J25" s="619"/>
      <c r="K25" s="722"/>
      <c r="L25" s="619"/>
      <c r="M25" s="722"/>
      <c r="N25" s="619"/>
      <c r="O25" s="722"/>
      <c r="P25" s="619"/>
      <c r="Q25" s="722"/>
      <c r="R25" s="619"/>
      <c r="S25" s="722"/>
      <c r="T25" s="619"/>
      <c r="U25" s="722"/>
      <c r="V25" s="619"/>
      <c r="W25" s="722"/>
      <c r="X25" s="619"/>
      <c r="Y25" s="722"/>
      <c r="Z25" s="619"/>
      <c r="AA25" s="722"/>
      <c r="AB25" s="619"/>
      <c r="AC25" s="722"/>
      <c r="AD25" s="619"/>
      <c r="AE25" s="722"/>
      <c r="AF25" s="619"/>
      <c r="AG25" s="722"/>
      <c r="AH25" s="619"/>
      <c r="AI25" s="722"/>
      <c r="AJ25" s="619"/>
      <c r="AK25" s="722"/>
      <c r="AL25" s="619"/>
      <c r="AM25" s="722"/>
      <c r="AN25" s="619"/>
      <c r="AO25" s="722"/>
      <c r="AP25" s="619"/>
      <c r="AQ25" s="722"/>
      <c r="AR25" s="619"/>
      <c r="AS25" s="722"/>
      <c r="AT25" s="619"/>
      <c r="AU25" s="722"/>
      <c r="AV25" s="619"/>
      <c r="AW25" s="722"/>
      <c r="AX25" s="619"/>
      <c r="AY25" s="722"/>
      <c r="AZ25" s="619"/>
      <c r="BA25" s="722"/>
      <c r="BB25" s="621"/>
      <c r="BC25" s="559"/>
      <c r="BD25" s="549"/>
      <c r="BE25" s="717"/>
      <c r="BF25" s="718"/>
      <c r="BG25" s="615"/>
      <c r="BH25" s="719"/>
      <c r="BI25" s="720"/>
      <c r="BJ25" s="721"/>
      <c r="BK25" s="619"/>
      <c r="BL25" s="722"/>
      <c r="BM25" s="619"/>
      <c r="BN25" s="722"/>
      <c r="BO25" s="619"/>
      <c r="BP25" s="722"/>
      <c r="BQ25" s="619"/>
      <c r="BR25" s="722"/>
      <c r="BS25" s="619"/>
      <c r="BT25" s="722"/>
      <c r="BU25" s="619"/>
      <c r="BV25" s="722"/>
      <c r="BW25" s="619"/>
      <c r="BX25" s="722"/>
      <c r="BY25" s="619"/>
      <c r="BZ25" s="722"/>
      <c r="CA25" s="619"/>
      <c r="CB25" s="722"/>
      <c r="CC25" s="619"/>
      <c r="CD25" s="722"/>
      <c r="CE25" s="619"/>
      <c r="CF25" s="722"/>
      <c r="CG25" s="619"/>
      <c r="CH25" s="722"/>
      <c r="CI25" s="619"/>
      <c r="CJ25" s="722"/>
      <c r="CK25" s="619"/>
      <c r="CL25" s="722"/>
      <c r="CM25" s="619"/>
      <c r="CN25" s="722"/>
      <c r="CO25" s="619"/>
      <c r="CP25" s="722"/>
      <c r="CQ25" s="619"/>
      <c r="CR25" s="722"/>
      <c r="CS25" s="619"/>
      <c r="CT25" s="722"/>
      <c r="CU25" s="619"/>
      <c r="CV25" s="722"/>
      <c r="CW25" s="619"/>
      <c r="CX25" s="722"/>
      <c r="CY25" s="619"/>
      <c r="CZ25" s="722"/>
      <c r="DA25" s="619"/>
      <c r="DB25" s="722"/>
      <c r="DC25" s="619"/>
      <c r="DD25" s="722"/>
      <c r="DE25" s="621"/>
      <c r="DF25" s="559"/>
      <c r="DG25" s="549"/>
      <c r="DH25" s="717"/>
      <c r="DI25" s="718"/>
      <c r="DJ25" s="615"/>
      <c r="DK25" s="719"/>
      <c r="DL25" s="720"/>
      <c r="DM25" s="721"/>
      <c r="DN25" s="619"/>
      <c r="DO25" s="722"/>
      <c r="DP25" s="619"/>
      <c r="DQ25" s="722"/>
      <c r="DR25" s="619"/>
      <c r="DS25" s="722"/>
      <c r="DT25" s="619"/>
      <c r="DU25" s="722"/>
      <c r="DV25" s="619"/>
      <c r="DW25" s="722"/>
      <c r="DX25" s="619"/>
      <c r="DY25" s="722"/>
      <c r="DZ25" s="619"/>
      <c r="EA25" s="722"/>
      <c r="EB25" s="619"/>
      <c r="EC25" s="722"/>
      <c r="ED25" s="619"/>
      <c r="EE25" s="722"/>
      <c r="EF25" s="619"/>
      <c r="EG25" s="722"/>
      <c r="EH25" s="619"/>
      <c r="EI25" s="722"/>
      <c r="EJ25" s="619"/>
      <c r="EK25" s="722"/>
      <c r="EL25" s="619"/>
      <c r="EM25" s="722"/>
      <c r="EN25" s="619"/>
      <c r="EO25" s="722"/>
      <c r="EP25" s="619"/>
      <c r="EQ25" s="722"/>
      <c r="ER25" s="619"/>
      <c r="ES25" s="722"/>
      <c r="ET25" s="619"/>
      <c r="EU25" s="722"/>
      <c r="EV25" s="619"/>
      <c r="EW25" s="722"/>
      <c r="EX25" s="619"/>
      <c r="EY25" s="722"/>
      <c r="EZ25" s="619"/>
      <c r="FA25" s="722"/>
      <c r="FB25" s="619"/>
      <c r="FC25" s="722"/>
      <c r="FD25" s="619"/>
      <c r="FE25" s="722"/>
      <c r="FF25" s="619"/>
      <c r="FG25" s="722"/>
      <c r="FH25" s="621"/>
      <c r="FI25" s="560"/>
      <c r="FJ25" s="561"/>
      <c r="FK25" s="717"/>
      <c r="FL25" s="718"/>
      <c r="FM25" s="615"/>
      <c r="FN25" s="719"/>
      <c r="FO25" s="720"/>
      <c r="FP25" s="723"/>
      <c r="FQ25" s="724"/>
      <c r="FR25" s="619"/>
      <c r="FS25" s="725"/>
      <c r="FT25" s="724"/>
      <c r="FU25" s="624"/>
      <c r="FV25" s="590"/>
      <c r="FW25" s="591"/>
      <c r="FX25" s="592"/>
      <c r="FY25" s="593"/>
      <c r="FZ25" s="594"/>
      <c r="GA25" s="595"/>
      <c r="GB25" s="596"/>
      <c r="GC25" s="597"/>
      <c r="GD25" s="596"/>
      <c r="GE25" s="598"/>
      <c r="GF25" s="681"/>
      <c r="GG25" s="599"/>
      <c r="GH25" s="599"/>
      <c r="GI25" s="599"/>
      <c r="GJ25" s="497"/>
      <c r="GK25" s="498"/>
      <c r="GL25" s="498"/>
      <c r="GM25" s="498"/>
      <c r="GN25" s="498"/>
      <c r="GO25" s="498"/>
      <c r="GP25" s="498"/>
      <c r="GQ25" s="498"/>
      <c r="GR25" s="498"/>
      <c r="GS25" s="414"/>
      <c r="GT25" s="670"/>
      <c r="GU25" s="577" t="s">
        <v>471</v>
      </c>
      <c r="GV25" s="606"/>
      <c r="GW25" s="606"/>
      <c r="GX25" s="414"/>
      <c r="GY25" s="726">
        <v>1</v>
      </c>
      <c r="GZ25" s="577"/>
      <c r="HA25" s="527"/>
      <c r="HB25" s="527"/>
      <c r="HC25" s="527"/>
      <c r="HD25" s="559"/>
      <c r="HE25" s="559"/>
      <c r="HF25" s="416"/>
      <c r="HG25" s="416"/>
    </row>
    <row r="26" spans="1:218" ht="20.100000000000001" customHeight="1">
      <c r="A26" s="638"/>
      <c r="B26" s="639"/>
      <c r="C26" s="639"/>
      <c r="D26" s="639" t="s">
        <v>530</v>
      </c>
      <c r="E26" s="639"/>
      <c r="F26" s="639"/>
      <c r="G26" s="641"/>
      <c r="H26" s="642">
        <f>SUM(H16:H25)</f>
        <v>0</v>
      </c>
      <c r="I26" s="727"/>
      <c r="J26" s="642">
        <f>SUM(J16:J25)</f>
        <v>0</v>
      </c>
      <c r="K26" s="728"/>
      <c r="L26" s="642">
        <f>SUM(L16:L25)</f>
        <v>0</v>
      </c>
      <c r="M26" s="728"/>
      <c r="N26" s="642">
        <f>SUM(N16:N25)</f>
        <v>0</v>
      </c>
      <c r="O26" s="728"/>
      <c r="P26" s="642">
        <f>SUM(P16:P25)</f>
        <v>0</v>
      </c>
      <c r="Q26" s="728"/>
      <c r="R26" s="642">
        <f>SUM(R16:R25)</f>
        <v>0</v>
      </c>
      <c r="S26" s="728"/>
      <c r="T26" s="642">
        <f>SUM(T16:T25)</f>
        <v>0</v>
      </c>
      <c r="U26" s="728"/>
      <c r="V26" s="642">
        <f>SUM(V16:V25)</f>
        <v>0</v>
      </c>
      <c r="W26" s="728"/>
      <c r="X26" s="642">
        <f>SUM(X16:X25)</f>
        <v>224</v>
      </c>
      <c r="Y26" s="728"/>
      <c r="Z26" s="642">
        <f>SUM(Z16:Z25)</f>
        <v>270</v>
      </c>
      <c r="AA26" s="728"/>
      <c r="AB26" s="642">
        <f>SUM(AB16:AB25)</f>
        <v>294</v>
      </c>
      <c r="AC26" s="728"/>
      <c r="AD26" s="642">
        <f>SUM(AD16:AD25)</f>
        <v>308</v>
      </c>
      <c r="AE26" s="728"/>
      <c r="AF26" s="642">
        <f>SUM(AF16:AF25)</f>
        <v>323</v>
      </c>
      <c r="AG26" s="728"/>
      <c r="AH26" s="642">
        <f>SUM(AH16:AH25)</f>
        <v>327</v>
      </c>
      <c r="AI26" s="728"/>
      <c r="AJ26" s="642">
        <f>SUM(AJ16:AJ25)</f>
        <v>308</v>
      </c>
      <c r="AK26" s="728"/>
      <c r="AL26" s="642">
        <f>SUM(AL16:AL25)</f>
        <v>301</v>
      </c>
      <c r="AM26" s="728"/>
      <c r="AN26" s="642">
        <f>SUM(AN16:AN25)</f>
        <v>271</v>
      </c>
      <c r="AO26" s="728"/>
      <c r="AP26" s="642">
        <f>SUM(AP16:AP25)</f>
        <v>251</v>
      </c>
      <c r="AQ26" s="728"/>
      <c r="AR26" s="642">
        <f>SUM(AR16:AR25)</f>
        <v>0</v>
      </c>
      <c r="AS26" s="728"/>
      <c r="AT26" s="642">
        <f>SUM(AT16:AT25)</f>
        <v>0</v>
      </c>
      <c r="AU26" s="728"/>
      <c r="AV26" s="642">
        <f>SUM(AV16:AV25)</f>
        <v>0</v>
      </c>
      <c r="AW26" s="728"/>
      <c r="AX26" s="642">
        <f>SUM(AX16:AX25)</f>
        <v>0</v>
      </c>
      <c r="AY26" s="728"/>
      <c r="AZ26" s="642">
        <f>SUM(AZ16:AZ25)</f>
        <v>0</v>
      </c>
      <c r="BA26" s="728"/>
      <c r="BB26" s="644">
        <f>SUM(BB16:BB25)</f>
        <v>0</v>
      </c>
      <c r="BC26" s="645"/>
      <c r="BD26" s="638"/>
      <c r="BE26" s="639"/>
      <c r="BF26" s="639"/>
      <c r="BG26" s="639" t="s">
        <v>531</v>
      </c>
      <c r="BH26" s="639"/>
      <c r="BI26" s="639"/>
      <c r="BJ26" s="641"/>
      <c r="BK26" s="642">
        <f>SUM(BK16:BK25)</f>
        <v>0</v>
      </c>
      <c r="BL26" s="727"/>
      <c r="BM26" s="642">
        <f>SUM(BM16:BM25)</f>
        <v>0</v>
      </c>
      <c r="BN26" s="728"/>
      <c r="BO26" s="642">
        <f>SUM(BO16:BO25)</f>
        <v>0</v>
      </c>
      <c r="BP26" s="728"/>
      <c r="BQ26" s="642">
        <f>SUM(BQ16:BQ25)</f>
        <v>0</v>
      </c>
      <c r="BR26" s="728"/>
      <c r="BS26" s="642">
        <f>SUM(BS16:BS25)</f>
        <v>0</v>
      </c>
      <c r="BT26" s="728"/>
      <c r="BU26" s="642">
        <f>SUM(BU16:BU25)</f>
        <v>0</v>
      </c>
      <c r="BV26" s="728"/>
      <c r="BW26" s="642">
        <f>SUM(BW16:BW25)</f>
        <v>0</v>
      </c>
      <c r="BX26" s="728"/>
      <c r="BY26" s="642">
        <f>SUM(BY16:BY25)</f>
        <v>0</v>
      </c>
      <c r="BZ26" s="728"/>
      <c r="CA26" s="642">
        <f>SUM(CA16:CA25)</f>
        <v>212</v>
      </c>
      <c r="CB26" s="728"/>
      <c r="CC26" s="642">
        <f>SUM(CC16:CC25)</f>
        <v>247</v>
      </c>
      <c r="CD26" s="728"/>
      <c r="CE26" s="642">
        <f>SUM(CE16:CE25)</f>
        <v>283</v>
      </c>
      <c r="CF26" s="728"/>
      <c r="CG26" s="642">
        <f>SUM(CG16:CG25)</f>
        <v>296</v>
      </c>
      <c r="CH26" s="728"/>
      <c r="CI26" s="642">
        <f>SUM(CI16:CI25)</f>
        <v>307</v>
      </c>
      <c r="CJ26" s="728"/>
      <c r="CK26" s="642">
        <f>SUM(CK16:CK25)</f>
        <v>302</v>
      </c>
      <c r="CL26" s="728"/>
      <c r="CM26" s="642">
        <f>SUM(CM16:CM25)</f>
        <v>295</v>
      </c>
      <c r="CN26" s="728"/>
      <c r="CO26" s="642">
        <f>SUM(CO16:CO25)</f>
        <v>287</v>
      </c>
      <c r="CP26" s="728"/>
      <c r="CQ26" s="642">
        <f>SUM(CQ16:CQ25)</f>
        <v>271</v>
      </c>
      <c r="CR26" s="728"/>
      <c r="CS26" s="642">
        <f>SUM(CS16:CS25)</f>
        <v>241</v>
      </c>
      <c r="CT26" s="728"/>
      <c r="CU26" s="642">
        <f>SUM(CU16:CU25)</f>
        <v>0</v>
      </c>
      <c r="CV26" s="728"/>
      <c r="CW26" s="642">
        <f>SUM(CW16:CW25)</f>
        <v>0</v>
      </c>
      <c r="CX26" s="728"/>
      <c r="CY26" s="642">
        <f>SUM(CY16:CY25)</f>
        <v>0</v>
      </c>
      <c r="CZ26" s="728"/>
      <c r="DA26" s="642">
        <f>SUM(DA16:DA25)</f>
        <v>0</v>
      </c>
      <c r="DB26" s="728"/>
      <c r="DC26" s="642">
        <f>SUM(DC16:DC25)</f>
        <v>0</v>
      </c>
      <c r="DD26" s="728"/>
      <c r="DE26" s="644">
        <f>SUM(DE16:DE25)</f>
        <v>0</v>
      </c>
      <c r="DF26" s="645"/>
      <c r="DG26" s="638"/>
      <c r="DH26" s="639"/>
      <c r="DI26" s="639"/>
      <c r="DJ26" s="639" t="s">
        <v>531</v>
      </c>
      <c r="DK26" s="639"/>
      <c r="DL26" s="639"/>
      <c r="DM26" s="641"/>
      <c r="DN26" s="642">
        <f>SUM(DN16:DN25)</f>
        <v>0</v>
      </c>
      <c r="DO26" s="727"/>
      <c r="DP26" s="642">
        <f>SUM(DP16:DP25)</f>
        <v>0</v>
      </c>
      <c r="DQ26" s="728"/>
      <c r="DR26" s="642">
        <f>SUM(DR16:DR25)</f>
        <v>0</v>
      </c>
      <c r="DS26" s="728"/>
      <c r="DT26" s="642">
        <f>SUM(DT16:DT25)</f>
        <v>0</v>
      </c>
      <c r="DU26" s="728"/>
      <c r="DV26" s="642">
        <f>SUM(DV16:DV25)</f>
        <v>0</v>
      </c>
      <c r="DW26" s="728"/>
      <c r="DX26" s="642">
        <f>SUM(DX16:DX25)</f>
        <v>0</v>
      </c>
      <c r="DY26" s="728"/>
      <c r="DZ26" s="642">
        <f>SUM(DZ16:DZ25)</f>
        <v>0</v>
      </c>
      <c r="EA26" s="728"/>
      <c r="EB26" s="642">
        <f>SUM(EB16:EB25)</f>
        <v>0</v>
      </c>
      <c r="EC26" s="728"/>
      <c r="ED26" s="642">
        <f>SUM(ED16:ED25)</f>
        <v>121</v>
      </c>
      <c r="EE26" s="728"/>
      <c r="EF26" s="642">
        <f>SUM(EF16:EF25)</f>
        <v>165</v>
      </c>
      <c r="EG26" s="728"/>
      <c r="EH26" s="642">
        <f>SUM(EH16:EH25)</f>
        <v>200</v>
      </c>
      <c r="EI26" s="728"/>
      <c r="EJ26" s="642">
        <f>SUM(EJ16:EJ25)</f>
        <v>224</v>
      </c>
      <c r="EK26" s="728"/>
      <c r="EL26" s="642">
        <f>SUM(EL16:EL25)</f>
        <v>230</v>
      </c>
      <c r="EM26" s="728"/>
      <c r="EN26" s="642">
        <f>SUM(EN16:EN25)</f>
        <v>223</v>
      </c>
      <c r="EO26" s="728"/>
      <c r="EP26" s="642">
        <f>SUM(EP16:EP25)</f>
        <v>218</v>
      </c>
      <c r="EQ26" s="728"/>
      <c r="ER26" s="642">
        <f>SUM(ER16:ER25)</f>
        <v>216</v>
      </c>
      <c r="ES26" s="728"/>
      <c r="ET26" s="642">
        <f>SUM(ET16:ET25)</f>
        <v>188</v>
      </c>
      <c r="EU26" s="728"/>
      <c r="EV26" s="642">
        <f>SUM(EV16:EV25)</f>
        <v>159</v>
      </c>
      <c r="EW26" s="728"/>
      <c r="EX26" s="642">
        <f>SUM(EX16:EX25)</f>
        <v>0</v>
      </c>
      <c r="EY26" s="728"/>
      <c r="EZ26" s="642">
        <f>SUM(EZ16:EZ25)</f>
        <v>0</v>
      </c>
      <c r="FA26" s="728"/>
      <c r="FB26" s="642">
        <f>SUM(FB16:FB25)</f>
        <v>0</v>
      </c>
      <c r="FC26" s="728"/>
      <c r="FD26" s="642">
        <f>SUM(FD16:FD25)</f>
        <v>0</v>
      </c>
      <c r="FE26" s="728"/>
      <c r="FF26" s="642">
        <f>SUM(FF16:FF25)</f>
        <v>0</v>
      </c>
      <c r="FG26" s="728"/>
      <c r="FH26" s="644">
        <f>SUM(FH16:FH25)</f>
        <v>0</v>
      </c>
      <c r="FI26" s="646"/>
      <c r="FJ26" s="561"/>
      <c r="FK26" s="639"/>
      <c r="FL26" s="639"/>
      <c r="FM26" s="639" t="s">
        <v>531</v>
      </c>
      <c r="FN26" s="639"/>
      <c r="FO26" s="639"/>
      <c r="FP26" s="647"/>
      <c r="FQ26" s="648"/>
      <c r="FR26" s="642">
        <f>SUM(FR16:FR25)</f>
        <v>844</v>
      </c>
      <c r="FS26" s="729"/>
      <c r="FT26" s="648"/>
      <c r="FU26" s="650">
        <f>SUM(FU16:FU25)</f>
        <v>860</v>
      </c>
      <c r="FV26" s="590"/>
      <c r="FW26" s="591"/>
      <c r="FX26" s="592"/>
      <c r="FY26" s="593"/>
      <c r="FZ26" s="594"/>
      <c r="GA26" s="595"/>
      <c r="GB26" s="596"/>
      <c r="GC26" s="597"/>
      <c r="GD26" s="596"/>
      <c r="GE26" s="598"/>
      <c r="GF26" s="651"/>
      <c r="GG26" s="652"/>
      <c r="GH26" s="652"/>
      <c r="GI26" s="652"/>
      <c r="GJ26" s="612"/>
      <c r="GK26" s="527" t="s">
        <v>472</v>
      </c>
      <c r="GL26" s="612"/>
      <c r="GM26" s="527"/>
      <c r="GN26" s="612"/>
      <c r="GO26" s="527"/>
      <c r="GP26" s="612"/>
      <c r="GQ26" s="612"/>
      <c r="GR26" s="612"/>
      <c r="GS26" s="576"/>
      <c r="GT26" s="670"/>
      <c r="GU26" s="577" t="s">
        <v>473</v>
      </c>
      <c r="GV26" s="606"/>
      <c r="GW26" s="606"/>
      <c r="GX26" s="414"/>
      <c r="GY26" s="726">
        <v>0</v>
      </c>
      <c r="GZ26" s="577"/>
      <c r="HA26" s="527"/>
      <c r="HB26" s="527"/>
      <c r="HC26" s="527"/>
      <c r="HD26" s="645"/>
      <c r="HE26" s="416"/>
      <c r="HF26" s="416"/>
      <c r="HG26" s="577"/>
      <c r="HH26" s="645"/>
      <c r="HI26" s="416"/>
      <c r="HJ26" s="416"/>
    </row>
    <row r="27" spans="1:218" ht="20.100000000000001" customHeight="1">
      <c r="A27" s="730" t="s">
        <v>546</v>
      </c>
      <c r="B27" s="731"/>
      <c r="C27" s="732"/>
      <c r="D27" s="660"/>
      <c r="E27" s="732"/>
      <c r="F27" s="732"/>
      <c r="G27" s="733" t="s">
        <v>397</v>
      </c>
      <c r="H27" s="660" t="s">
        <v>398</v>
      </c>
      <c r="I27" s="734" t="s">
        <v>397</v>
      </c>
      <c r="J27" s="660" t="s">
        <v>398</v>
      </c>
      <c r="K27" s="735" t="s">
        <v>397</v>
      </c>
      <c r="L27" s="660" t="s">
        <v>398</v>
      </c>
      <c r="M27" s="735" t="s">
        <v>397</v>
      </c>
      <c r="N27" s="660" t="s">
        <v>398</v>
      </c>
      <c r="O27" s="735" t="s">
        <v>397</v>
      </c>
      <c r="P27" s="660" t="s">
        <v>398</v>
      </c>
      <c r="Q27" s="735" t="s">
        <v>397</v>
      </c>
      <c r="R27" s="660" t="s">
        <v>398</v>
      </c>
      <c r="S27" s="735" t="s">
        <v>397</v>
      </c>
      <c r="T27" s="660" t="s">
        <v>398</v>
      </c>
      <c r="U27" s="735" t="s">
        <v>397</v>
      </c>
      <c r="V27" s="660" t="s">
        <v>398</v>
      </c>
      <c r="W27" s="735" t="s">
        <v>397</v>
      </c>
      <c r="X27" s="660" t="s">
        <v>398</v>
      </c>
      <c r="Y27" s="735" t="s">
        <v>397</v>
      </c>
      <c r="Z27" s="660" t="s">
        <v>398</v>
      </c>
      <c r="AA27" s="735" t="s">
        <v>397</v>
      </c>
      <c r="AB27" s="660" t="s">
        <v>398</v>
      </c>
      <c r="AC27" s="735" t="s">
        <v>397</v>
      </c>
      <c r="AD27" s="660" t="s">
        <v>398</v>
      </c>
      <c r="AE27" s="735" t="s">
        <v>397</v>
      </c>
      <c r="AF27" s="660" t="s">
        <v>398</v>
      </c>
      <c r="AG27" s="735" t="s">
        <v>397</v>
      </c>
      <c r="AH27" s="660" t="s">
        <v>398</v>
      </c>
      <c r="AI27" s="735" t="s">
        <v>397</v>
      </c>
      <c r="AJ27" s="660" t="s">
        <v>398</v>
      </c>
      <c r="AK27" s="735" t="s">
        <v>397</v>
      </c>
      <c r="AL27" s="660" t="s">
        <v>398</v>
      </c>
      <c r="AM27" s="735" t="s">
        <v>397</v>
      </c>
      <c r="AN27" s="660" t="s">
        <v>398</v>
      </c>
      <c r="AO27" s="735" t="s">
        <v>397</v>
      </c>
      <c r="AP27" s="660" t="s">
        <v>398</v>
      </c>
      <c r="AQ27" s="735" t="s">
        <v>397</v>
      </c>
      <c r="AR27" s="660" t="s">
        <v>398</v>
      </c>
      <c r="AS27" s="735" t="s">
        <v>397</v>
      </c>
      <c r="AT27" s="660" t="s">
        <v>398</v>
      </c>
      <c r="AU27" s="735" t="s">
        <v>397</v>
      </c>
      <c r="AV27" s="660" t="s">
        <v>398</v>
      </c>
      <c r="AW27" s="735" t="s">
        <v>397</v>
      </c>
      <c r="AX27" s="660" t="s">
        <v>398</v>
      </c>
      <c r="AY27" s="735" t="s">
        <v>397</v>
      </c>
      <c r="AZ27" s="660" t="s">
        <v>398</v>
      </c>
      <c r="BA27" s="735" t="s">
        <v>397</v>
      </c>
      <c r="BB27" s="662" t="s">
        <v>398</v>
      </c>
      <c r="BC27" s="716"/>
      <c r="BD27" s="730" t="s">
        <v>396</v>
      </c>
      <c r="BE27" s="731"/>
      <c r="BF27" s="732"/>
      <c r="BG27" s="660"/>
      <c r="BH27" s="732"/>
      <c r="BI27" s="732"/>
      <c r="BJ27" s="733" t="s">
        <v>397</v>
      </c>
      <c r="BK27" s="660" t="s">
        <v>398</v>
      </c>
      <c r="BL27" s="734" t="s">
        <v>397</v>
      </c>
      <c r="BM27" s="660" t="s">
        <v>398</v>
      </c>
      <c r="BN27" s="735" t="s">
        <v>397</v>
      </c>
      <c r="BO27" s="660" t="s">
        <v>398</v>
      </c>
      <c r="BP27" s="735" t="s">
        <v>397</v>
      </c>
      <c r="BQ27" s="660" t="s">
        <v>398</v>
      </c>
      <c r="BR27" s="735" t="s">
        <v>397</v>
      </c>
      <c r="BS27" s="660" t="s">
        <v>398</v>
      </c>
      <c r="BT27" s="735" t="s">
        <v>397</v>
      </c>
      <c r="BU27" s="660" t="s">
        <v>398</v>
      </c>
      <c r="BV27" s="735" t="s">
        <v>397</v>
      </c>
      <c r="BW27" s="660" t="s">
        <v>398</v>
      </c>
      <c r="BX27" s="735" t="s">
        <v>397</v>
      </c>
      <c r="BY27" s="660" t="s">
        <v>398</v>
      </c>
      <c r="BZ27" s="735" t="s">
        <v>397</v>
      </c>
      <c r="CA27" s="660" t="s">
        <v>398</v>
      </c>
      <c r="CB27" s="735" t="s">
        <v>397</v>
      </c>
      <c r="CC27" s="660" t="s">
        <v>398</v>
      </c>
      <c r="CD27" s="735" t="s">
        <v>397</v>
      </c>
      <c r="CE27" s="660" t="s">
        <v>398</v>
      </c>
      <c r="CF27" s="735" t="s">
        <v>397</v>
      </c>
      <c r="CG27" s="660" t="s">
        <v>398</v>
      </c>
      <c r="CH27" s="735" t="s">
        <v>397</v>
      </c>
      <c r="CI27" s="660" t="s">
        <v>398</v>
      </c>
      <c r="CJ27" s="735" t="s">
        <v>397</v>
      </c>
      <c r="CK27" s="660" t="s">
        <v>398</v>
      </c>
      <c r="CL27" s="735" t="s">
        <v>397</v>
      </c>
      <c r="CM27" s="660" t="s">
        <v>398</v>
      </c>
      <c r="CN27" s="735" t="s">
        <v>397</v>
      </c>
      <c r="CO27" s="660" t="s">
        <v>398</v>
      </c>
      <c r="CP27" s="735" t="s">
        <v>397</v>
      </c>
      <c r="CQ27" s="660" t="s">
        <v>398</v>
      </c>
      <c r="CR27" s="735" t="s">
        <v>397</v>
      </c>
      <c r="CS27" s="660" t="s">
        <v>398</v>
      </c>
      <c r="CT27" s="735" t="s">
        <v>397</v>
      </c>
      <c r="CU27" s="660" t="s">
        <v>398</v>
      </c>
      <c r="CV27" s="735" t="s">
        <v>397</v>
      </c>
      <c r="CW27" s="660" t="s">
        <v>398</v>
      </c>
      <c r="CX27" s="735" t="s">
        <v>397</v>
      </c>
      <c r="CY27" s="660" t="s">
        <v>398</v>
      </c>
      <c r="CZ27" s="735" t="s">
        <v>397</v>
      </c>
      <c r="DA27" s="660" t="s">
        <v>398</v>
      </c>
      <c r="DB27" s="735" t="s">
        <v>397</v>
      </c>
      <c r="DC27" s="660" t="s">
        <v>398</v>
      </c>
      <c r="DD27" s="735" t="s">
        <v>397</v>
      </c>
      <c r="DE27" s="662" t="s">
        <v>398</v>
      </c>
      <c r="DF27" s="716"/>
      <c r="DG27" s="730" t="s">
        <v>396</v>
      </c>
      <c r="DH27" s="736"/>
      <c r="DI27" s="737"/>
      <c r="DJ27" s="738"/>
      <c r="DK27" s="737"/>
      <c r="DL27" s="737"/>
      <c r="DM27" s="733" t="s">
        <v>397</v>
      </c>
      <c r="DN27" s="660" t="s">
        <v>398</v>
      </c>
      <c r="DO27" s="734" t="s">
        <v>397</v>
      </c>
      <c r="DP27" s="660" t="s">
        <v>398</v>
      </c>
      <c r="DQ27" s="735" t="s">
        <v>397</v>
      </c>
      <c r="DR27" s="660" t="s">
        <v>398</v>
      </c>
      <c r="DS27" s="735" t="s">
        <v>397</v>
      </c>
      <c r="DT27" s="660" t="s">
        <v>398</v>
      </c>
      <c r="DU27" s="735" t="s">
        <v>397</v>
      </c>
      <c r="DV27" s="660" t="s">
        <v>398</v>
      </c>
      <c r="DW27" s="735" t="s">
        <v>397</v>
      </c>
      <c r="DX27" s="660" t="s">
        <v>398</v>
      </c>
      <c r="DY27" s="735" t="s">
        <v>397</v>
      </c>
      <c r="DZ27" s="660" t="s">
        <v>398</v>
      </c>
      <c r="EA27" s="735" t="s">
        <v>397</v>
      </c>
      <c r="EB27" s="660" t="s">
        <v>398</v>
      </c>
      <c r="EC27" s="735" t="s">
        <v>397</v>
      </c>
      <c r="ED27" s="660" t="s">
        <v>398</v>
      </c>
      <c r="EE27" s="735" t="s">
        <v>397</v>
      </c>
      <c r="EF27" s="660" t="s">
        <v>398</v>
      </c>
      <c r="EG27" s="735" t="s">
        <v>397</v>
      </c>
      <c r="EH27" s="660" t="s">
        <v>398</v>
      </c>
      <c r="EI27" s="735" t="s">
        <v>397</v>
      </c>
      <c r="EJ27" s="660" t="s">
        <v>398</v>
      </c>
      <c r="EK27" s="735" t="s">
        <v>397</v>
      </c>
      <c r="EL27" s="660" t="s">
        <v>398</v>
      </c>
      <c r="EM27" s="735" t="s">
        <v>397</v>
      </c>
      <c r="EN27" s="660" t="s">
        <v>398</v>
      </c>
      <c r="EO27" s="735" t="s">
        <v>397</v>
      </c>
      <c r="EP27" s="660" t="s">
        <v>398</v>
      </c>
      <c r="EQ27" s="735" t="s">
        <v>397</v>
      </c>
      <c r="ER27" s="660" t="s">
        <v>398</v>
      </c>
      <c r="ES27" s="735" t="s">
        <v>397</v>
      </c>
      <c r="ET27" s="660" t="s">
        <v>398</v>
      </c>
      <c r="EU27" s="735" t="s">
        <v>397</v>
      </c>
      <c r="EV27" s="660" t="s">
        <v>398</v>
      </c>
      <c r="EW27" s="735" t="s">
        <v>397</v>
      </c>
      <c r="EX27" s="660" t="s">
        <v>398</v>
      </c>
      <c r="EY27" s="735" t="s">
        <v>397</v>
      </c>
      <c r="EZ27" s="660" t="s">
        <v>398</v>
      </c>
      <c r="FA27" s="735" t="s">
        <v>397</v>
      </c>
      <c r="FB27" s="660" t="s">
        <v>398</v>
      </c>
      <c r="FC27" s="735" t="s">
        <v>397</v>
      </c>
      <c r="FD27" s="660" t="s">
        <v>398</v>
      </c>
      <c r="FE27" s="735" t="s">
        <v>397</v>
      </c>
      <c r="FF27" s="660" t="s">
        <v>398</v>
      </c>
      <c r="FG27" s="735" t="s">
        <v>397</v>
      </c>
      <c r="FH27" s="662" t="s">
        <v>398</v>
      </c>
      <c r="FI27" s="739"/>
      <c r="FJ27" s="539" t="s">
        <v>396</v>
      </c>
      <c r="FK27" s="736"/>
      <c r="FL27" s="737"/>
      <c r="FM27" s="738"/>
      <c r="FN27" s="737"/>
      <c r="FO27" s="737"/>
      <c r="FP27" s="740" t="s">
        <v>401</v>
      </c>
      <c r="FQ27" s="666" t="s">
        <v>397</v>
      </c>
      <c r="FR27" s="660" t="s">
        <v>402</v>
      </c>
      <c r="FS27" s="741" t="s">
        <v>401</v>
      </c>
      <c r="FT27" s="666" t="s">
        <v>397</v>
      </c>
      <c r="FU27" s="668" t="s">
        <v>402</v>
      </c>
      <c r="FV27" s="590"/>
      <c r="FW27" s="591"/>
      <c r="FX27" s="592"/>
      <c r="FY27" s="593"/>
      <c r="FZ27" s="594"/>
      <c r="GA27" s="595"/>
      <c r="GB27" s="596"/>
      <c r="GC27" s="597"/>
      <c r="GD27" s="596"/>
      <c r="GE27" s="598"/>
      <c r="GF27" s="742"/>
      <c r="GG27" s="743"/>
      <c r="GH27" s="743"/>
      <c r="GI27" s="743"/>
      <c r="GJ27" s="612"/>
      <c r="GK27" s="527" t="s">
        <v>474</v>
      </c>
      <c r="GL27" s="612"/>
      <c r="GM27" s="612"/>
      <c r="GN27" s="612"/>
      <c r="GO27" s="414"/>
      <c r="GP27" s="744">
        <v>27.3</v>
      </c>
      <c r="GQ27" s="414" t="s">
        <v>475</v>
      </c>
      <c r="GR27" s="414"/>
      <c r="GS27" s="576"/>
      <c r="GT27" s="497"/>
      <c r="GU27" s="497"/>
      <c r="GV27" s="497"/>
      <c r="GW27" s="576"/>
      <c r="GX27" s="576"/>
      <c r="GY27" s="576"/>
      <c r="GZ27" s="575"/>
      <c r="HA27" s="497"/>
      <c r="HB27" s="497"/>
      <c r="HC27" s="527"/>
      <c r="HD27" s="410"/>
      <c r="HE27" s="416"/>
      <c r="HF27" s="416"/>
      <c r="HG27" s="416"/>
      <c r="HH27" s="416"/>
    </row>
    <row r="28" spans="1:218" ht="20.100000000000001" customHeight="1">
      <c r="A28" s="549"/>
      <c r="B28" s="745" t="s">
        <v>403</v>
      </c>
      <c r="C28" s="746"/>
      <c r="D28" s="747">
        <v>69</v>
      </c>
      <c r="E28" s="748">
        <v>4</v>
      </c>
      <c r="F28" s="749" t="s">
        <v>404</v>
      </c>
      <c r="G28" s="750"/>
      <c r="H28" s="556"/>
      <c r="I28" s="751"/>
      <c r="J28" s="556"/>
      <c r="K28" s="751"/>
      <c r="L28" s="556"/>
      <c r="M28" s="751"/>
      <c r="N28" s="556"/>
      <c r="O28" s="751"/>
      <c r="P28" s="556"/>
      <c r="Q28" s="751"/>
      <c r="R28" s="556"/>
      <c r="S28" s="751"/>
      <c r="T28" s="556"/>
      <c r="U28" s="751"/>
      <c r="V28" s="556"/>
      <c r="W28" s="751">
        <v>1</v>
      </c>
      <c r="X28" s="556">
        <v>276</v>
      </c>
      <c r="Y28" s="751">
        <v>1</v>
      </c>
      <c r="Z28" s="556">
        <v>276</v>
      </c>
      <c r="AA28" s="751">
        <v>1</v>
      </c>
      <c r="AB28" s="556">
        <v>276</v>
      </c>
      <c r="AC28" s="751">
        <v>1</v>
      </c>
      <c r="AD28" s="556">
        <v>276</v>
      </c>
      <c r="AE28" s="751">
        <v>1</v>
      </c>
      <c r="AF28" s="556">
        <v>276</v>
      </c>
      <c r="AG28" s="751">
        <v>1</v>
      </c>
      <c r="AH28" s="556">
        <v>276</v>
      </c>
      <c r="AI28" s="751">
        <v>1</v>
      </c>
      <c r="AJ28" s="556">
        <v>276</v>
      </c>
      <c r="AK28" s="751">
        <v>1</v>
      </c>
      <c r="AL28" s="556">
        <v>276</v>
      </c>
      <c r="AM28" s="751">
        <v>1</v>
      </c>
      <c r="AN28" s="556">
        <v>276</v>
      </c>
      <c r="AO28" s="751">
        <v>1</v>
      </c>
      <c r="AP28" s="556">
        <v>276</v>
      </c>
      <c r="AQ28" s="751"/>
      <c r="AR28" s="556"/>
      <c r="AS28" s="751"/>
      <c r="AT28" s="556"/>
      <c r="AU28" s="751"/>
      <c r="AV28" s="556"/>
      <c r="AW28" s="751"/>
      <c r="AX28" s="556"/>
      <c r="AY28" s="751"/>
      <c r="AZ28" s="556"/>
      <c r="BA28" s="751"/>
      <c r="BB28" s="677"/>
      <c r="BC28" s="559"/>
      <c r="BD28" s="549"/>
      <c r="BE28" s="745" t="s">
        <v>403</v>
      </c>
      <c r="BF28" s="746"/>
      <c r="BG28" s="747">
        <v>69</v>
      </c>
      <c r="BH28" s="748">
        <v>4</v>
      </c>
      <c r="BI28" s="749" t="s">
        <v>404</v>
      </c>
      <c r="BJ28" s="750"/>
      <c r="BK28" s="556"/>
      <c r="BL28" s="751"/>
      <c r="BM28" s="556"/>
      <c r="BN28" s="751"/>
      <c r="BO28" s="556"/>
      <c r="BP28" s="751"/>
      <c r="BQ28" s="556"/>
      <c r="BR28" s="751"/>
      <c r="BS28" s="556"/>
      <c r="BT28" s="751"/>
      <c r="BU28" s="556"/>
      <c r="BV28" s="751"/>
      <c r="BW28" s="556"/>
      <c r="BX28" s="751"/>
      <c r="BY28" s="556"/>
      <c r="BZ28" s="751">
        <v>1</v>
      </c>
      <c r="CA28" s="556">
        <v>276</v>
      </c>
      <c r="CB28" s="751">
        <v>1</v>
      </c>
      <c r="CC28" s="556">
        <v>276</v>
      </c>
      <c r="CD28" s="751">
        <v>1</v>
      </c>
      <c r="CE28" s="556">
        <v>276</v>
      </c>
      <c r="CF28" s="751">
        <v>1</v>
      </c>
      <c r="CG28" s="556">
        <v>276</v>
      </c>
      <c r="CH28" s="751">
        <v>1</v>
      </c>
      <c r="CI28" s="556">
        <v>276</v>
      </c>
      <c r="CJ28" s="751">
        <v>1</v>
      </c>
      <c r="CK28" s="556">
        <v>276</v>
      </c>
      <c r="CL28" s="751">
        <v>1</v>
      </c>
      <c r="CM28" s="556">
        <v>276</v>
      </c>
      <c r="CN28" s="751">
        <v>1</v>
      </c>
      <c r="CO28" s="556">
        <v>276</v>
      </c>
      <c r="CP28" s="751">
        <v>1</v>
      </c>
      <c r="CQ28" s="556">
        <v>276</v>
      </c>
      <c r="CR28" s="751">
        <v>1</v>
      </c>
      <c r="CS28" s="556">
        <v>276</v>
      </c>
      <c r="CT28" s="751"/>
      <c r="CU28" s="556"/>
      <c r="CV28" s="751"/>
      <c r="CW28" s="556"/>
      <c r="CX28" s="751"/>
      <c r="CY28" s="556"/>
      <c r="CZ28" s="751"/>
      <c r="DA28" s="556"/>
      <c r="DB28" s="751"/>
      <c r="DC28" s="556"/>
      <c r="DD28" s="751"/>
      <c r="DE28" s="677"/>
      <c r="DF28" s="559"/>
      <c r="DG28" s="549"/>
      <c r="DH28" s="745" t="s">
        <v>403</v>
      </c>
      <c r="DI28" s="746"/>
      <c r="DJ28" s="747">
        <v>69</v>
      </c>
      <c r="DK28" s="748">
        <v>4</v>
      </c>
      <c r="DL28" s="749" t="s">
        <v>404</v>
      </c>
      <c r="DM28" s="750"/>
      <c r="DN28" s="556"/>
      <c r="DO28" s="751"/>
      <c r="DP28" s="556"/>
      <c r="DQ28" s="751"/>
      <c r="DR28" s="556"/>
      <c r="DS28" s="751"/>
      <c r="DT28" s="556"/>
      <c r="DU28" s="751"/>
      <c r="DV28" s="556"/>
      <c r="DW28" s="751"/>
      <c r="DX28" s="556"/>
      <c r="DY28" s="751"/>
      <c r="DZ28" s="556"/>
      <c r="EA28" s="751"/>
      <c r="EB28" s="556"/>
      <c r="EC28" s="751">
        <v>1</v>
      </c>
      <c r="ED28" s="556">
        <v>276</v>
      </c>
      <c r="EE28" s="751">
        <v>1</v>
      </c>
      <c r="EF28" s="556">
        <v>276</v>
      </c>
      <c r="EG28" s="751">
        <v>1</v>
      </c>
      <c r="EH28" s="556">
        <v>276</v>
      </c>
      <c r="EI28" s="751">
        <v>1</v>
      </c>
      <c r="EJ28" s="556">
        <v>276</v>
      </c>
      <c r="EK28" s="751">
        <v>1</v>
      </c>
      <c r="EL28" s="556">
        <v>276</v>
      </c>
      <c r="EM28" s="751">
        <v>1</v>
      </c>
      <c r="EN28" s="556">
        <v>276</v>
      </c>
      <c r="EO28" s="751">
        <v>1</v>
      </c>
      <c r="EP28" s="556">
        <v>276</v>
      </c>
      <c r="EQ28" s="751">
        <v>1</v>
      </c>
      <c r="ER28" s="556">
        <v>276</v>
      </c>
      <c r="ES28" s="751">
        <v>1</v>
      </c>
      <c r="ET28" s="556">
        <v>276</v>
      </c>
      <c r="EU28" s="751">
        <v>1</v>
      </c>
      <c r="EV28" s="556">
        <v>276</v>
      </c>
      <c r="EW28" s="751"/>
      <c r="EX28" s="556"/>
      <c r="EY28" s="751"/>
      <c r="EZ28" s="556"/>
      <c r="FA28" s="751"/>
      <c r="FB28" s="556"/>
      <c r="FC28" s="751"/>
      <c r="FD28" s="556"/>
      <c r="FE28" s="751"/>
      <c r="FF28" s="556"/>
      <c r="FG28" s="751"/>
      <c r="FH28" s="677"/>
      <c r="FI28" s="560"/>
      <c r="FJ28" s="561"/>
      <c r="FK28" s="745" t="s">
        <v>403</v>
      </c>
      <c r="FL28" s="746"/>
      <c r="FM28" s="752"/>
      <c r="FN28" s="748">
        <v>0</v>
      </c>
      <c r="FO28" s="749"/>
      <c r="FP28" s="678"/>
      <c r="FQ28" s="753"/>
      <c r="FR28" s="556">
        <v>0</v>
      </c>
      <c r="FS28" s="754"/>
      <c r="FT28" s="753"/>
      <c r="FU28" s="564">
        <v>0</v>
      </c>
      <c r="FV28" s="590"/>
      <c r="FW28" s="591"/>
      <c r="FX28" s="592"/>
      <c r="FY28" s="593"/>
      <c r="FZ28" s="594"/>
      <c r="GA28" s="595"/>
      <c r="GB28" s="596"/>
      <c r="GC28" s="597"/>
      <c r="GD28" s="596"/>
      <c r="GE28" s="598"/>
      <c r="GF28" s="755"/>
      <c r="GG28" s="599"/>
      <c r="GH28" s="599"/>
      <c r="GI28" s="599"/>
      <c r="GJ28" s="612"/>
      <c r="GK28" s="527" t="s">
        <v>476</v>
      </c>
      <c r="GL28" s="414"/>
      <c r="GM28" s="414"/>
      <c r="GN28" s="414"/>
      <c r="GO28" s="527"/>
      <c r="GP28" s="744">
        <v>26</v>
      </c>
      <c r="GQ28" s="414" t="s">
        <v>475</v>
      </c>
      <c r="GR28" s="726"/>
      <c r="GS28" s="527"/>
      <c r="GT28" s="756"/>
      <c r="GU28" s="577" t="s">
        <v>477</v>
      </c>
      <c r="GV28" s="606"/>
      <c r="GW28" s="527"/>
      <c r="GX28" s="526"/>
      <c r="GY28" s="410"/>
      <c r="GZ28" s="612"/>
      <c r="HA28" s="527"/>
      <c r="HB28" s="527"/>
      <c r="HC28" s="527"/>
      <c r="HD28" s="527"/>
      <c r="HE28" s="416"/>
      <c r="HF28" s="416"/>
      <c r="HG28" s="416"/>
      <c r="HH28" s="416"/>
    </row>
    <row r="29" spans="1:218" ht="20.100000000000001" customHeight="1" thickBot="1">
      <c r="A29" s="549"/>
      <c r="B29" s="757" t="s">
        <v>405</v>
      </c>
      <c r="C29" s="758"/>
      <c r="D29" s="759">
        <v>15</v>
      </c>
      <c r="E29" s="760">
        <v>13.2</v>
      </c>
      <c r="F29" s="761" t="s">
        <v>404</v>
      </c>
      <c r="G29" s="762"/>
      <c r="H29" s="584"/>
      <c r="I29" s="763"/>
      <c r="J29" s="584"/>
      <c r="K29" s="763"/>
      <c r="L29" s="584"/>
      <c r="M29" s="763"/>
      <c r="N29" s="584"/>
      <c r="O29" s="763"/>
      <c r="P29" s="584"/>
      <c r="Q29" s="763"/>
      <c r="R29" s="584"/>
      <c r="S29" s="763"/>
      <c r="T29" s="584"/>
      <c r="U29" s="763"/>
      <c r="V29" s="584"/>
      <c r="W29" s="763">
        <v>1</v>
      </c>
      <c r="X29" s="584">
        <v>198</v>
      </c>
      <c r="Y29" s="763">
        <v>1</v>
      </c>
      <c r="Z29" s="584">
        <v>198</v>
      </c>
      <c r="AA29" s="763">
        <v>1</v>
      </c>
      <c r="AB29" s="584">
        <v>198</v>
      </c>
      <c r="AC29" s="763">
        <v>1</v>
      </c>
      <c r="AD29" s="584">
        <v>198</v>
      </c>
      <c r="AE29" s="763">
        <v>1</v>
      </c>
      <c r="AF29" s="584">
        <v>198</v>
      </c>
      <c r="AG29" s="763">
        <v>1</v>
      </c>
      <c r="AH29" s="584">
        <v>198</v>
      </c>
      <c r="AI29" s="763">
        <v>1</v>
      </c>
      <c r="AJ29" s="584">
        <v>198</v>
      </c>
      <c r="AK29" s="763">
        <v>1</v>
      </c>
      <c r="AL29" s="584">
        <v>198</v>
      </c>
      <c r="AM29" s="763">
        <v>1</v>
      </c>
      <c r="AN29" s="584">
        <v>198</v>
      </c>
      <c r="AO29" s="763">
        <v>1</v>
      </c>
      <c r="AP29" s="584">
        <v>198</v>
      </c>
      <c r="AQ29" s="763"/>
      <c r="AR29" s="584"/>
      <c r="AS29" s="763"/>
      <c r="AT29" s="584"/>
      <c r="AU29" s="763"/>
      <c r="AV29" s="584"/>
      <c r="AW29" s="763"/>
      <c r="AX29" s="584"/>
      <c r="AY29" s="763"/>
      <c r="AZ29" s="584"/>
      <c r="BA29" s="763"/>
      <c r="BB29" s="586"/>
      <c r="BC29" s="559"/>
      <c r="BD29" s="549"/>
      <c r="BE29" s="757" t="s">
        <v>405</v>
      </c>
      <c r="BF29" s="758"/>
      <c r="BG29" s="759">
        <v>15</v>
      </c>
      <c r="BH29" s="760">
        <v>13.2</v>
      </c>
      <c r="BI29" s="761" t="s">
        <v>404</v>
      </c>
      <c r="BJ29" s="762"/>
      <c r="BK29" s="584"/>
      <c r="BL29" s="763"/>
      <c r="BM29" s="584"/>
      <c r="BN29" s="763"/>
      <c r="BO29" s="584"/>
      <c r="BP29" s="763"/>
      <c r="BQ29" s="584"/>
      <c r="BR29" s="763"/>
      <c r="BS29" s="584"/>
      <c r="BT29" s="763"/>
      <c r="BU29" s="584"/>
      <c r="BV29" s="763"/>
      <c r="BW29" s="584"/>
      <c r="BX29" s="763"/>
      <c r="BY29" s="584"/>
      <c r="BZ29" s="763">
        <v>1</v>
      </c>
      <c r="CA29" s="584">
        <v>198</v>
      </c>
      <c r="CB29" s="763">
        <v>1</v>
      </c>
      <c r="CC29" s="584">
        <v>198</v>
      </c>
      <c r="CD29" s="763">
        <v>1</v>
      </c>
      <c r="CE29" s="584">
        <v>198</v>
      </c>
      <c r="CF29" s="763">
        <v>1</v>
      </c>
      <c r="CG29" s="584">
        <v>198</v>
      </c>
      <c r="CH29" s="763">
        <v>1</v>
      </c>
      <c r="CI29" s="584">
        <v>198</v>
      </c>
      <c r="CJ29" s="763">
        <v>1</v>
      </c>
      <c r="CK29" s="584">
        <v>198</v>
      </c>
      <c r="CL29" s="763">
        <v>1</v>
      </c>
      <c r="CM29" s="584">
        <v>198</v>
      </c>
      <c r="CN29" s="763">
        <v>1</v>
      </c>
      <c r="CO29" s="584">
        <v>198</v>
      </c>
      <c r="CP29" s="763">
        <v>1</v>
      </c>
      <c r="CQ29" s="584">
        <v>198</v>
      </c>
      <c r="CR29" s="763">
        <v>1</v>
      </c>
      <c r="CS29" s="584">
        <v>198</v>
      </c>
      <c r="CT29" s="763"/>
      <c r="CU29" s="584"/>
      <c r="CV29" s="763"/>
      <c r="CW29" s="584"/>
      <c r="CX29" s="763"/>
      <c r="CY29" s="584"/>
      <c r="CZ29" s="763"/>
      <c r="DA29" s="584"/>
      <c r="DB29" s="763"/>
      <c r="DC29" s="584"/>
      <c r="DD29" s="763"/>
      <c r="DE29" s="586"/>
      <c r="DF29" s="559"/>
      <c r="DG29" s="549"/>
      <c r="DH29" s="757" t="s">
        <v>405</v>
      </c>
      <c r="DI29" s="758"/>
      <c r="DJ29" s="759">
        <v>15</v>
      </c>
      <c r="DK29" s="760">
        <v>13.2</v>
      </c>
      <c r="DL29" s="761" t="s">
        <v>404</v>
      </c>
      <c r="DM29" s="762"/>
      <c r="DN29" s="584"/>
      <c r="DO29" s="763"/>
      <c r="DP29" s="584"/>
      <c r="DQ29" s="763"/>
      <c r="DR29" s="584"/>
      <c r="DS29" s="763"/>
      <c r="DT29" s="584"/>
      <c r="DU29" s="763"/>
      <c r="DV29" s="584"/>
      <c r="DW29" s="763"/>
      <c r="DX29" s="584"/>
      <c r="DY29" s="763"/>
      <c r="DZ29" s="584"/>
      <c r="EA29" s="763"/>
      <c r="EB29" s="584"/>
      <c r="EC29" s="763">
        <v>1</v>
      </c>
      <c r="ED29" s="584">
        <v>198</v>
      </c>
      <c r="EE29" s="763">
        <v>1</v>
      </c>
      <c r="EF29" s="584">
        <v>198</v>
      </c>
      <c r="EG29" s="763">
        <v>1</v>
      </c>
      <c r="EH29" s="584">
        <v>198</v>
      </c>
      <c r="EI29" s="763">
        <v>1</v>
      </c>
      <c r="EJ29" s="584">
        <v>198</v>
      </c>
      <c r="EK29" s="763">
        <v>1</v>
      </c>
      <c r="EL29" s="584">
        <v>198</v>
      </c>
      <c r="EM29" s="763">
        <v>1</v>
      </c>
      <c r="EN29" s="584">
        <v>198</v>
      </c>
      <c r="EO29" s="763">
        <v>1</v>
      </c>
      <c r="EP29" s="584">
        <v>198</v>
      </c>
      <c r="EQ29" s="763">
        <v>1</v>
      </c>
      <c r="ER29" s="584">
        <v>198</v>
      </c>
      <c r="ES29" s="763">
        <v>1</v>
      </c>
      <c r="ET29" s="584">
        <v>198</v>
      </c>
      <c r="EU29" s="763">
        <v>1</v>
      </c>
      <c r="EV29" s="584">
        <v>198</v>
      </c>
      <c r="EW29" s="763"/>
      <c r="EX29" s="584"/>
      <c r="EY29" s="763"/>
      <c r="EZ29" s="584"/>
      <c r="FA29" s="763"/>
      <c r="FB29" s="584"/>
      <c r="FC29" s="763"/>
      <c r="FD29" s="584"/>
      <c r="FE29" s="763"/>
      <c r="FF29" s="584"/>
      <c r="FG29" s="763"/>
      <c r="FH29" s="586"/>
      <c r="FI29" s="560"/>
      <c r="FJ29" s="561"/>
      <c r="FK29" s="757" t="s">
        <v>405</v>
      </c>
      <c r="FL29" s="758"/>
      <c r="FM29" s="764"/>
      <c r="FN29" s="760">
        <v>0</v>
      </c>
      <c r="FO29" s="761"/>
      <c r="FP29" s="689"/>
      <c r="FQ29" s="765"/>
      <c r="FR29" s="584">
        <v>0</v>
      </c>
      <c r="FS29" s="766"/>
      <c r="FT29" s="765"/>
      <c r="FU29" s="589">
        <v>0</v>
      </c>
      <c r="FV29" s="590"/>
      <c r="FW29" s="591"/>
      <c r="FX29" s="592"/>
      <c r="FY29" s="593"/>
      <c r="FZ29" s="594"/>
      <c r="GA29" s="595"/>
      <c r="GB29" s="596"/>
      <c r="GC29" s="597"/>
      <c r="GD29" s="596"/>
      <c r="GE29" s="598"/>
      <c r="GF29" s="755"/>
      <c r="GG29" s="599"/>
      <c r="GH29" s="599"/>
      <c r="GI29" s="599"/>
      <c r="GJ29" s="612"/>
      <c r="GK29" s="767" t="s">
        <v>478</v>
      </c>
      <c r="GL29" s="767"/>
      <c r="GM29" s="767"/>
      <c r="GN29" s="767"/>
      <c r="GO29" s="612"/>
      <c r="GP29" s="744">
        <v>1.3000000000000007</v>
      </c>
      <c r="GQ29" s="414" t="s">
        <v>475</v>
      </c>
      <c r="GR29" s="768"/>
      <c r="GS29" s="527"/>
      <c r="GT29" s="756"/>
      <c r="GU29" s="577" t="s">
        <v>479</v>
      </c>
      <c r="GV29" s="606"/>
      <c r="GW29" s="527"/>
      <c r="GX29" s="526"/>
      <c r="GY29" s="410"/>
      <c r="GZ29" s="527"/>
      <c r="HA29" s="577"/>
      <c r="HB29" s="577"/>
      <c r="HC29" s="576"/>
      <c r="HD29" s="527"/>
      <c r="HE29" s="416"/>
      <c r="HF29" s="416"/>
    </row>
    <row r="30" spans="1:218" ht="20.100000000000001" customHeight="1">
      <c r="A30" s="549"/>
      <c r="B30" s="757" t="s">
        <v>406</v>
      </c>
      <c r="C30" s="759"/>
      <c r="D30" s="760">
        <v>0</v>
      </c>
      <c r="E30" s="769"/>
      <c r="F30" s="770"/>
      <c r="G30" s="762"/>
      <c r="H30" s="584"/>
      <c r="I30" s="763"/>
      <c r="J30" s="584"/>
      <c r="K30" s="763"/>
      <c r="L30" s="584"/>
      <c r="M30" s="763"/>
      <c r="N30" s="584"/>
      <c r="O30" s="763"/>
      <c r="P30" s="584"/>
      <c r="Q30" s="763"/>
      <c r="R30" s="584"/>
      <c r="S30" s="763"/>
      <c r="T30" s="584"/>
      <c r="U30" s="763"/>
      <c r="V30" s="584"/>
      <c r="W30" s="763"/>
      <c r="X30" s="584">
        <v>0</v>
      </c>
      <c r="Y30" s="763"/>
      <c r="Z30" s="584">
        <v>0</v>
      </c>
      <c r="AA30" s="763"/>
      <c r="AB30" s="584">
        <v>0</v>
      </c>
      <c r="AC30" s="763"/>
      <c r="AD30" s="584">
        <v>0</v>
      </c>
      <c r="AE30" s="763"/>
      <c r="AF30" s="584">
        <v>0</v>
      </c>
      <c r="AG30" s="763"/>
      <c r="AH30" s="584">
        <v>0</v>
      </c>
      <c r="AI30" s="763"/>
      <c r="AJ30" s="584">
        <v>0</v>
      </c>
      <c r="AK30" s="763"/>
      <c r="AL30" s="584">
        <v>0</v>
      </c>
      <c r="AM30" s="763"/>
      <c r="AN30" s="584">
        <v>0</v>
      </c>
      <c r="AO30" s="763"/>
      <c r="AP30" s="584">
        <v>0</v>
      </c>
      <c r="AQ30" s="763"/>
      <c r="AR30" s="584"/>
      <c r="AS30" s="763"/>
      <c r="AT30" s="584"/>
      <c r="AU30" s="763"/>
      <c r="AV30" s="584"/>
      <c r="AW30" s="763"/>
      <c r="AX30" s="584"/>
      <c r="AY30" s="763"/>
      <c r="AZ30" s="584"/>
      <c r="BA30" s="763"/>
      <c r="BB30" s="586"/>
      <c r="BC30" s="559"/>
      <c r="BD30" s="549"/>
      <c r="BE30" s="757" t="s">
        <v>406</v>
      </c>
      <c r="BF30" s="759">
        <v>0</v>
      </c>
      <c r="BG30" s="760">
        <v>0</v>
      </c>
      <c r="BH30" s="769">
        <v>0</v>
      </c>
      <c r="BI30" s="770"/>
      <c r="BJ30" s="762"/>
      <c r="BK30" s="584"/>
      <c r="BL30" s="763"/>
      <c r="BM30" s="584"/>
      <c r="BN30" s="763"/>
      <c r="BO30" s="584"/>
      <c r="BP30" s="763"/>
      <c r="BQ30" s="584"/>
      <c r="BR30" s="763"/>
      <c r="BS30" s="584"/>
      <c r="BT30" s="763"/>
      <c r="BU30" s="584"/>
      <c r="BV30" s="763"/>
      <c r="BW30" s="584"/>
      <c r="BX30" s="763"/>
      <c r="BY30" s="584"/>
      <c r="BZ30" s="763"/>
      <c r="CA30" s="584">
        <v>0</v>
      </c>
      <c r="CB30" s="763"/>
      <c r="CC30" s="584">
        <v>0</v>
      </c>
      <c r="CD30" s="763"/>
      <c r="CE30" s="584">
        <v>0</v>
      </c>
      <c r="CF30" s="763"/>
      <c r="CG30" s="584">
        <v>0</v>
      </c>
      <c r="CH30" s="763"/>
      <c r="CI30" s="584">
        <v>0</v>
      </c>
      <c r="CJ30" s="763"/>
      <c r="CK30" s="584">
        <v>0</v>
      </c>
      <c r="CL30" s="763"/>
      <c r="CM30" s="584">
        <v>0</v>
      </c>
      <c r="CN30" s="763"/>
      <c r="CO30" s="584">
        <v>0</v>
      </c>
      <c r="CP30" s="763"/>
      <c r="CQ30" s="584">
        <v>0</v>
      </c>
      <c r="CR30" s="763"/>
      <c r="CS30" s="584">
        <v>0</v>
      </c>
      <c r="CT30" s="763"/>
      <c r="CU30" s="584"/>
      <c r="CV30" s="763"/>
      <c r="CW30" s="584"/>
      <c r="CX30" s="763"/>
      <c r="CY30" s="584"/>
      <c r="CZ30" s="763"/>
      <c r="DA30" s="584"/>
      <c r="DB30" s="763"/>
      <c r="DC30" s="584"/>
      <c r="DD30" s="763"/>
      <c r="DE30" s="586"/>
      <c r="DF30" s="559"/>
      <c r="DG30" s="549"/>
      <c r="DH30" s="757" t="s">
        <v>406</v>
      </c>
      <c r="DI30" s="759">
        <v>0</v>
      </c>
      <c r="DJ30" s="760">
        <v>0</v>
      </c>
      <c r="DK30" s="769">
        <v>0</v>
      </c>
      <c r="DL30" s="770"/>
      <c r="DM30" s="762"/>
      <c r="DN30" s="584"/>
      <c r="DO30" s="763"/>
      <c r="DP30" s="584"/>
      <c r="DQ30" s="763"/>
      <c r="DR30" s="584"/>
      <c r="DS30" s="763"/>
      <c r="DT30" s="584"/>
      <c r="DU30" s="763"/>
      <c r="DV30" s="584"/>
      <c r="DW30" s="763"/>
      <c r="DX30" s="584"/>
      <c r="DY30" s="763"/>
      <c r="DZ30" s="584"/>
      <c r="EA30" s="763"/>
      <c r="EB30" s="584"/>
      <c r="EC30" s="763"/>
      <c r="ED30" s="584">
        <v>0</v>
      </c>
      <c r="EE30" s="763"/>
      <c r="EF30" s="584">
        <v>0</v>
      </c>
      <c r="EG30" s="763"/>
      <c r="EH30" s="584">
        <v>0</v>
      </c>
      <c r="EI30" s="763"/>
      <c r="EJ30" s="584">
        <v>0</v>
      </c>
      <c r="EK30" s="763"/>
      <c r="EL30" s="584">
        <v>0</v>
      </c>
      <c r="EM30" s="763"/>
      <c r="EN30" s="584">
        <v>0</v>
      </c>
      <c r="EO30" s="763"/>
      <c r="EP30" s="584">
        <v>0</v>
      </c>
      <c r="EQ30" s="763"/>
      <c r="ER30" s="584">
        <v>0</v>
      </c>
      <c r="ES30" s="763"/>
      <c r="ET30" s="584">
        <v>0</v>
      </c>
      <c r="EU30" s="763"/>
      <c r="EV30" s="584">
        <v>0</v>
      </c>
      <c r="EW30" s="763"/>
      <c r="EX30" s="584"/>
      <c r="EY30" s="763"/>
      <c r="EZ30" s="584"/>
      <c r="FA30" s="763"/>
      <c r="FB30" s="584"/>
      <c r="FC30" s="763"/>
      <c r="FD30" s="584"/>
      <c r="FE30" s="763"/>
      <c r="FF30" s="584"/>
      <c r="FG30" s="763"/>
      <c r="FH30" s="586"/>
      <c r="FI30" s="560"/>
      <c r="FJ30" s="561"/>
      <c r="FK30" s="757" t="s">
        <v>406</v>
      </c>
      <c r="FL30" s="764"/>
      <c r="FM30" s="760">
        <v>0</v>
      </c>
      <c r="FN30" s="769">
        <v>0</v>
      </c>
      <c r="FO30" s="770"/>
      <c r="FP30" s="689"/>
      <c r="FQ30" s="765"/>
      <c r="FR30" s="584">
        <v>0</v>
      </c>
      <c r="FS30" s="766"/>
      <c r="FT30" s="765"/>
      <c r="FU30" s="589">
        <v>0</v>
      </c>
      <c r="FV30" s="590"/>
      <c r="FW30" s="591"/>
      <c r="FX30" s="592"/>
      <c r="FY30" s="593"/>
      <c r="FZ30" s="594"/>
      <c r="GA30" s="595"/>
      <c r="GB30" s="596"/>
      <c r="GC30" s="597"/>
      <c r="GD30" s="596"/>
      <c r="GE30" s="598"/>
      <c r="GF30" s="755"/>
      <c r="GG30" s="599"/>
      <c r="GH30" s="599"/>
      <c r="GI30" s="599"/>
      <c r="GJ30" s="612"/>
      <c r="GK30" s="767" t="s">
        <v>480</v>
      </c>
      <c r="GL30" s="767"/>
      <c r="GM30" s="767"/>
      <c r="GN30" s="767"/>
      <c r="GO30" s="527"/>
      <c r="GP30" s="771">
        <v>0</v>
      </c>
      <c r="GQ30" s="414"/>
      <c r="GR30" s="414"/>
      <c r="GS30" s="527"/>
      <c r="GT30" s="756"/>
      <c r="GU30" s="772" t="s">
        <v>370</v>
      </c>
      <c r="GV30" s="773"/>
      <c r="GW30" s="774" t="s">
        <v>481</v>
      </c>
      <c r="GX30" s="774"/>
      <c r="GY30" s="774"/>
      <c r="GZ30" s="774"/>
      <c r="HA30" s="775"/>
      <c r="HB30" s="776" t="s">
        <v>482</v>
      </c>
      <c r="HC30" s="576"/>
      <c r="HD30" s="559"/>
      <c r="HE30" s="416"/>
      <c r="HF30" s="416"/>
    </row>
    <row r="31" spans="1:218" ht="20.100000000000001" customHeight="1">
      <c r="A31" s="549"/>
      <c r="B31" s="777" t="s">
        <v>407</v>
      </c>
      <c r="C31" s="777"/>
      <c r="D31" s="778"/>
      <c r="E31" s="779"/>
      <c r="F31" s="780"/>
      <c r="G31" s="762"/>
      <c r="H31" s="584"/>
      <c r="I31" s="763"/>
      <c r="J31" s="584"/>
      <c r="K31" s="763"/>
      <c r="L31" s="584"/>
      <c r="M31" s="763"/>
      <c r="N31" s="584"/>
      <c r="O31" s="763"/>
      <c r="P31" s="584"/>
      <c r="Q31" s="763"/>
      <c r="R31" s="584"/>
      <c r="S31" s="763"/>
      <c r="T31" s="584"/>
      <c r="U31" s="763"/>
      <c r="V31" s="584"/>
      <c r="W31" s="763"/>
      <c r="X31" s="584">
        <v>0</v>
      </c>
      <c r="Y31" s="763"/>
      <c r="Z31" s="584">
        <v>0</v>
      </c>
      <c r="AA31" s="763"/>
      <c r="AB31" s="584">
        <v>0</v>
      </c>
      <c r="AC31" s="763"/>
      <c r="AD31" s="584">
        <v>0</v>
      </c>
      <c r="AE31" s="763"/>
      <c r="AF31" s="584">
        <v>0</v>
      </c>
      <c r="AG31" s="763"/>
      <c r="AH31" s="584">
        <v>0</v>
      </c>
      <c r="AI31" s="763"/>
      <c r="AJ31" s="584">
        <v>0</v>
      </c>
      <c r="AK31" s="763"/>
      <c r="AL31" s="584">
        <v>0</v>
      </c>
      <c r="AM31" s="763"/>
      <c r="AN31" s="584">
        <v>0</v>
      </c>
      <c r="AO31" s="763"/>
      <c r="AP31" s="584">
        <v>0</v>
      </c>
      <c r="AQ31" s="763"/>
      <c r="AR31" s="584"/>
      <c r="AS31" s="763"/>
      <c r="AT31" s="584"/>
      <c r="AU31" s="763"/>
      <c r="AV31" s="584"/>
      <c r="AW31" s="763"/>
      <c r="AX31" s="584"/>
      <c r="AY31" s="763"/>
      <c r="AZ31" s="584"/>
      <c r="BA31" s="763"/>
      <c r="BB31" s="586"/>
      <c r="BC31" s="559"/>
      <c r="BD31" s="549"/>
      <c r="BE31" s="777" t="s">
        <v>407</v>
      </c>
      <c r="BF31" s="777"/>
      <c r="BG31" s="778">
        <v>0</v>
      </c>
      <c r="BH31" s="779">
        <v>0</v>
      </c>
      <c r="BI31" s="780"/>
      <c r="BJ31" s="762"/>
      <c r="BK31" s="584"/>
      <c r="BL31" s="763"/>
      <c r="BM31" s="584"/>
      <c r="BN31" s="763"/>
      <c r="BO31" s="584"/>
      <c r="BP31" s="763"/>
      <c r="BQ31" s="584"/>
      <c r="BR31" s="763"/>
      <c r="BS31" s="584"/>
      <c r="BT31" s="763"/>
      <c r="BU31" s="584"/>
      <c r="BV31" s="763"/>
      <c r="BW31" s="584"/>
      <c r="BX31" s="763"/>
      <c r="BY31" s="584"/>
      <c r="BZ31" s="763"/>
      <c r="CA31" s="584">
        <v>0</v>
      </c>
      <c r="CB31" s="763"/>
      <c r="CC31" s="584">
        <v>0</v>
      </c>
      <c r="CD31" s="763"/>
      <c r="CE31" s="584">
        <v>0</v>
      </c>
      <c r="CF31" s="763"/>
      <c r="CG31" s="584">
        <v>0</v>
      </c>
      <c r="CH31" s="763"/>
      <c r="CI31" s="584">
        <v>0</v>
      </c>
      <c r="CJ31" s="763"/>
      <c r="CK31" s="584">
        <v>0</v>
      </c>
      <c r="CL31" s="763"/>
      <c r="CM31" s="584">
        <v>0</v>
      </c>
      <c r="CN31" s="763"/>
      <c r="CO31" s="584">
        <v>0</v>
      </c>
      <c r="CP31" s="763"/>
      <c r="CQ31" s="584">
        <v>0</v>
      </c>
      <c r="CR31" s="763"/>
      <c r="CS31" s="584">
        <v>0</v>
      </c>
      <c r="CT31" s="763"/>
      <c r="CU31" s="584"/>
      <c r="CV31" s="763"/>
      <c r="CW31" s="584"/>
      <c r="CX31" s="763"/>
      <c r="CY31" s="584"/>
      <c r="CZ31" s="763"/>
      <c r="DA31" s="584"/>
      <c r="DB31" s="763"/>
      <c r="DC31" s="584"/>
      <c r="DD31" s="763"/>
      <c r="DE31" s="586"/>
      <c r="DF31" s="559"/>
      <c r="DG31" s="549"/>
      <c r="DH31" s="777" t="s">
        <v>407</v>
      </c>
      <c r="DI31" s="777"/>
      <c r="DJ31" s="778">
        <v>0</v>
      </c>
      <c r="DK31" s="779">
        <v>0</v>
      </c>
      <c r="DL31" s="780"/>
      <c r="DM31" s="762"/>
      <c r="DN31" s="584"/>
      <c r="DO31" s="763"/>
      <c r="DP31" s="584"/>
      <c r="DQ31" s="763"/>
      <c r="DR31" s="584"/>
      <c r="DS31" s="763"/>
      <c r="DT31" s="584"/>
      <c r="DU31" s="763"/>
      <c r="DV31" s="584"/>
      <c r="DW31" s="763"/>
      <c r="DX31" s="584"/>
      <c r="DY31" s="763"/>
      <c r="DZ31" s="584"/>
      <c r="EA31" s="763"/>
      <c r="EB31" s="584"/>
      <c r="EC31" s="763"/>
      <c r="ED31" s="584">
        <v>0</v>
      </c>
      <c r="EE31" s="763"/>
      <c r="EF31" s="584">
        <v>0</v>
      </c>
      <c r="EG31" s="763"/>
      <c r="EH31" s="584">
        <v>0</v>
      </c>
      <c r="EI31" s="763"/>
      <c r="EJ31" s="584">
        <v>0</v>
      </c>
      <c r="EK31" s="763"/>
      <c r="EL31" s="584">
        <v>0</v>
      </c>
      <c r="EM31" s="763"/>
      <c r="EN31" s="584">
        <v>0</v>
      </c>
      <c r="EO31" s="763"/>
      <c r="EP31" s="584">
        <v>0</v>
      </c>
      <c r="EQ31" s="763"/>
      <c r="ER31" s="584">
        <v>0</v>
      </c>
      <c r="ES31" s="763"/>
      <c r="ET31" s="584">
        <v>0</v>
      </c>
      <c r="EU31" s="763"/>
      <c r="EV31" s="584">
        <v>0</v>
      </c>
      <c r="EW31" s="763"/>
      <c r="EX31" s="584"/>
      <c r="EY31" s="763"/>
      <c r="EZ31" s="584"/>
      <c r="FA31" s="763"/>
      <c r="FB31" s="584"/>
      <c r="FC31" s="763"/>
      <c r="FD31" s="584"/>
      <c r="FE31" s="763"/>
      <c r="FF31" s="584"/>
      <c r="FG31" s="763"/>
      <c r="FH31" s="586"/>
      <c r="FI31" s="560"/>
      <c r="FJ31" s="561"/>
      <c r="FK31" s="777" t="s">
        <v>407</v>
      </c>
      <c r="FL31" s="777"/>
      <c r="FM31" s="781"/>
      <c r="FN31" s="779">
        <v>0</v>
      </c>
      <c r="FO31" s="780"/>
      <c r="FP31" s="689"/>
      <c r="FQ31" s="765"/>
      <c r="FR31" s="584">
        <v>0</v>
      </c>
      <c r="FS31" s="766"/>
      <c r="FT31" s="765"/>
      <c r="FU31" s="589">
        <v>0</v>
      </c>
      <c r="FV31" s="590"/>
      <c r="FW31" s="591"/>
      <c r="FX31" s="592"/>
      <c r="FY31" s="593"/>
      <c r="FZ31" s="594"/>
      <c r="GA31" s="595"/>
      <c r="GB31" s="596"/>
      <c r="GC31" s="597"/>
      <c r="GD31" s="596"/>
      <c r="GE31" s="598"/>
      <c r="GF31" s="755"/>
      <c r="GG31" s="599"/>
      <c r="GH31" s="599"/>
      <c r="GI31" s="599"/>
      <c r="GJ31" s="414"/>
      <c r="GK31" s="577" t="s">
        <v>483</v>
      </c>
      <c r="GL31" s="414"/>
      <c r="GM31" s="577"/>
      <c r="GN31" s="414"/>
      <c r="GO31" s="577"/>
      <c r="GP31" s="771">
        <v>0</v>
      </c>
      <c r="GQ31" s="414"/>
      <c r="GR31" s="414"/>
      <c r="GS31" s="577"/>
      <c r="GT31" s="756"/>
      <c r="GU31" s="772"/>
      <c r="GV31" s="773"/>
      <c r="GW31" s="782" t="s">
        <v>484</v>
      </c>
      <c r="GX31" s="783" t="s">
        <v>485</v>
      </c>
      <c r="GY31" s="784" t="s">
        <v>486</v>
      </c>
      <c r="GZ31" s="785" t="s">
        <v>487</v>
      </c>
      <c r="HA31" s="785" t="s">
        <v>463</v>
      </c>
      <c r="HB31" s="786"/>
      <c r="HC31" s="576"/>
      <c r="HD31" s="559"/>
      <c r="HE31" s="416"/>
      <c r="HF31" s="416"/>
    </row>
    <row r="32" spans="1:218" ht="20.100000000000001" customHeight="1">
      <c r="A32" s="549"/>
      <c r="B32" s="787" t="s">
        <v>408</v>
      </c>
      <c r="C32" s="788"/>
      <c r="D32" s="778"/>
      <c r="E32" s="789"/>
      <c r="F32" s="790"/>
      <c r="G32" s="791"/>
      <c r="H32" s="792"/>
      <c r="I32" s="793"/>
      <c r="J32" s="792"/>
      <c r="K32" s="793"/>
      <c r="L32" s="792"/>
      <c r="M32" s="793"/>
      <c r="N32" s="792"/>
      <c r="O32" s="793"/>
      <c r="P32" s="792"/>
      <c r="Q32" s="793"/>
      <c r="R32" s="792"/>
      <c r="S32" s="793"/>
      <c r="T32" s="792"/>
      <c r="U32" s="793"/>
      <c r="V32" s="792"/>
      <c r="W32" s="793"/>
      <c r="X32" s="792">
        <v>0</v>
      </c>
      <c r="Y32" s="793"/>
      <c r="Z32" s="792">
        <v>0</v>
      </c>
      <c r="AA32" s="793"/>
      <c r="AB32" s="792">
        <v>0</v>
      </c>
      <c r="AC32" s="793"/>
      <c r="AD32" s="792">
        <v>0</v>
      </c>
      <c r="AE32" s="793"/>
      <c r="AF32" s="792">
        <v>0</v>
      </c>
      <c r="AG32" s="793"/>
      <c r="AH32" s="792">
        <v>0</v>
      </c>
      <c r="AI32" s="793"/>
      <c r="AJ32" s="792">
        <v>0</v>
      </c>
      <c r="AK32" s="793"/>
      <c r="AL32" s="792">
        <v>0</v>
      </c>
      <c r="AM32" s="793"/>
      <c r="AN32" s="792">
        <v>0</v>
      </c>
      <c r="AO32" s="793"/>
      <c r="AP32" s="792">
        <v>0</v>
      </c>
      <c r="AQ32" s="793"/>
      <c r="AR32" s="792"/>
      <c r="AS32" s="793"/>
      <c r="AT32" s="792"/>
      <c r="AU32" s="793"/>
      <c r="AV32" s="792"/>
      <c r="AW32" s="793"/>
      <c r="AX32" s="792"/>
      <c r="AY32" s="793"/>
      <c r="AZ32" s="792"/>
      <c r="BA32" s="793"/>
      <c r="BB32" s="794"/>
      <c r="BC32" s="559"/>
      <c r="BD32" s="549"/>
      <c r="BE32" s="787" t="s">
        <v>408</v>
      </c>
      <c r="BF32" s="788"/>
      <c r="BG32" s="778">
        <v>0</v>
      </c>
      <c r="BH32" s="789">
        <v>0</v>
      </c>
      <c r="BI32" s="790"/>
      <c r="BJ32" s="791"/>
      <c r="BK32" s="792"/>
      <c r="BL32" s="793"/>
      <c r="BM32" s="792"/>
      <c r="BN32" s="793"/>
      <c r="BO32" s="792"/>
      <c r="BP32" s="793"/>
      <c r="BQ32" s="792"/>
      <c r="BR32" s="793"/>
      <c r="BS32" s="792"/>
      <c r="BT32" s="793"/>
      <c r="BU32" s="792"/>
      <c r="BV32" s="793"/>
      <c r="BW32" s="792"/>
      <c r="BX32" s="793"/>
      <c r="BY32" s="792"/>
      <c r="BZ32" s="793"/>
      <c r="CA32" s="792">
        <v>0</v>
      </c>
      <c r="CB32" s="793"/>
      <c r="CC32" s="792">
        <v>0</v>
      </c>
      <c r="CD32" s="793"/>
      <c r="CE32" s="792">
        <v>0</v>
      </c>
      <c r="CF32" s="793"/>
      <c r="CG32" s="792">
        <v>0</v>
      </c>
      <c r="CH32" s="793"/>
      <c r="CI32" s="792">
        <v>0</v>
      </c>
      <c r="CJ32" s="793"/>
      <c r="CK32" s="792">
        <v>0</v>
      </c>
      <c r="CL32" s="793"/>
      <c r="CM32" s="792">
        <v>0</v>
      </c>
      <c r="CN32" s="793"/>
      <c r="CO32" s="792">
        <v>0</v>
      </c>
      <c r="CP32" s="793"/>
      <c r="CQ32" s="792">
        <v>0</v>
      </c>
      <c r="CR32" s="793"/>
      <c r="CS32" s="792">
        <v>0</v>
      </c>
      <c r="CT32" s="793"/>
      <c r="CU32" s="792"/>
      <c r="CV32" s="793"/>
      <c r="CW32" s="792"/>
      <c r="CX32" s="793"/>
      <c r="CY32" s="792"/>
      <c r="CZ32" s="793"/>
      <c r="DA32" s="792"/>
      <c r="DB32" s="793"/>
      <c r="DC32" s="792"/>
      <c r="DD32" s="793"/>
      <c r="DE32" s="794"/>
      <c r="DF32" s="559"/>
      <c r="DG32" s="549"/>
      <c r="DH32" s="787" t="s">
        <v>408</v>
      </c>
      <c r="DI32" s="788"/>
      <c r="DJ32" s="778">
        <v>0</v>
      </c>
      <c r="DK32" s="789">
        <v>0</v>
      </c>
      <c r="DL32" s="790"/>
      <c r="DM32" s="791"/>
      <c r="DN32" s="792"/>
      <c r="DO32" s="793"/>
      <c r="DP32" s="792"/>
      <c r="DQ32" s="793"/>
      <c r="DR32" s="792"/>
      <c r="DS32" s="793"/>
      <c r="DT32" s="792"/>
      <c r="DU32" s="793"/>
      <c r="DV32" s="792"/>
      <c r="DW32" s="793"/>
      <c r="DX32" s="792"/>
      <c r="DY32" s="793"/>
      <c r="DZ32" s="792"/>
      <c r="EA32" s="793"/>
      <c r="EB32" s="792"/>
      <c r="EC32" s="793"/>
      <c r="ED32" s="792">
        <v>0</v>
      </c>
      <c r="EE32" s="793"/>
      <c r="EF32" s="792">
        <v>0</v>
      </c>
      <c r="EG32" s="793"/>
      <c r="EH32" s="792">
        <v>0</v>
      </c>
      <c r="EI32" s="793"/>
      <c r="EJ32" s="792">
        <v>0</v>
      </c>
      <c r="EK32" s="793"/>
      <c r="EL32" s="792">
        <v>0</v>
      </c>
      <c r="EM32" s="793"/>
      <c r="EN32" s="792">
        <v>0</v>
      </c>
      <c r="EO32" s="793"/>
      <c r="EP32" s="792">
        <v>0</v>
      </c>
      <c r="EQ32" s="793"/>
      <c r="ER32" s="792">
        <v>0</v>
      </c>
      <c r="ES32" s="793"/>
      <c r="ET32" s="792">
        <v>0</v>
      </c>
      <c r="EU32" s="793"/>
      <c r="EV32" s="792">
        <v>0</v>
      </c>
      <c r="EW32" s="793"/>
      <c r="EX32" s="792"/>
      <c r="EY32" s="793"/>
      <c r="EZ32" s="792"/>
      <c r="FA32" s="793"/>
      <c r="FB32" s="792"/>
      <c r="FC32" s="793"/>
      <c r="FD32" s="792"/>
      <c r="FE32" s="793"/>
      <c r="FF32" s="792"/>
      <c r="FG32" s="793"/>
      <c r="FH32" s="794"/>
      <c r="FI32" s="560"/>
      <c r="FJ32" s="561"/>
      <c r="FK32" s="787" t="s">
        <v>408</v>
      </c>
      <c r="FL32" s="788"/>
      <c r="FM32" s="781"/>
      <c r="FN32" s="789">
        <v>0</v>
      </c>
      <c r="FO32" s="790"/>
      <c r="FP32" s="795"/>
      <c r="FQ32" s="796"/>
      <c r="FR32" s="792">
        <v>0</v>
      </c>
      <c r="FS32" s="797"/>
      <c r="FT32" s="796"/>
      <c r="FU32" s="798">
        <v>0</v>
      </c>
      <c r="FV32" s="590"/>
      <c r="FW32" s="591"/>
      <c r="FX32" s="799"/>
      <c r="FY32" s="593"/>
      <c r="FZ32" s="800"/>
      <c r="GA32" s="595"/>
      <c r="GB32" s="801"/>
      <c r="GC32" s="597"/>
      <c r="GD32" s="801"/>
      <c r="GE32" s="598"/>
      <c r="GF32" s="755"/>
      <c r="GG32" s="599"/>
      <c r="GH32" s="599"/>
      <c r="GI32" s="599"/>
      <c r="GJ32" s="497"/>
      <c r="GK32" s="498"/>
      <c r="GL32" s="498"/>
      <c r="GM32" s="498"/>
      <c r="GN32" s="498"/>
      <c r="GO32" s="498"/>
      <c r="GP32" s="498"/>
      <c r="GQ32" s="498"/>
      <c r="GR32" s="498"/>
      <c r="GS32" s="410"/>
      <c r="GT32" s="756"/>
      <c r="GU32" s="802"/>
      <c r="GV32" s="803"/>
      <c r="GW32" s="782"/>
      <c r="GX32" s="783"/>
      <c r="GY32" s="784"/>
      <c r="GZ32" s="785"/>
      <c r="HA32" s="785"/>
      <c r="HB32" s="786"/>
      <c r="HC32" s="414"/>
      <c r="HD32" s="559"/>
      <c r="HE32" s="416"/>
      <c r="HF32" s="416"/>
    </row>
    <row r="33" spans="1:219" ht="20.100000000000001" customHeight="1">
      <c r="A33" s="638"/>
      <c r="B33" s="639"/>
      <c r="C33" s="639"/>
      <c r="D33" s="640" t="s">
        <v>409</v>
      </c>
      <c r="E33" s="639"/>
      <c r="F33" s="639"/>
      <c r="G33" s="641"/>
      <c r="H33" s="642">
        <v>0</v>
      </c>
      <c r="I33" s="643"/>
      <c r="J33" s="642">
        <v>0</v>
      </c>
      <c r="K33" s="643"/>
      <c r="L33" s="642">
        <v>0</v>
      </c>
      <c r="M33" s="643"/>
      <c r="N33" s="642">
        <v>0</v>
      </c>
      <c r="O33" s="643"/>
      <c r="P33" s="642">
        <v>0</v>
      </c>
      <c r="Q33" s="643"/>
      <c r="R33" s="642">
        <v>0</v>
      </c>
      <c r="S33" s="643"/>
      <c r="T33" s="642">
        <v>0</v>
      </c>
      <c r="U33" s="643"/>
      <c r="V33" s="642">
        <v>0</v>
      </c>
      <c r="W33" s="643"/>
      <c r="X33" s="642">
        <v>474</v>
      </c>
      <c r="Y33" s="643"/>
      <c r="Z33" s="642">
        <v>474</v>
      </c>
      <c r="AA33" s="643"/>
      <c r="AB33" s="642">
        <v>474</v>
      </c>
      <c r="AC33" s="643"/>
      <c r="AD33" s="642">
        <v>474</v>
      </c>
      <c r="AE33" s="643"/>
      <c r="AF33" s="642">
        <v>474</v>
      </c>
      <c r="AG33" s="643"/>
      <c r="AH33" s="642">
        <v>474</v>
      </c>
      <c r="AI33" s="643"/>
      <c r="AJ33" s="642">
        <v>474</v>
      </c>
      <c r="AK33" s="643"/>
      <c r="AL33" s="642">
        <v>474</v>
      </c>
      <c r="AM33" s="643"/>
      <c r="AN33" s="642">
        <v>474</v>
      </c>
      <c r="AO33" s="643"/>
      <c r="AP33" s="642">
        <v>474</v>
      </c>
      <c r="AQ33" s="643"/>
      <c r="AR33" s="642">
        <v>0</v>
      </c>
      <c r="AS33" s="643"/>
      <c r="AT33" s="642">
        <v>0</v>
      </c>
      <c r="AU33" s="643"/>
      <c r="AV33" s="642">
        <v>0</v>
      </c>
      <c r="AW33" s="643"/>
      <c r="AX33" s="642">
        <v>0</v>
      </c>
      <c r="AY33" s="643"/>
      <c r="AZ33" s="642">
        <v>0</v>
      </c>
      <c r="BA33" s="643"/>
      <c r="BB33" s="644">
        <v>0</v>
      </c>
      <c r="BC33" s="645"/>
      <c r="BD33" s="638"/>
      <c r="BE33" s="639"/>
      <c r="BF33" s="639"/>
      <c r="BG33" s="640" t="s">
        <v>409</v>
      </c>
      <c r="BH33" s="639"/>
      <c r="BI33" s="639"/>
      <c r="BJ33" s="641"/>
      <c r="BK33" s="642">
        <v>0</v>
      </c>
      <c r="BL33" s="643"/>
      <c r="BM33" s="642">
        <v>0</v>
      </c>
      <c r="BN33" s="643"/>
      <c r="BO33" s="642">
        <v>0</v>
      </c>
      <c r="BP33" s="643"/>
      <c r="BQ33" s="642">
        <v>0</v>
      </c>
      <c r="BR33" s="643"/>
      <c r="BS33" s="642">
        <v>0</v>
      </c>
      <c r="BT33" s="643"/>
      <c r="BU33" s="642">
        <v>0</v>
      </c>
      <c r="BV33" s="643"/>
      <c r="BW33" s="642">
        <v>0</v>
      </c>
      <c r="BX33" s="643"/>
      <c r="BY33" s="642">
        <v>0</v>
      </c>
      <c r="BZ33" s="643"/>
      <c r="CA33" s="642">
        <v>474</v>
      </c>
      <c r="CB33" s="643"/>
      <c r="CC33" s="642">
        <v>474</v>
      </c>
      <c r="CD33" s="643"/>
      <c r="CE33" s="642">
        <v>474</v>
      </c>
      <c r="CF33" s="643"/>
      <c r="CG33" s="642">
        <v>474</v>
      </c>
      <c r="CH33" s="643"/>
      <c r="CI33" s="642">
        <v>474</v>
      </c>
      <c r="CJ33" s="643"/>
      <c r="CK33" s="642">
        <v>474</v>
      </c>
      <c r="CL33" s="643"/>
      <c r="CM33" s="642">
        <v>474</v>
      </c>
      <c r="CN33" s="643"/>
      <c r="CO33" s="642">
        <v>474</v>
      </c>
      <c r="CP33" s="643"/>
      <c r="CQ33" s="642">
        <v>474</v>
      </c>
      <c r="CR33" s="643"/>
      <c r="CS33" s="642">
        <v>474</v>
      </c>
      <c r="CT33" s="643"/>
      <c r="CU33" s="642">
        <v>0</v>
      </c>
      <c r="CV33" s="643"/>
      <c r="CW33" s="642">
        <v>0</v>
      </c>
      <c r="CX33" s="643"/>
      <c r="CY33" s="642">
        <v>0</v>
      </c>
      <c r="CZ33" s="643"/>
      <c r="DA33" s="642">
        <v>0</v>
      </c>
      <c r="DB33" s="643"/>
      <c r="DC33" s="642">
        <v>0</v>
      </c>
      <c r="DD33" s="643"/>
      <c r="DE33" s="644">
        <v>0</v>
      </c>
      <c r="DF33" s="645"/>
      <c r="DG33" s="638"/>
      <c r="DH33" s="639"/>
      <c r="DI33" s="639"/>
      <c r="DJ33" s="640" t="s">
        <v>409</v>
      </c>
      <c r="DK33" s="639"/>
      <c r="DL33" s="639"/>
      <c r="DM33" s="641"/>
      <c r="DN33" s="642">
        <v>0</v>
      </c>
      <c r="DO33" s="643"/>
      <c r="DP33" s="642">
        <v>0</v>
      </c>
      <c r="DQ33" s="643"/>
      <c r="DR33" s="642">
        <v>0</v>
      </c>
      <c r="DS33" s="643"/>
      <c r="DT33" s="642">
        <v>0</v>
      </c>
      <c r="DU33" s="643"/>
      <c r="DV33" s="642">
        <v>0</v>
      </c>
      <c r="DW33" s="643"/>
      <c r="DX33" s="642">
        <v>0</v>
      </c>
      <c r="DY33" s="643"/>
      <c r="DZ33" s="642">
        <v>0</v>
      </c>
      <c r="EA33" s="643"/>
      <c r="EB33" s="642">
        <v>0</v>
      </c>
      <c r="EC33" s="643"/>
      <c r="ED33" s="642">
        <v>474</v>
      </c>
      <c r="EE33" s="643"/>
      <c r="EF33" s="642">
        <v>474</v>
      </c>
      <c r="EG33" s="643"/>
      <c r="EH33" s="642">
        <v>474</v>
      </c>
      <c r="EI33" s="643"/>
      <c r="EJ33" s="642">
        <v>474</v>
      </c>
      <c r="EK33" s="643"/>
      <c r="EL33" s="642">
        <v>474</v>
      </c>
      <c r="EM33" s="643"/>
      <c r="EN33" s="642">
        <v>474</v>
      </c>
      <c r="EO33" s="643"/>
      <c r="EP33" s="642">
        <v>474</v>
      </c>
      <c r="EQ33" s="643"/>
      <c r="ER33" s="642">
        <v>474</v>
      </c>
      <c r="ES33" s="643"/>
      <c r="ET33" s="642">
        <v>474</v>
      </c>
      <c r="EU33" s="643"/>
      <c r="EV33" s="642">
        <v>474</v>
      </c>
      <c r="EW33" s="643"/>
      <c r="EX33" s="642">
        <v>0</v>
      </c>
      <c r="EY33" s="643"/>
      <c r="EZ33" s="642">
        <v>0</v>
      </c>
      <c r="FA33" s="643"/>
      <c r="FB33" s="642">
        <v>0</v>
      </c>
      <c r="FC33" s="643"/>
      <c r="FD33" s="642">
        <v>0</v>
      </c>
      <c r="FE33" s="643"/>
      <c r="FF33" s="642">
        <v>0</v>
      </c>
      <c r="FG33" s="643"/>
      <c r="FH33" s="644">
        <v>0</v>
      </c>
      <c r="FI33" s="646"/>
      <c r="FJ33" s="561"/>
      <c r="FK33" s="639"/>
      <c r="FL33" s="639"/>
      <c r="FM33" s="640" t="s">
        <v>409</v>
      </c>
      <c r="FN33" s="639"/>
      <c r="FO33" s="639"/>
      <c r="FP33" s="647"/>
      <c r="FQ33" s="648"/>
      <c r="FR33" s="642">
        <v>0</v>
      </c>
      <c r="FS33" s="649"/>
      <c r="FT33" s="648"/>
      <c r="FU33" s="650">
        <v>0</v>
      </c>
      <c r="FV33" s="590"/>
      <c r="FW33" s="591"/>
      <c r="FX33" s="799"/>
      <c r="FY33" s="593"/>
      <c r="FZ33" s="800"/>
      <c r="GA33" s="595"/>
      <c r="GB33" s="801"/>
      <c r="GC33" s="597"/>
      <c r="GD33" s="801"/>
      <c r="GE33" s="598"/>
      <c r="GF33" s="651"/>
      <c r="GG33" s="652"/>
      <c r="GH33" s="652"/>
      <c r="GI33" s="652"/>
      <c r="GJ33" s="576"/>
      <c r="GK33" s="527" t="s">
        <v>488</v>
      </c>
      <c r="GL33" s="576"/>
      <c r="GM33" s="527"/>
      <c r="GN33" s="576"/>
      <c r="GO33" s="527"/>
      <c r="GP33" s="527"/>
      <c r="GQ33" s="527"/>
      <c r="GR33" s="576"/>
      <c r="GS33" s="527"/>
      <c r="GT33" s="756"/>
      <c r="GU33" s="804">
        <v>204</v>
      </c>
      <c r="GV33" s="805"/>
      <c r="GW33" s="806">
        <v>0</v>
      </c>
      <c r="GX33" s="807">
        <v>6.6</v>
      </c>
      <c r="GY33" s="807">
        <v>35.590000000000003</v>
      </c>
      <c r="GZ33" s="807">
        <v>0</v>
      </c>
      <c r="HA33" s="807">
        <v>42.190000000000005</v>
      </c>
      <c r="HB33" s="808">
        <v>13.2</v>
      </c>
      <c r="HC33" s="414"/>
      <c r="HD33" s="645"/>
      <c r="HE33" s="416"/>
      <c r="HF33" s="416"/>
    </row>
    <row r="34" spans="1:219" ht="20.100000000000001" customHeight="1">
      <c r="A34" s="809" t="s">
        <v>410</v>
      </c>
      <c r="B34" s="736"/>
      <c r="C34" s="810"/>
      <c r="D34" s="811"/>
      <c r="E34" s="810"/>
      <c r="F34" s="812"/>
      <c r="G34" s="733" t="s">
        <v>411</v>
      </c>
      <c r="H34" s="660" t="s">
        <v>398</v>
      </c>
      <c r="I34" s="734" t="s">
        <v>411</v>
      </c>
      <c r="J34" s="660" t="s">
        <v>398</v>
      </c>
      <c r="K34" s="735" t="s">
        <v>411</v>
      </c>
      <c r="L34" s="660" t="s">
        <v>398</v>
      </c>
      <c r="M34" s="735" t="s">
        <v>411</v>
      </c>
      <c r="N34" s="660" t="s">
        <v>398</v>
      </c>
      <c r="O34" s="735" t="s">
        <v>411</v>
      </c>
      <c r="P34" s="660" t="s">
        <v>398</v>
      </c>
      <c r="Q34" s="735" t="s">
        <v>411</v>
      </c>
      <c r="R34" s="660" t="s">
        <v>398</v>
      </c>
      <c r="S34" s="735" t="s">
        <v>411</v>
      </c>
      <c r="T34" s="660" t="s">
        <v>398</v>
      </c>
      <c r="U34" s="735" t="s">
        <v>411</v>
      </c>
      <c r="V34" s="660" t="s">
        <v>398</v>
      </c>
      <c r="W34" s="735" t="s">
        <v>411</v>
      </c>
      <c r="X34" s="660" t="s">
        <v>398</v>
      </c>
      <c r="Y34" s="735" t="s">
        <v>411</v>
      </c>
      <c r="Z34" s="660" t="s">
        <v>398</v>
      </c>
      <c r="AA34" s="735" t="s">
        <v>411</v>
      </c>
      <c r="AB34" s="660" t="s">
        <v>398</v>
      </c>
      <c r="AC34" s="735" t="s">
        <v>411</v>
      </c>
      <c r="AD34" s="660" t="s">
        <v>398</v>
      </c>
      <c r="AE34" s="735" t="s">
        <v>411</v>
      </c>
      <c r="AF34" s="660" t="s">
        <v>398</v>
      </c>
      <c r="AG34" s="735" t="s">
        <v>411</v>
      </c>
      <c r="AH34" s="660" t="s">
        <v>398</v>
      </c>
      <c r="AI34" s="735" t="s">
        <v>411</v>
      </c>
      <c r="AJ34" s="660" t="s">
        <v>398</v>
      </c>
      <c r="AK34" s="735" t="s">
        <v>411</v>
      </c>
      <c r="AL34" s="660" t="s">
        <v>398</v>
      </c>
      <c r="AM34" s="735" t="s">
        <v>411</v>
      </c>
      <c r="AN34" s="660" t="s">
        <v>398</v>
      </c>
      <c r="AO34" s="735" t="s">
        <v>411</v>
      </c>
      <c r="AP34" s="660" t="s">
        <v>398</v>
      </c>
      <c r="AQ34" s="735" t="s">
        <v>411</v>
      </c>
      <c r="AR34" s="660" t="s">
        <v>398</v>
      </c>
      <c r="AS34" s="735" t="s">
        <v>411</v>
      </c>
      <c r="AT34" s="660" t="s">
        <v>398</v>
      </c>
      <c r="AU34" s="735" t="s">
        <v>411</v>
      </c>
      <c r="AV34" s="660" t="s">
        <v>398</v>
      </c>
      <c r="AW34" s="735" t="s">
        <v>411</v>
      </c>
      <c r="AX34" s="660" t="s">
        <v>398</v>
      </c>
      <c r="AY34" s="735" t="s">
        <v>411</v>
      </c>
      <c r="AZ34" s="660" t="s">
        <v>398</v>
      </c>
      <c r="BA34" s="735" t="s">
        <v>411</v>
      </c>
      <c r="BB34" s="662" t="s">
        <v>398</v>
      </c>
      <c r="BC34" s="716"/>
      <c r="BD34" s="809" t="s">
        <v>410</v>
      </c>
      <c r="BE34" s="731"/>
      <c r="BF34" s="813"/>
      <c r="BG34" s="814"/>
      <c r="BH34" s="813"/>
      <c r="BI34" s="815"/>
      <c r="BJ34" s="733" t="s">
        <v>411</v>
      </c>
      <c r="BK34" s="660" t="s">
        <v>398</v>
      </c>
      <c r="BL34" s="734" t="s">
        <v>411</v>
      </c>
      <c r="BM34" s="660" t="s">
        <v>398</v>
      </c>
      <c r="BN34" s="735" t="s">
        <v>411</v>
      </c>
      <c r="BO34" s="660" t="s">
        <v>398</v>
      </c>
      <c r="BP34" s="735" t="s">
        <v>411</v>
      </c>
      <c r="BQ34" s="660" t="s">
        <v>398</v>
      </c>
      <c r="BR34" s="735" t="s">
        <v>411</v>
      </c>
      <c r="BS34" s="660" t="s">
        <v>398</v>
      </c>
      <c r="BT34" s="735" t="s">
        <v>411</v>
      </c>
      <c r="BU34" s="660" t="s">
        <v>398</v>
      </c>
      <c r="BV34" s="735" t="s">
        <v>411</v>
      </c>
      <c r="BW34" s="660" t="s">
        <v>398</v>
      </c>
      <c r="BX34" s="735" t="s">
        <v>411</v>
      </c>
      <c r="BY34" s="660" t="s">
        <v>398</v>
      </c>
      <c r="BZ34" s="735" t="s">
        <v>411</v>
      </c>
      <c r="CA34" s="660" t="s">
        <v>398</v>
      </c>
      <c r="CB34" s="735" t="s">
        <v>411</v>
      </c>
      <c r="CC34" s="660" t="s">
        <v>398</v>
      </c>
      <c r="CD34" s="735" t="s">
        <v>411</v>
      </c>
      <c r="CE34" s="660" t="s">
        <v>398</v>
      </c>
      <c r="CF34" s="735" t="s">
        <v>411</v>
      </c>
      <c r="CG34" s="660" t="s">
        <v>398</v>
      </c>
      <c r="CH34" s="735" t="s">
        <v>411</v>
      </c>
      <c r="CI34" s="660" t="s">
        <v>398</v>
      </c>
      <c r="CJ34" s="735" t="s">
        <v>411</v>
      </c>
      <c r="CK34" s="660" t="s">
        <v>398</v>
      </c>
      <c r="CL34" s="735" t="s">
        <v>411</v>
      </c>
      <c r="CM34" s="660" t="s">
        <v>398</v>
      </c>
      <c r="CN34" s="735" t="s">
        <v>411</v>
      </c>
      <c r="CO34" s="660" t="s">
        <v>398</v>
      </c>
      <c r="CP34" s="735" t="s">
        <v>411</v>
      </c>
      <c r="CQ34" s="660" t="s">
        <v>398</v>
      </c>
      <c r="CR34" s="735" t="s">
        <v>411</v>
      </c>
      <c r="CS34" s="660" t="s">
        <v>398</v>
      </c>
      <c r="CT34" s="735" t="s">
        <v>411</v>
      </c>
      <c r="CU34" s="660" t="s">
        <v>398</v>
      </c>
      <c r="CV34" s="735" t="s">
        <v>411</v>
      </c>
      <c r="CW34" s="660" t="s">
        <v>398</v>
      </c>
      <c r="CX34" s="735" t="s">
        <v>411</v>
      </c>
      <c r="CY34" s="660" t="s">
        <v>398</v>
      </c>
      <c r="CZ34" s="735" t="s">
        <v>411</v>
      </c>
      <c r="DA34" s="660" t="s">
        <v>398</v>
      </c>
      <c r="DB34" s="735" t="s">
        <v>411</v>
      </c>
      <c r="DC34" s="660" t="s">
        <v>398</v>
      </c>
      <c r="DD34" s="735" t="s">
        <v>411</v>
      </c>
      <c r="DE34" s="662" t="s">
        <v>398</v>
      </c>
      <c r="DF34" s="716"/>
      <c r="DG34" s="809" t="s">
        <v>410</v>
      </c>
      <c r="DH34" s="731"/>
      <c r="DI34" s="813"/>
      <c r="DJ34" s="814"/>
      <c r="DK34" s="813"/>
      <c r="DL34" s="815"/>
      <c r="DM34" s="733" t="s">
        <v>411</v>
      </c>
      <c r="DN34" s="660" t="s">
        <v>398</v>
      </c>
      <c r="DO34" s="734" t="s">
        <v>411</v>
      </c>
      <c r="DP34" s="660" t="s">
        <v>398</v>
      </c>
      <c r="DQ34" s="735" t="s">
        <v>411</v>
      </c>
      <c r="DR34" s="660" t="s">
        <v>398</v>
      </c>
      <c r="DS34" s="735" t="s">
        <v>411</v>
      </c>
      <c r="DT34" s="660" t="s">
        <v>398</v>
      </c>
      <c r="DU34" s="735" t="s">
        <v>411</v>
      </c>
      <c r="DV34" s="660" t="s">
        <v>398</v>
      </c>
      <c r="DW34" s="735" t="s">
        <v>411</v>
      </c>
      <c r="DX34" s="660" t="s">
        <v>398</v>
      </c>
      <c r="DY34" s="735" t="s">
        <v>411</v>
      </c>
      <c r="DZ34" s="660" t="s">
        <v>398</v>
      </c>
      <c r="EA34" s="735" t="s">
        <v>411</v>
      </c>
      <c r="EB34" s="660" t="s">
        <v>398</v>
      </c>
      <c r="EC34" s="735" t="s">
        <v>411</v>
      </c>
      <c r="ED34" s="660" t="s">
        <v>398</v>
      </c>
      <c r="EE34" s="735" t="s">
        <v>411</v>
      </c>
      <c r="EF34" s="660" t="s">
        <v>398</v>
      </c>
      <c r="EG34" s="735" t="s">
        <v>411</v>
      </c>
      <c r="EH34" s="660" t="s">
        <v>398</v>
      </c>
      <c r="EI34" s="735" t="s">
        <v>411</v>
      </c>
      <c r="EJ34" s="660" t="s">
        <v>398</v>
      </c>
      <c r="EK34" s="735" t="s">
        <v>411</v>
      </c>
      <c r="EL34" s="660" t="s">
        <v>398</v>
      </c>
      <c r="EM34" s="735" t="s">
        <v>411</v>
      </c>
      <c r="EN34" s="660" t="s">
        <v>398</v>
      </c>
      <c r="EO34" s="735" t="s">
        <v>411</v>
      </c>
      <c r="EP34" s="660" t="s">
        <v>398</v>
      </c>
      <c r="EQ34" s="735" t="s">
        <v>411</v>
      </c>
      <c r="ER34" s="660" t="s">
        <v>398</v>
      </c>
      <c r="ES34" s="735" t="s">
        <v>411</v>
      </c>
      <c r="ET34" s="660" t="s">
        <v>398</v>
      </c>
      <c r="EU34" s="735" t="s">
        <v>411</v>
      </c>
      <c r="EV34" s="660" t="s">
        <v>398</v>
      </c>
      <c r="EW34" s="735" t="s">
        <v>411</v>
      </c>
      <c r="EX34" s="660" t="s">
        <v>398</v>
      </c>
      <c r="EY34" s="735" t="s">
        <v>411</v>
      </c>
      <c r="EZ34" s="660" t="s">
        <v>398</v>
      </c>
      <c r="FA34" s="735" t="s">
        <v>411</v>
      </c>
      <c r="FB34" s="660" t="s">
        <v>398</v>
      </c>
      <c r="FC34" s="735" t="s">
        <v>411</v>
      </c>
      <c r="FD34" s="660" t="s">
        <v>398</v>
      </c>
      <c r="FE34" s="735" t="s">
        <v>411</v>
      </c>
      <c r="FF34" s="660" t="s">
        <v>398</v>
      </c>
      <c r="FG34" s="735" t="s">
        <v>411</v>
      </c>
      <c r="FH34" s="662" t="s">
        <v>398</v>
      </c>
      <c r="FI34" s="739"/>
      <c r="FJ34" s="816" t="s">
        <v>410</v>
      </c>
      <c r="FK34" s="731"/>
      <c r="FL34" s="813"/>
      <c r="FM34" s="814"/>
      <c r="FN34" s="813"/>
      <c r="FO34" s="815"/>
      <c r="FP34" s="740" t="s">
        <v>401</v>
      </c>
      <c r="FQ34" s="666" t="s">
        <v>411</v>
      </c>
      <c r="FR34" s="660" t="s">
        <v>402</v>
      </c>
      <c r="FS34" s="741" t="s">
        <v>401</v>
      </c>
      <c r="FT34" s="666" t="s">
        <v>411</v>
      </c>
      <c r="FU34" s="668" t="s">
        <v>402</v>
      </c>
      <c r="FV34" s="590"/>
      <c r="FW34" s="591"/>
      <c r="FX34" s="799"/>
      <c r="FY34" s="593"/>
      <c r="FZ34" s="800"/>
      <c r="GA34" s="595"/>
      <c r="GB34" s="801"/>
      <c r="GC34" s="597"/>
      <c r="GD34" s="801"/>
      <c r="GE34" s="598"/>
      <c r="GF34" s="742"/>
      <c r="GG34" s="743"/>
      <c r="GH34" s="743"/>
      <c r="GI34" s="743"/>
      <c r="GJ34" s="576"/>
      <c r="GK34" s="817" t="s">
        <v>550</v>
      </c>
      <c r="GL34" s="817"/>
      <c r="GM34" s="817"/>
      <c r="GN34" s="817"/>
      <c r="GO34" s="817"/>
      <c r="GP34" s="817"/>
      <c r="GQ34" s="612">
        <v>7</v>
      </c>
      <c r="GR34" s="576" t="s">
        <v>470</v>
      </c>
      <c r="GS34" s="577"/>
      <c r="GT34" s="756"/>
      <c r="GU34" s="818"/>
      <c r="GV34" s="819"/>
      <c r="GW34" s="820"/>
      <c r="GX34" s="630"/>
      <c r="GY34" s="630"/>
      <c r="GZ34" s="630"/>
      <c r="HA34" s="630"/>
      <c r="HB34" s="631"/>
      <c r="HC34" s="527"/>
      <c r="HD34" s="716"/>
      <c r="HE34" s="416"/>
      <c r="HF34" s="416"/>
    </row>
    <row r="35" spans="1:219" ht="20.100000000000001" customHeight="1">
      <c r="A35" s="821"/>
      <c r="B35" s="463" t="s">
        <v>412</v>
      </c>
      <c r="C35" s="464"/>
      <c r="D35" s="822">
        <v>0</v>
      </c>
      <c r="E35" s="823">
        <v>0</v>
      </c>
      <c r="F35" s="824"/>
      <c r="G35" s="825"/>
      <c r="H35" s="826">
        <v>0</v>
      </c>
      <c r="I35" s="827"/>
      <c r="J35" s="792">
        <v>0</v>
      </c>
      <c r="K35" s="828"/>
      <c r="L35" s="792">
        <v>0</v>
      </c>
      <c r="M35" s="828"/>
      <c r="N35" s="792">
        <v>0</v>
      </c>
      <c r="O35" s="828"/>
      <c r="P35" s="792">
        <v>0</v>
      </c>
      <c r="Q35" s="828"/>
      <c r="R35" s="792">
        <v>0</v>
      </c>
      <c r="S35" s="828"/>
      <c r="T35" s="792">
        <v>0</v>
      </c>
      <c r="U35" s="828"/>
      <c r="V35" s="792">
        <v>0</v>
      </c>
      <c r="W35" s="828"/>
      <c r="X35" s="792">
        <v>0</v>
      </c>
      <c r="Y35" s="828"/>
      <c r="Z35" s="792">
        <v>0</v>
      </c>
      <c r="AA35" s="828"/>
      <c r="AB35" s="792">
        <v>0</v>
      </c>
      <c r="AC35" s="828"/>
      <c r="AD35" s="792">
        <v>0</v>
      </c>
      <c r="AE35" s="828"/>
      <c r="AF35" s="792">
        <v>0</v>
      </c>
      <c r="AG35" s="828"/>
      <c r="AH35" s="792">
        <v>0</v>
      </c>
      <c r="AI35" s="828"/>
      <c r="AJ35" s="792">
        <v>0</v>
      </c>
      <c r="AK35" s="828"/>
      <c r="AL35" s="792">
        <v>0</v>
      </c>
      <c r="AM35" s="828"/>
      <c r="AN35" s="792">
        <v>0</v>
      </c>
      <c r="AO35" s="828"/>
      <c r="AP35" s="792">
        <v>0</v>
      </c>
      <c r="AQ35" s="828"/>
      <c r="AR35" s="792">
        <v>0</v>
      </c>
      <c r="AS35" s="828"/>
      <c r="AT35" s="792">
        <v>0</v>
      </c>
      <c r="AU35" s="828"/>
      <c r="AV35" s="792">
        <v>0</v>
      </c>
      <c r="AW35" s="828"/>
      <c r="AX35" s="792">
        <v>0</v>
      </c>
      <c r="AY35" s="828"/>
      <c r="AZ35" s="792">
        <v>0</v>
      </c>
      <c r="BA35" s="828"/>
      <c r="BB35" s="829">
        <v>0</v>
      </c>
      <c r="BC35" s="559"/>
      <c r="BD35" s="821"/>
      <c r="BE35" s="463" t="s">
        <v>326</v>
      </c>
      <c r="BF35" s="464"/>
      <c r="BG35" s="822">
        <v>0</v>
      </c>
      <c r="BH35" s="823">
        <v>0</v>
      </c>
      <c r="BI35" s="824"/>
      <c r="BJ35" s="825"/>
      <c r="BK35" s="826">
        <v>0</v>
      </c>
      <c r="BL35" s="827"/>
      <c r="BM35" s="792">
        <v>0</v>
      </c>
      <c r="BN35" s="828"/>
      <c r="BO35" s="792">
        <v>0</v>
      </c>
      <c r="BP35" s="828"/>
      <c r="BQ35" s="792">
        <v>0</v>
      </c>
      <c r="BR35" s="828"/>
      <c r="BS35" s="792">
        <v>0</v>
      </c>
      <c r="BT35" s="828"/>
      <c r="BU35" s="792">
        <v>0</v>
      </c>
      <c r="BV35" s="828"/>
      <c r="BW35" s="792">
        <v>0</v>
      </c>
      <c r="BX35" s="828"/>
      <c r="BY35" s="792">
        <v>0</v>
      </c>
      <c r="BZ35" s="828"/>
      <c r="CA35" s="792">
        <v>0</v>
      </c>
      <c r="CB35" s="828"/>
      <c r="CC35" s="792">
        <v>0</v>
      </c>
      <c r="CD35" s="828"/>
      <c r="CE35" s="792">
        <v>0</v>
      </c>
      <c r="CF35" s="828"/>
      <c r="CG35" s="792">
        <v>0</v>
      </c>
      <c r="CH35" s="828"/>
      <c r="CI35" s="792">
        <v>0</v>
      </c>
      <c r="CJ35" s="828"/>
      <c r="CK35" s="792">
        <v>0</v>
      </c>
      <c r="CL35" s="828"/>
      <c r="CM35" s="792">
        <v>0</v>
      </c>
      <c r="CN35" s="828"/>
      <c r="CO35" s="792">
        <v>0</v>
      </c>
      <c r="CP35" s="828"/>
      <c r="CQ35" s="792">
        <v>0</v>
      </c>
      <c r="CR35" s="828"/>
      <c r="CS35" s="792">
        <v>0</v>
      </c>
      <c r="CT35" s="828"/>
      <c r="CU35" s="792">
        <v>0</v>
      </c>
      <c r="CV35" s="828"/>
      <c r="CW35" s="792">
        <v>0</v>
      </c>
      <c r="CX35" s="828"/>
      <c r="CY35" s="792">
        <v>0</v>
      </c>
      <c r="CZ35" s="828"/>
      <c r="DA35" s="792">
        <v>0</v>
      </c>
      <c r="DB35" s="828"/>
      <c r="DC35" s="792">
        <v>0</v>
      </c>
      <c r="DD35" s="828"/>
      <c r="DE35" s="829">
        <v>0</v>
      </c>
      <c r="DF35" s="559"/>
      <c r="DG35" s="821"/>
      <c r="DH35" s="463" t="s">
        <v>326</v>
      </c>
      <c r="DI35" s="464"/>
      <c r="DJ35" s="822">
        <v>0</v>
      </c>
      <c r="DK35" s="823">
        <v>0</v>
      </c>
      <c r="DL35" s="824"/>
      <c r="DM35" s="825"/>
      <c r="DN35" s="826">
        <v>0</v>
      </c>
      <c r="DO35" s="827"/>
      <c r="DP35" s="792">
        <v>0</v>
      </c>
      <c r="DQ35" s="828"/>
      <c r="DR35" s="792">
        <v>0</v>
      </c>
      <c r="DS35" s="828"/>
      <c r="DT35" s="792">
        <v>0</v>
      </c>
      <c r="DU35" s="828"/>
      <c r="DV35" s="792">
        <v>0</v>
      </c>
      <c r="DW35" s="828"/>
      <c r="DX35" s="792">
        <v>0</v>
      </c>
      <c r="DY35" s="828"/>
      <c r="DZ35" s="792">
        <v>0</v>
      </c>
      <c r="EA35" s="828"/>
      <c r="EB35" s="792">
        <v>0</v>
      </c>
      <c r="EC35" s="828"/>
      <c r="ED35" s="792">
        <v>0</v>
      </c>
      <c r="EE35" s="828"/>
      <c r="EF35" s="792">
        <v>0</v>
      </c>
      <c r="EG35" s="828"/>
      <c r="EH35" s="792">
        <v>0</v>
      </c>
      <c r="EI35" s="828"/>
      <c r="EJ35" s="792">
        <v>0</v>
      </c>
      <c r="EK35" s="828"/>
      <c r="EL35" s="792">
        <v>0</v>
      </c>
      <c r="EM35" s="828"/>
      <c r="EN35" s="792">
        <v>0</v>
      </c>
      <c r="EO35" s="828"/>
      <c r="EP35" s="792">
        <v>0</v>
      </c>
      <c r="EQ35" s="828"/>
      <c r="ER35" s="792">
        <v>0</v>
      </c>
      <c r="ES35" s="828"/>
      <c r="ET35" s="792">
        <v>0</v>
      </c>
      <c r="EU35" s="828"/>
      <c r="EV35" s="792">
        <v>0</v>
      </c>
      <c r="EW35" s="828"/>
      <c r="EX35" s="792">
        <v>0</v>
      </c>
      <c r="EY35" s="828"/>
      <c r="EZ35" s="792">
        <v>0</v>
      </c>
      <c r="FA35" s="828"/>
      <c r="FB35" s="792">
        <v>0</v>
      </c>
      <c r="FC35" s="828"/>
      <c r="FD35" s="792">
        <v>0</v>
      </c>
      <c r="FE35" s="828"/>
      <c r="FF35" s="792">
        <v>0</v>
      </c>
      <c r="FG35" s="828"/>
      <c r="FH35" s="829">
        <v>0</v>
      </c>
      <c r="FI35" s="560"/>
      <c r="FJ35" s="830"/>
      <c r="FK35" s="463" t="s">
        <v>326</v>
      </c>
      <c r="FL35" s="464"/>
      <c r="FM35" s="822">
        <v>0</v>
      </c>
      <c r="FN35" s="823">
        <v>0</v>
      </c>
      <c r="FO35" s="824"/>
      <c r="FP35" s="831"/>
      <c r="FQ35" s="827"/>
      <c r="FR35" s="826">
        <v>0</v>
      </c>
      <c r="FS35" s="832"/>
      <c r="FT35" s="827"/>
      <c r="FU35" s="798">
        <v>0</v>
      </c>
      <c r="FV35" s="590"/>
      <c r="FW35" s="591"/>
      <c r="FX35" s="799"/>
      <c r="FY35" s="593"/>
      <c r="FZ35" s="800"/>
      <c r="GA35" s="595"/>
      <c r="GB35" s="801"/>
      <c r="GC35" s="597"/>
      <c r="GD35" s="801"/>
      <c r="GE35" s="598"/>
      <c r="GF35" s="833"/>
      <c r="GG35" s="599"/>
      <c r="GH35" s="599"/>
      <c r="GI35" s="599"/>
      <c r="GJ35" s="527"/>
      <c r="GK35" s="527" t="s">
        <v>490</v>
      </c>
      <c r="GL35" s="527"/>
      <c r="GM35" s="576"/>
      <c r="GN35" s="527"/>
      <c r="GO35" s="576"/>
      <c r="GP35" s="576"/>
      <c r="GQ35" s="576"/>
      <c r="GR35" s="576"/>
      <c r="GS35" s="410"/>
      <c r="GT35" s="756"/>
      <c r="GU35" s="818"/>
      <c r="GV35" s="819"/>
      <c r="GW35" s="820"/>
      <c r="GX35" s="630"/>
      <c r="GY35" s="630"/>
      <c r="GZ35" s="630"/>
      <c r="HA35" s="630"/>
      <c r="HB35" s="631"/>
      <c r="HC35" s="527"/>
      <c r="HD35" s="559"/>
      <c r="HE35" s="416"/>
      <c r="HF35" s="416"/>
    </row>
    <row r="36" spans="1:219" ht="20.100000000000001" customHeight="1">
      <c r="A36" s="821"/>
      <c r="B36" s="639"/>
      <c r="C36" s="639"/>
      <c r="D36" s="640" t="s">
        <v>413</v>
      </c>
      <c r="E36" s="639"/>
      <c r="F36" s="639"/>
      <c r="G36" s="834"/>
      <c r="H36" s="835">
        <v>0</v>
      </c>
      <c r="I36" s="836"/>
      <c r="J36" s="837">
        <v>0</v>
      </c>
      <c r="K36" s="838"/>
      <c r="L36" s="837">
        <v>0</v>
      </c>
      <c r="M36" s="838"/>
      <c r="N36" s="837">
        <v>0</v>
      </c>
      <c r="O36" s="838"/>
      <c r="P36" s="837">
        <v>0</v>
      </c>
      <c r="Q36" s="838"/>
      <c r="R36" s="837">
        <v>0</v>
      </c>
      <c r="S36" s="838"/>
      <c r="T36" s="837">
        <v>0</v>
      </c>
      <c r="U36" s="838"/>
      <c r="V36" s="837">
        <v>0</v>
      </c>
      <c r="W36" s="838"/>
      <c r="X36" s="837">
        <v>0</v>
      </c>
      <c r="Y36" s="838"/>
      <c r="Z36" s="837">
        <v>0</v>
      </c>
      <c r="AA36" s="838"/>
      <c r="AB36" s="837">
        <v>0</v>
      </c>
      <c r="AC36" s="838"/>
      <c r="AD36" s="837">
        <v>0</v>
      </c>
      <c r="AE36" s="838"/>
      <c r="AF36" s="837">
        <v>0</v>
      </c>
      <c r="AG36" s="838"/>
      <c r="AH36" s="837">
        <v>0</v>
      </c>
      <c r="AI36" s="838"/>
      <c r="AJ36" s="837">
        <v>0</v>
      </c>
      <c r="AK36" s="838"/>
      <c r="AL36" s="837">
        <v>0</v>
      </c>
      <c r="AM36" s="838"/>
      <c r="AN36" s="837">
        <v>0</v>
      </c>
      <c r="AO36" s="838"/>
      <c r="AP36" s="837">
        <v>0</v>
      </c>
      <c r="AQ36" s="838"/>
      <c r="AR36" s="837">
        <v>0</v>
      </c>
      <c r="AS36" s="838"/>
      <c r="AT36" s="837">
        <v>0</v>
      </c>
      <c r="AU36" s="838"/>
      <c r="AV36" s="837">
        <v>0</v>
      </c>
      <c r="AW36" s="838"/>
      <c r="AX36" s="837">
        <v>0</v>
      </c>
      <c r="AY36" s="838"/>
      <c r="AZ36" s="837">
        <v>0</v>
      </c>
      <c r="BA36" s="838"/>
      <c r="BB36" s="839">
        <v>0</v>
      </c>
      <c r="BC36" s="645"/>
      <c r="BD36" s="821"/>
      <c r="BE36" s="639"/>
      <c r="BF36" s="639"/>
      <c r="BG36" s="640" t="s">
        <v>413</v>
      </c>
      <c r="BH36" s="639"/>
      <c r="BI36" s="639"/>
      <c r="BJ36" s="834"/>
      <c r="BK36" s="835">
        <v>0</v>
      </c>
      <c r="BL36" s="836"/>
      <c r="BM36" s="837">
        <v>0</v>
      </c>
      <c r="BN36" s="838"/>
      <c r="BO36" s="837">
        <v>0</v>
      </c>
      <c r="BP36" s="838"/>
      <c r="BQ36" s="837">
        <v>0</v>
      </c>
      <c r="BR36" s="838"/>
      <c r="BS36" s="837">
        <v>0</v>
      </c>
      <c r="BT36" s="838"/>
      <c r="BU36" s="837">
        <v>0</v>
      </c>
      <c r="BV36" s="838"/>
      <c r="BW36" s="837">
        <v>0</v>
      </c>
      <c r="BX36" s="838"/>
      <c r="BY36" s="837">
        <v>0</v>
      </c>
      <c r="BZ36" s="838"/>
      <c r="CA36" s="837">
        <v>0</v>
      </c>
      <c r="CB36" s="838"/>
      <c r="CC36" s="837">
        <v>0</v>
      </c>
      <c r="CD36" s="838"/>
      <c r="CE36" s="837">
        <v>0</v>
      </c>
      <c r="CF36" s="838"/>
      <c r="CG36" s="837">
        <v>0</v>
      </c>
      <c r="CH36" s="838"/>
      <c r="CI36" s="837">
        <v>0</v>
      </c>
      <c r="CJ36" s="838"/>
      <c r="CK36" s="837">
        <v>0</v>
      </c>
      <c r="CL36" s="838"/>
      <c r="CM36" s="837">
        <v>0</v>
      </c>
      <c r="CN36" s="838"/>
      <c r="CO36" s="837">
        <v>0</v>
      </c>
      <c r="CP36" s="838"/>
      <c r="CQ36" s="837">
        <v>0</v>
      </c>
      <c r="CR36" s="838"/>
      <c r="CS36" s="837">
        <v>0</v>
      </c>
      <c r="CT36" s="838"/>
      <c r="CU36" s="837">
        <v>0</v>
      </c>
      <c r="CV36" s="838"/>
      <c r="CW36" s="837">
        <v>0</v>
      </c>
      <c r="CX36" s="838"/>
      <c r="CY36" s="837">
        <v>0</v>
      </c>
      <c r="CZ36" s="838"/>
      <c r="DA36" s="837">
        <v>0</v>
      </c>
      <c r="DB36" s="838"/>
      <c r="DC36" s="837">
        <v>0</v>
      </c>
      <c r="DD36" s="838"/>
      <c r="DE36" s="839">
        <v>0</v>
      </c>
      <c r="DF36" s="645"/>
      <c r="DG36" s="821"/>
      <c r="DH36" s="639"/>
      <c r="DI36" s="639"/>
      <c r="DJ36" s="640" t="s">
        <v>413</v>
      </c>
      <c r="DK36" s="639"/>
      <c r="DL36" s="639"/>
      <c r="DM36" s="834"/>
      <c r="DN36" s="835">
        <v>0</v>
      </c>
      <c r="DO36" s="836"/>
      <c r="DP36" s="837">
        <v>0</v>
      </c>
      <c r="DQ36" s="838"/>
      <c r="DR36" s="837">
        <v>0</v>
      </c>
      <c r="DS36" s="838"/>
      <c r="DT36" s="837">
        <v>0</v>
      </c>
      <c r="DU36" s="838"/>
      <c r="DV36" s="837">
        <v>0</v>
      </c>
      <c r="DW36" s="838"/>
      <c r="DX36" s="837">
        <v>0</v>
      </c>
      <c r="DY36" s="838"/>
      <c r="DZ36" s="837">
        <v>0</v>
      </c>
      <c r="EA36" s="838"/>
      <c r="EB36" s="837">
        <v>0</v>
      </c>
      <c r="EC36" s="838"/>
      <c r="ED36" s="837">
        <v>0</v>
      </c>
      <c r="EE36" s="838"/>
      <c r="EF36" s="837">
        <v>0</v>
      </c>
      <c r="EG36" s="838"/>
      <c r="EH36" s="837">
        <v>0</v>
      </c>
      <c r="EI36" s="838"/>
      <c r="EJ36" s="837">
        <v>0</v>
      </c>
      <c r="EK36" s="838"/>
      <c r="EL36" s="837">
        <v>0</v>
      </c>
      <c r="EM36" s="838"/>
      <c r="EN36" s="837">
        <v>0</v>
      </c>
      <c r="EO36" s="838"/>
      <c r="EP36" s="837">
        <v>0</v>
      </c>
      <c r="EQ36" s="838"/>
      <c r="ER36" s="837">
        <v>0</v>
      </c>
      <c r="ES36" s="838"/>
      <c r="ET36" s="837">
        <v>0</v>
      </c>
      <c r="EU36" s="838"/>
      <c r="EV36" s="837">
        <v>0</v>
      </c>
      <c r="EW36" s="838"/>
      <c r="EX36" s="837">
        <v>0</v>
      </c>
      <c r="EY36" s="838"/>
      <c r="EZ36" s="837">
        <v>0</v>
      </c>
      <c r="FA36" s="838"/>
      <c r="FB36" s="837">
        <v>0</v>
      </c>
      <c r="FC36" s="838"/>
      <c r="FD36" s="837">
        <v>0</v>
      </c>
      <c r="FE36" s="838"/>
      <c r="FF36" s="837">
        <v>0</v>
      </c>
      <c r="FG36" s="838"/>
      <c r="FH36" s="839">
        <v>0</v>
      </c>
      <c r="FI36" s="646"/>
      <c r="FJ36" s="830"/>
      <c r="FK36" s="639"/>
      <c r="FL36" s="639"/>
      <c r="FM36" s="640" t="s">
        <v>413</v>
      </c>
      <c r="FN36" s="639"/>
      <c r="FO36" s="639"/>
      <c r="FP36" s="647"/>
      <c r="FQ36" s="836"/>
      <c r="FR36" s="835">
        <v>0</v>
      </c>
      <c r="FS36" s="840"/>
      <c r="FT36" s="836"/>
      <c r="FU36" s="841">
        <v>0</v>
      </c>
      <c r="FV36" s="590"/>
      <c r="FW36" s="591"/>
      <c r="FX36" s="799"/>
      <c r="FY36" s="593"/>
      <c r="FZ36" s="800"/>
      <c r="GA36" s="595"/>
      <c r="GB36" s="801"/>
      <c r="GC36" s="597"/>
      <c r="GD36" s="801"/>
      <c r="GE36" s="598"/>
      <c r="GF36" s="651"/>
      <c r="GG36" s="652"/>
      <c r="GH36" s="652"/>
      <c r="GI36" s="652"/>
      <c r="GJ36" s="527"/>
      <c r="GK36" s="817" t="s">
        <v>551</v>
      </c>
      <c r="GL36" s="817"/>
      <c r="GM36" s="817"/>
      <c r="GN36" s="817"/>
      <c r="GO36" s="817"/>
      <c r="GP36" s="817"/>
      <c r="GQ36" s="612">
        <v>10</v>
      </c>
      <c r="GR36" s="576" t="s">
        <v>470</v>
      </c>
      <c r="GS36" s="527"/>
      <c r="GT36" s="756"/>
      <c r="GU36" s="818"/>
      <c r="GV36" s="819"/>
      <c r="GW36" s="820"/>
      <c r="GX36" s="630"/>
      <c r="GY36" s="630"/>
      <c r="GZ36" s="630"/>
      <c r="HA36" s="630"/>
      <c r="HB36" s="631"/>
      <c r="HC36" s="527"/>
      <c r="HD36" s="645"/>
      <c r="HE36" s="416"/>
      <c r="HF36" s="416"/>
    </row>
    <row r="37" spans="1:219" ht="24" customHeight="1">
      <c r="A37" s="842" t="s">
        <v>414</v>
      </c>
      <c r="B37" s="843"/>
      <c r="C37" s="844" t="s">
        <v>415</v>
      </c>
      <c r="D37" s="845"/>
      <c r="E37" s="846" t="s">
        <v>416</v>
      </c>
      <c r="F37" s="847"/>
      <c r="G37" s="659" t="s">
        <v>411</v>
      </c>
      <c r="H37" s="660" t="s">
        <v>417</v>
      </c>
      <c r="I37" s="661" t="s">
        <v>411</v>
      </c>
      <c r="J37" s="660" t="s">
        <v>418</v>
      </c>
      <c r="K37" s="661" t="s">
        <v>411</v>
      </c>
      <c r="L37" s="660" t="s">
        <v>418</v>
      </c>
      <c r="M37" s="661" t="s">
        <v>411</v>
      </c>
      <c r="N37" s="660" t="s">
        <v>418</v>
      </c>
      <c r="O37" s="661" t="s">
        <v>411</v>
      </c>
      <c r="P37" s="660" t="s">
        <v>418</v>
      </c>
      <c r="Q37" s="661" t="s">
        <v>411</v>
      </c>
      <c r="R37" s="660" t="s">
        <v>418</v>
      </c>
      <c r="S37" s="661" t="s">
        <v>411</v>
      </c>
      <c r="T37" s="660" t="s">
        <v>418</v>
      </c>
      <c r="U37" s="661" t="s">
        <v>411</v>
      </c>
      <c r="V37" s="660" t="s">
        <v>418</v>
      </c>
      <c r="W37" s="661" t="s">
        <v>411</v>
      </c>
      <c r="X37" s="660" t="s">
        <v>418</v>
      </c>
      <c r="Y37" s="661" t="s">
        <v>411</v>
      </c>
      <c r="Z37" s="660" t="s">
        <v>418</v>
      </c>
      <c r="AA37" s="661" t="s">
        <v>411</v>
      </c>
      <c r="AB37" s="660" t="s">
        <v>418</v>
      </c>
      <c r="AC37" s="661" t="s">
        <v>411</v>
      </c>
      <c r="AD37" s="660" t="s">
        <v>418</v>
      </c>
      <c r="AE37" s="661" t="s">
        <v>411</v>
      </c>
      <c r="AF37" s="660" t="s">
        <v>418</v>
      </c>
      <c r="AG37" s="661" t="s">
        <v>411</v>
      </c>
      <c r="AH37" s="660" t="s">
        <v>418</v>
      </c>
      <c r="AI37" s="661" t="s">
        <v>411</v>
      </c>
      <c r="AJ37" s="660" t="s">
        <v>418</v>
      </c>
      <c r="AK37" s="661" t="s">
        <v>411</v>
      </c>
      <c r="AL37" s="660" t="s">
        <v>418</v>
      </c>
      <c r="AM37" s="661" t="s">
        <v>411</v>
      </c>
      <c r="AN37" s="660" t="s">
        <v>418</v>
      </c>
      <c r="AO37" s="661" t="s">
        <v>411</v>
      </c>
      <c r="AP37" s="660" t="s">
        <v>418</v>
      </c>
      <c r="AQ37" s="661" t="s">
        <v>411</v>
      </c>
      <c r="AR37" s="660" t="s">
        <v>418</v>
      </c>
      <c r="AS37" s="661" t="s">
        <v>411</v>
      </c>
      <c r="AT37" s="660" t="s">
        <v>418</v>
      </c>
      <c r="AU37" s="661" t="s">
        <v>411</v>
      </c>
      <c r="AV37" s="660" t="s">
        <v>418</v>
      </c>
      <c r="AW37" s="661" t="s">
        <v>411</v>
      </c>
      <c r="AX37" s="660" t="s">
        <v>418</v>
      </c>
      <c r="AY37" s="661" t="s">
        <v>411</v>
      </c>
      <c r="AZ37" s="660" t="s">
        <v>418</v>
      </c>
      <c r="BA37" s="661" t="s">
        <v>411</v>
      </c>
      <c r="BB37" s="662" t="s">
        <v>418</v>
      </c>
      <c r="BC37" s="716"/>
      <c r="BD37" s="842" t="s">
        <v>414</v>
      </c>
      <c r="BE37" s="843"/>
      <c r="BF37" s="844" t="s">
        <v>415</v>
      </c>
      <c r="BG37" s="845"/>
      <c r="BH37" s="846" t="s">
        <v>416</v>
      </c>
      <c r="BI37" s="847"/>
      <c r="BJ37" s="659" t="s">
        <v>411</v>
      </c>
      <c r="BK37" s="660" t="s">
        <v>417</v>
      </c>
      <c r="BL37" s="661" t="s">
        <v>411</v>
      </c>
      <c r="BM37" s="660" t="s">
        <v>418</v>
      </c>
      <c r="BN37" s="661" t="s">
        <v>411</v>
      </c>
      <c r="BO37" s="660" t="s">
        <v>418</v>
      </c>
      <c r="BP37" s="661" t="s">
        <v>411</v>
      </c>
      <c r="BQ37" s="660" t="s">
        <v>418</v>
      </c>
      <c r="BR37" s="661" t="s">
        <v>411</v>
      </c>
      <c r="BS37" s="660" t="s">
        <v>418</v>
      </c>
      <c r="BT37" s="661" t="s">
        <v>411</v>
      </c>
      <c r="BU37" s="660" t="s">
        <v>418</v>
      </c>
      <c r="BV37" s="661" t="s">
        <v>411</v>
      </c>
      <c r="BW37" s="660" t="s">
        <v>418</v>
      </c>
      <c r="BX37" s="661" t="s">
        <v>411</v>
      </c>
      <c r="BY37" s="660" t="s">
        <v>418</v>
      </c>
      <c r="BZ37" s="661" t="s">
        <v>411</v>
      </c>
      <c r="CA37" s="660" t="s">
        <v>418</v>
      </c>
      <c r="CB37" s="661" t="s">
        <v>411</v>
      </c>
      <c r="CC37" s="660" t="s">
        <v>418</v>
      </c>
      <c r="CD37" s="661" t="s">
        <v>411</v>
      </c>
      <c r="CE37" s="660" t="s">
        <v>418</v>
      </c>
      <c r="CF37" s="661" t="s">
        <v>411</v>
      </c>
      <c r="CG37" s="660" t="s">
        <v>418</v>
      </c>
      <c r="CH37" s="661" t="s">
        <v>411</v>
      </c>
      <c r="CI37" s="660" t="s">
        <v>418</v>
      </c>
      <c r="CJ37" s="661" t="s">
        <v>411</v>
      </c>
      <c r="CK37" s="660" t="s">
        <v>418</v>
      </c>
      <c r="CL37" s="661" t="s">
        <v>411</v>
      </c>
      <c r="CM37" s="660" t="s">
        <v>418</v>
      </c>
      <c r="CN37" s="661" t="s">
        <v>411</v>
      </c>
      <c r="CO37" s="660" t="s">
        <v>418</v>
      </c>
      <c r="CP37" s="661" t="s">
        <v>411</v>
      </c>
      <c r="CQ37" s="660" t="s">
        <v>418</v>
      </c>
      <c r="CR37" s="661" t="s">
        <v>411</v>
      </c>
      <c r="CS37" s="660" t="s">
        <v>418</v>
      </c>
      <c r="CT37" s="661" t="s">
        <v>411</v>
      </c>
      <c r="CU37" s="660" t="s">
        <v>418</v>
      </c>
      <c r="CV37" s="661" t="s">
        <v>411</v>
      </c>
      <c r="CW37" s="660" t="s">
        <v>418</v>
      </c>
      <c r="CX37" s="661" t="s">
        <v>411</v>
      </c>
      <c r="CY37" s="660" t="s">
        <v>418</v>
      </c>
      <c r="CZ37" s="661" t="s">
        <v>411</v>
      </c>
      <c r="DA37" s="660" t="s">
        <v>418</v>
      </c>
      <c r="DB37" s="661" t="s">
        <v>411</v>
      </c>
      <c r="DC37" s="660" t="s">
        <v>418</v>
      </c>
      <c r="DD37" s="661" t="s">
        <v>411</v>
      </c>
      <c r="DE37" s="662" t="s">
        <v>418</v>
      </c>
      <c r="DF37" s="716"/>
      <c r="DG37" s="842" t="s">
        <v>414</v>
      </c>
      <c r="DH37" s="843"/>
      <c r="DI37" s="844" t="s">
        <v>415</v>
      </c>
      <c r="DJ37" s="845"/>
      <c r="DK37" s="846" t="s">
        <v>416</v>
      </c>
      <c r="DL37" s="847"/>
      <c r="DM37" s="659" t="s">
        <v>411</v>
      </c>
      <c r="DN37" s="660" t="s">
        <v>417</v>
      </c>
      <c r="DO37" s="661" t="s">
        <v>411</v>
      </c>
      <c r="DP37" s="660" t="s">
        <v>418</v>
      </c>
      <c r="DQ37" s="661" t="s">
        <v>411</v>
      </c>
      <c r="DR37" s="660" t="s">
        <v>418</v>
      </c>
      <c r="DS37" s="661" t="s">
        <v>411</v>
      </c>
      <c r="DT37" s="660" t="s">
        <v>418</v>
      </c>
      <c r="DU37" s="661" t="s">
        <v>411</v>
      </c>
      <c r="DV37" s="660" t="s">
        <v>418</v>
      </c>
      <c r="DW37" s="661" t="s">
        <v>411</v>
      </c>
      <c r="DX37" s="660" t="s">
        <v>418</v>
      </c>
      <c r="DY37" s="661" t="s">
        <v>411</v>
      </c>
      <c r="DZ37" s="660" t="s">
        <v>418</v>
      </c>
      <c r="EA37" s="661" t="s">
        <v>411</v>
      </c>
      <c r="EB37" s="660" t="s">
        <v>418</v>
      </c>
      <c r="EC37" s="661" t="s">
        <v>411</v>
      </c>
      <c r="ED37" s="660" t="s">
        <v>418</v>
      </c>
      <c r="EE37" s="661" t="s">
        <v>411</v>
      </c>
      <c r="EF37" s="660" t="s">
        <v>418</v>
      </c>
      <c r="EG37" s="661" t="s">
        <v>411</v>
      </c>
      <c r="EH37" s="660" t="s">
        <v>418</v>
      </c>
      <c r="EI37" s="661" t="s">
        <v>411</v>
      </c>
      <c r="EJ37" s="660" t="s">
        <v>418</v>
      </c>
      <c r="EK37" s="661" t="s">
        <v>411</v>
      </c>
      <c r="EL37" s="660" t="s">
        <v>418</v>
      </c>
      <c r="EM37" s="661" t="s">
        <v>411</v>
      </c>
      <c r="EN37" s="660" t="s">
        <v>418</v>
      </c>
      <c r="EO37" s="661" t="s">
        <v>411</v>
      </c>
      <c r="EP37" s="660" t="s">
        <v>418</v>
      </c>
      <c r="EQ37" s="661" t="s">
        <v>411</v>
      </c>
      <c r="ER37" s="660" t="s">
        <v>418</v>
      </c>
      <c r="ES37" s="661" t="s">
        <v>411</v>
      </c>
      <c r="ET37" s="660" t="s">
        <v>418</v>
      </c>
      <c r="EU37" s="661" t="s">
        <v>411</v>
      </c>
      <c r="EV37" s="660" t="s">
        <v>418</v>
      </c>
      <c r="EW37" s="661" t="s">
        <v>411</v>
      </c>
      <c r="EX37" s="660" t="s">
        <v>418</v>
      </c>
      <c r="EY37" s="661" t="s">
        <v>411</v>
      </c>
      <c r="EZ37" s="660" t="s">
        <v>418</v>
      </c>
      <c r="FA37" s="661" t="s">
        <v>411</v>
      </c>
      <c r="FB37" s="660" t="s">
        <v>418</v>
      </c>
      <c r="FC37" s="661" t="s">
        <v>411</v>
      </c>
      <c r="FD37" s="660" t="s">
        <v>418</v>
      </c>
      <c r="FE37" s="661" t="s">
        <v>411</v>
      </c>
      <c r="FF37" s="660" t="s">
        <v>418</v>
      </c>
      <c r="FG37" s="661" t="s">
        <v>411</v>
      </c>
      <c r="FH37" s="662" t="s">
        <v>418</v>
      </c>
      <c r="FI37" s="739"/>
      <c r="FJ37" s="816" t="s">
        <v>414</v>
      </c>
      <c r="FK37" s="843"/>
      <c r="FL37" s="844" t="s">
        <v>415</v>
      </c>
      <c r="FM37" s="845"/>
      <c r="FN37" s="846" t="s">
        <v>416</v>
      </c>
      <c r="FO37" s="847"/>
      <c r="FP37" s="665"/>
      <c r="FQ37" s="848" t="s">
        <v>419</v>
      </c>
      <c r="FR37" s="660" t="s">
        <v>418</v>
      </c>
      <c r="FS37" s="667"/>
      <c r="FT37" s="848" t="s">
        <v>419</v>
      </c>
      <c r="FU37" s="668" t="s">
        <v>418</v>
      </c>
      <c r="FV37" s="590"/>
      <c r="FW37" s="591"/>
      <c r="FX37" s="799"/>
      <c r="FY37" s="593"/>
      <c r="FZ37" s="800"/>
      <c r="GA37" s="595"/>
      <c r="GB37" s="801"/>
      <c r="GC37" s="597"/>
      <c r="GD37" s="801"/>
      <c r="GE37" s="598"/>
      <c r="GF37" s="849"/>
      <c r="GG37" s="743"/>
      <c r="GH37" s="743"/>
      <c r="GI37" s="743"/>
      <c r="GJ37" s="527"/>
      <c r="GK37" s="414"/>
      <c r="GL37" s="577"/>
      <c r="GM37" s="414"/>
      <c r="GN37" s="577"/>
      <c r="GO37" s="414"/>
      <c r="GP37" s="414"/>
      <c r="GQ37" s="414"/>
      <c r="GR37" s="414"/>
      <c r="GS37" s="527"/>
      <c r="GT37" s="850"/>
      <c r="GU37" s="818"/>
      <c r="GV37" s="819"/>
      <c r="GW37" s="820"/>
      <c r="GX37" s="630"/>
      <c r="GY37" s="630"/>
      <c r="GZ37" s="630"/>
      <c r="HA37" s="630"/>
      <c r="HB37" s="631"/>
      <c r="HC37" s="527"/>
      <c r="HD37" s="716"/>
      <c r="HE37" s="416"/>
      <c r="HF37" s="416"/>
    </row>
    <row r="38" spans="1:219" ht="20.100000000000001" customHeight="1">
      <c r="A38" s="851"/>
      <c r="B38" s="852" t="s">
        <v>420</v>
      </c>
      <c r="C38" s="853"/>
      <c r="D38" s="854"/>
      <c r="E38" s="855"/>
      <c r="F38" s="856"/>
      <c r="G38" s="675"/>
      <c r="H38" s="857">
        <v>0</v>
      </c>
      <c r="I38" s="676"/>
      <c r="J38" s="857">
        <v>0</v>
      </c>
      <c r="K38" s="676"/>
      <c r="L38" s="857">
        <v>0</v>
      </c>
      <c r="M38" s="676"/>
      <c r="N38" s="857">
        <v>0</v>
      </c>
      <c r="O38" s="676"/>
      <c r="P38" s="857">
        <v>0</v>
      </c>
      <c r="Q38" s="676"/>
      <c r="R38" s="857">
        <v>0</v>
      </c>
      <c r="S38" s="676"/>
      <c r="T38" s="857">
        <v>0</v>
      </c>
      <c r="U38" s="676"/>
      <c r="V38" s="857">
        <v>0</v>
      </c>
      <c r="W38" s="676"/>
      <c r="X38" s="857">
        <v>0</v>
      </c>
      <c r="Y38" s="676"/>
      <c r="Z38" s="857">
        <v>0</v>
      </c>
      <c r="AA38" s="676"/>
      <c r="AB38" s="857">
        <v>0</v>
      </c>
      <c r="AC38" s="676"/>
      <c r="AD38" s="857">
        <v>0</v>
      </c>
      <c r="AE38" s="676"/>
      <c r="AF38" s="857">
        <v>0</v>
      </c>
      <c r="AG38" s="676"/>
      <c r="AH38" s="857">
        <v>0</v>
      </c>
      <c r="AI38" s="676"/>
      <c r="AJ38" s="857">
        <v>0</v>
      </c>
      <c r="AK38" s="676"/>
      <c r="AL38" s="857">
        <v>0</v>
      </c>
      <c r="AM38" s="676"/>
      <c r="AN38" s="857">
        <v>0</v>
      </c>
      <c r="AO38" s="676"/>
      <c r="AP38" s="857">
        <v>0</v>
      </c>
      <c r="AQ38" s="676"/>
      <c r="AR38" s="857">
        <v>0</v>
      </c>
      <c r="AS38" s="676"/>
      <c r="AT38" s="857">
        <v>0</v>
      </c>
      <c r="AU38" s="676"/>
      <c r="AV38" s="857">
        <v>0</v>
      </c>
      <c r="AW38" s="676"/>
      <c r="AX38" s="857">
        <v>0</v>
      </c>
      <c r="AY38" s="676"/>
      <c r="AZ38" s="857">
        <v>0</v>
      </c>
      <c r="BA38" s="676"/>
      <c r="BB38" s="858">
        <v>0</v>
      </c>
      <c r="BC38" s="559"/>
      <c r="BD38" s="851"/>
      <c r="BE38" s="852" t="s">
        <v>271</v>
      </c>
      <c r="BF38" s="859"/>
      <c r="BG38" s="860"/>
      <c r="BH38" s="855"/>
      <c r="BI38" s="856"/>
      <c r="BJ38" s="675"/>
      <c r="BK38" s="857">
        <v>0</v>
      </c>
      <c r="BL38" s="676"/>
      <c r="BM38" s="857">
        <v>0</v>
      </c>
      <c r="BN38" s="676"/>
      <c r="BO38" s="857">
        <v>0</v>
      </c>
      <c r="BP38" s="676"/>
      <c r="BQ38" s="857">
        <v>0</v>
      </c>
      <c r="BR38" s="676"/>
      <c r="BS38" s="857">
        <v>0</v>
      </c>
      <c r="BT38" s="676"/>
      <c r="BU38" s="857">
        <v>0</v>
      </c>
      <c r="BV38" s="676"/>
      <c r="BW38" s="857">
        <v>0</v>
      </c>
      <c r="BX38" s="676"/>
      <c r="BY38" s="857">
        <v>0</v>
      </c>
      <c r="BZ38" s="676"/>
      <c r="CA38" s="857">
        <v>0</v>
      </c>
      <c r="CB38" s="676"/>
      <c r="CC38" s="857">
        <v>0</v>
      </c>
      <c r="CD38" s="676"/>
      <c r="CE38" s="857">
        <v>0</v>
      </c>
      <c r="CF38" s="676"/>
      <c r="CG38" s="857">
        <v>0</v>
      </c>
      <c r="CH38" s="676"/>
      <c r="CI38" s="857">
        <v>0</v>
      </c>
      <c r="CJ38" s="676"/>
      <c r="CK38" s="857">
        <v>0</v>
      </c>
      <c r="CL38" s="676"/>
      <c r="CM38" s="857">
        <v>0</v>
      </c>
      <c r="CN38" s="676"/>
      <c r="CO38" s="857">
        <v>0</v>
      </c>
      <c r="CP38" s="676"/>
      <c r="CQ38" s="857">
        <v>0</v>
      </c>
      <c r="CR38" s="676"/>
      <c r="CS38" s="857">
        <v>0</v>
      </c>
      <c r="CT38" s="676"/>
      <c r="CU38" s="857">
        <v>0</v>
      </c>
      <c r="CV38" s="676"/>
      <c r="CW38" s="857">
        <v>0</v>
      </c>
      <c r="CX38" s="676"/>
      <c r="CY38" s="857">
        <v>0</v>
      </c>
      <c r="CZ38" s="676"/>
      <c r="DA38" s="857">
        <v>0</v>
      </c>
      <c r="DB38" s="676"/>
      <c r="DC38" s="857">
        <v>0</v>
      </c>
      <c r="DD38" s="676"/>
      <c r="DE38" s="858">
        <v>0</v>
      </c>
      <c r="DF38" s="559"/>
      <c r="DG38" s="851"/>
      <c r="DH38" s="852" t="s">
        <v>271</v>
      </c>
      <c r="DI38" s="859"/>
      <c r="DJ38" s="860"/>
      <c r="DK38" s="855"/>
      <c r="DL38" s="856"/>
      <c r="DM38" s="675"/>
      <c r="DN38" s="857">
        <v>0</v>
      </c>
      <c r="DO38" s="676"/>
      <c r="DP38" s="857">
        <v>0</v>
      </c>
      <c r="DQ38" s="676"/>
      <c r="DR38" s="857">
        <v>0</v>
      </c>
      <c r="DS38" s="676"/>
      <c r="DT38" s="857">
        <v>0</v>
      </c>
      <c r="DU38" s="676"/>
      <c r="DV38" s="857">
        <v>0</v>
      </c>
      <c r="DW38" s="676"/>
      <c r="DX38" s="857">
        <v>0</v>
      </c>
      <c r="DY38" s="676"/>
      <c r="DZ38" s="857">
        <v>0</v>
      </c>
      <c r="EA38" s="676"/>
      <c r="EB38" s="857">
        <v>0</v>
      </c>
      <c r="EC38" s="676"/>
      <c r="ED38" s="857">
        <v>0</v>
      </c>
      <c r="EE38" s="676"/>
      <c r="EF38" s="857">
        <v>0</v>
      </c>
      <c r="EG38" s="676"/>
      <c r="EH38" s="857">
        <v>0</v>
      </c>
      <c r="EI38" s="676"/>
      <c r="EJ38" s="857">
        <v>0</v>
      </c>
      <c r="EK38" s="676"/>
      <c r="EL38" s="857">
        <v>0</v>
      </c>
      <c r="EM38" s="676"/>
      <c r="EN38" s="857">
        <v>0</v>
      </c>
      <c r="EO38" s="676"/>
      <c r="EP38" s="857">
        <v>0</v>
      </c>
      <c r="EQ38" s="676"/>
      <c r="ER38" s="857">
        <v>0</v>
      </c>
      <c r="ES38" s="676"/>
      <c r="ET38" s="857">
        <v>0</v>
      </c>
      <c r="EU38" s="676"/>
      <c r="EV38" s="857">
        <v>0</v>
      </c>
      <c r="EW38" s="676"/>
      <c r="EX38" s="857">
        <v>0</v>
      </c>
      <c r="EY38" s="676"/>
      <c r="EZ38" s="857">
        <v>0</v>
      </c>
      <c r="FA38" s="676"/>
      <c r="FB38" s="857">
        <v>0</v>
      </c>
      <c r="FC38" s="676"/>
      <c r="FD38" s="857">
        <v>0</v>
      </c>
      <c r="FE38" s="676"/>
      <c r="FF38" s="857">
        <v>0</v>
      </c>
      <c r="FG38" s="676"/>
      <c r="FH38" s="858">
        <v>0</v>
      </c>
      <c r="FI38" s="560"/>
      <c r="FJ38" s="816"/>
      <c r="FK38" s="852" t="s">
        <v>271</v>
      </c>
      <c r="FL38" s="853"/>
      <c r="FM38" s="854"/>
      <c r="FN38" s="855">
        <v>0</v>
      </c>
      <c r="FO38" s="856"/>
      <c r="FP38" s="678"/>
      <c r="FQ38" s="679"/>
      <c r="FR38" s="556">
        <v>0</v>
      </c>
      <c r="FS38" s="680"/>
      <c r="FT38" s="679"/>
      <c r="FU38" s="564">
        <v>0</v>
      </c>
      <c r="FV38" s="590"/>
      <c r="FW38" s="591"/>
      <c r="FX38" s="799"/>
      <c r="FY38" s="593"/>
      <c r="FZ38" s="800"/>
      <c r="GA38" s="595"/>
      <c r="GB38" s="801"/>
      <c r="GC38" s="597"/>
      <c r="GD38" s="801"/>
      <c r="GE38" s="598"/>
      <c r="GF38" s="681"/>
      <c r="GG38" s="599"/>
      <c r="GH38" s="599"/>
      <c r="GI38" s="599"/>
      <c r="GJ38" s="577"/>
      <c r="GK38" s="414" t="s">
        <v>492</v>
      </c>
      <c r="GL38" s="410"/>
      <c r="GM38" s="414"/>
      <c r="GN38" s="410"/>
      <c r="GO38" s="414"/>
      <c r="GP38" s="414"/>
      <c r="GQ38" s="414"/>
      <c r="GR38" s="414"/>
      <c r="GS38" s="577"/>
      <c r="GT38" s="850"/>
      <c r="GU38" s="861" t="s">
        <v>463</v>
      </c>
      <c r="GV38" s="862"/>
      <c r="GW38" s="862"/>
      <c r="GX38" s="862"/>
      <c r="GY38" s="862"/>
      <c r="GZ38" s="863"/>
      <c r="HA38" s="630">
        <v>42.190000000000005</v>
      </c>
      <c r="HB38" s="864">
        <v>13.2</v>
      </c>
      <c r="HC38" s="527"/>
      <c r="HD38" s="527"/>
      <c r="HE38" s="388"/>
      <c r="HF38" s="388"/>
      <c r="HK38" s="416"/>
    </row>
    <row r="39" spans="1:219" ht="20.100000000000001" customHeight="1">
      <c r="A39" s="821"/>
      <c r="B39" s="865" t="s">
        <v>421</v>
      </c>
      <c r="C39" s="866"/>
      <c r="D39" s="867"/>
      <c r="E39" s="868"/>
      <c r="F39" s="869"/>
      <c r="G39" s="687"/>
      <c r="H39" s="870">
        <v>0</v>
      </c>
      <c r="I39" s="688"/>
      <c r="J39" s="870">
        <v>0</v>
      </c>
      <c r="K39" s="688"/>
      <c r="L39" s="870">
        <v>0</v>
      </c>
      <c r="M39" s="688"/>
      <c r="N39" s="870">
        <v>0</v>
      </c>
      <c r="O39" s="688"/>
      <c r="P39" s="870">
        <v>0</v>
      </c>
      <c r="Q39" s="688"/>
      <c r="R39" s="870">
        <v>0</v>
      </c>
      <c r="S39" s="688"/>
      <c r="T39" s="870">
        <v>0</v>
      </c>
      <c r="U39" s="688"/>
      <c r="V39" s="870">
        <v>0</v>
      </c>
      <c r="W39" s="688"/>
      <c r="X39" s="870">
        <v>0</v>
      </c>
      <c r="Y39" s="688"/>
      <c r="Z39" s="870">
        <v>0</v>
      </c>
      <c r="AA39" s="688"/>
      <c r="AB39" s="870">
        <v>0</v>
      </c>
      <c r="AC39" s="688"/>
      <c r="AD39" s="870">
        <v>0</v>
      </c>
      <c r="AE39" s="688"/>
      <c r="AF39" s="870">
        <v>0</v>
      </c>
      <c r="AG39" s="688"/>
      <c r="AH39" s="870">
        <v>0</v>
      </c>
      <c r="AI39" s="688"/>
      <c r="AJ39" s="870">
        <v>0</v>
      </c>
      <c r="AK39" s="688"/>
      <c r="AL39" s="870">
        <v>0</v>
      </c>
      <c r="AM39" s="688"/>
      <c r="AN39" s="870">
        <v>0</v>
      </c>
      <c r="AO39" s="688"/>
      <c r="AP39" s="870">
        <v>0</v>
      </c>
      <c r="AQ39" s="688"/>
      <c r="AR39" s="870">
        <v>0</v>
      </c>
      <c r="AS39" s="688"/>
      <c r="AT39" s="870">
        <v>0</v>
      </c>
      <c r="AU39" s="688"/>
      <c r="AV39" s="870">
        <v>0</v>
      </c>
      <c r="AW39" s="688"/>
      <c r="AX39" s="870">
        <v>0</v>
      </c>
      <c r="AY39" s="688"/>
      <c r="AZ39" s="870">
        <v>0</v>
      </c>
      <c r="BA39" s="688"/>
      <c r="BB39" s="871">
        <v>0</v>
      </c>
      <c r="BC39" s="559"/>
      <c r="BD39" s="821"/>
      <c r="BE39" s="865" t="s">
        <v>278</v>
      </c>
      <c r="BF39" s="872"/>
      <c r="BG39" s="873"/>
      <c r="BH39" s="868"/>
      <c r="BI39" s="869"/>
      <c r="BJ39" s="687"/>
      <c r="BK39" s="870">
        <v>0</v>
      </c>
      <c r="BL39" s="688"/>
      <c r="BM39" s="870">
        <v>0</v>
      </c>
      <c r="BN39" s="688"/>
      <c r="BO39" s="870">
        <v>0</v>
      </c>
      <c r="BP39" s="688"/>
      <c r="BQ39" s="870">
        <v>0</v>
      </c>
      <c r="BR39" s="688"/>
      <c r="BS39" s="870">
        <v>0</v>
      </c>
      <c r="BT39" s="688"/>
      <c r="BU39" s="870">
        <v>0</v>
      </c>
      <c r="BV39" s="688"/>
      <c r="BW39" s="870">
        <v>0</v>
      </c>
      <c r="BX39" s="688"/>
      <c r="BY39" s="870">
        <v>0</v>
      </c>
      <c r="BZ39" s="688"/>
      <c r="CA39" s="870">
        <v>0</v>
      </c>
      <c r="CB39" s="688"/>
      <c r="CC39" s="870">
        <v>0</v>
      </c>
      <c r="CD39" s="688"/>
      <c r="CE39" s="870">
        <v>0</v>
      </c>
      <c r="CF39" s="688"/>
      <c r="CG39" s="870">
        <v>0</v>
      </c>
      <c r="CH39" s="688"/>
      <c r="CI39" s="870">
        <v>0</v>
      </c>
      <c r="CJ39" s="688"/>
      <c r="CK39" s="870">
        <v>0</v>
      </c>
      <c r="CL39" s="688"/>
      <c r="CM39" s="870">
        <v>0</v>
      </c>
      <c r="CN39" s="688"/>
      <c r="CO39" s="870">
        <v>0</v>
      </c>
      <c r="CP39" s="688"/>
      <c r="CQ39" s="870">
        <v>0</v>
      </c>
      <c r="CR39" s="688"/>
      <c r="CS39" s="870">
        <v>0</v>
      </c>
      <c r="CT39" s="688"/>
      <c r="CU39" s="870">
        <v>0</v>
      </c>
      <c r="CV39" s="688"/>
      <c r="CW39" s="870">
        <v>0</v>
      </c>
      <c r="CX39" s="688"/>
      <c r="CY39" s="870">
        <v>0</v>
      </c>
      <c r="CZ39" s="688"/>
      <c r="DA39" s="870">
        <v>0</v>
      </c>
      <c r="DB39" s="688"/>
      <c r="DC39" s="870">
        <v>0</v>
      </c>
      <c r="DD39" s="688"/>
      <c r="DE39" s="871">
        <v>0</v>
      </c>
      <c r="DF39" s="559"/>
      <c r="DG39" s="821"/>
      <c r="DH39" s="865" t="s">
        <v>278</v>
      </c>
      <c r="DI39" s="872"/>
      <c r="DJ39" s="873"/>
      <c r="DK39" s="868"/>
      <c r="DL39" s="869"/>
      <c r="DM39" s="687"/>
      <c r="DN39" s="870">
        <v>0</v>
      </c>
      <c r="DO39" s="688"/>
      <c r="DP39" s="870">
        <v>0</v>
      </c>
      <c r="DQ39" s="688"/>
      <c r="DR39" s="870">
        <v>0</v>
      </c>
      <c r="DS39" s="688"/>
      <c r="DT39" s="870">
        <v>0</v>
      </c>
      <c r="DU39" s="688"/>
      <c r="DV39" s="870">
        <v>0</v>
      </c>
      <c r="DW39" s="688"/>
      <c r="DX39" s="870">
        <v>0</v>
      </c>
      <c r="DY39" s="688"/>
      <c r="DZ39" s="870">
        <v>0</v>
      </c>
      <c r="EA39" s="688"/>
      <c r="EB39" s="870">
        <v>0</v>
      </c>
      <c r="EC39" s="688"/>
      <c r="ED39" s="870">
        <v>0</v>
      </c>
      <c r="EE39" s="688"/>
      <c r="EF39" s="870">
        <v>0</v>
      </c>
      <c r="EG39" s="688"/>
      <c r="EH39" s="870">
        <v>0</v>
      </c>
      <c r="EI39" s="688"/>
      <c r="EJ39" s="870">
        <v>0</v>
      </c>
      <c r="EK39" s="688"/>
      <c r="EL39" s="870">
        <v>0</v>
      </c>
      <c r="EM39" s="688"/>
      <c r="EN39" s="870">
        <v>0</v>
      </c>
      <c r="EO39" s="688"/>
      <c r="EP39" s="870">
        <v>0</v>
      </c>
      <c r="EQ39" s="688"/>
      <c r="ER39" s="870">
        <v>0</v>
      </c>
      <c r="ES39" s="688"/>
      <c r="ET39" s="870">
        <v>0</v>
      </c>
      <c r="EU39" s="688"/>
      <c r="EV39" s="870">
        <v>0</v>
      </c>
      <c r="EW39" s="688"/>
      <c r="EX39" s="870">
        <v>0</v>
      </c>
      <c r="EY39" s="688"/>
      <c r="EZ39" s="870">
        <v>0</v>
      </c>
      <c r="FA39" s="688"/>
      <c r="FB39" s="870">
        <v>0</v>
      </c>
      <c r="FC39" s="688"/>
      <c r="FD39" s="870">
        <v>0</v>
      </c>
      <c r="FE39" s="688"/>
      <c r="FF39" s="870">
        <v>0</v>
      </c>
      <c r="FG39" s="688"/>
      <c r="FH39" s="871">
        <v>0</v>
      </c>
      <c r="FI39" s="560"/>
      <c r="FJ39" s="830"/>
      <c r="FK39" s="865" t="s">
        <v>278</v>
      </c>
      <c r="FL39" s="866"/>
      <c r="FM39" s="867"/>
      <c r="FN39" s="868">
        <v>0</v>
      </c>
      <c r="FO39" s="869"/>
      <c r="FP39" s="689"/>
      <c r="FQ39" s="690"/>
      <c r="FR39" s="584">
        <v>0</v>
      </c>
      <c r="FS39" s="691"/>
      <c r="FT39" s="690"/>
      <c r="FU39" s="589">
        <v>0</v>
      </c>
      <c r="FV39" s="590"/>
      <c r="FW39" s="591"/>
      <c r="FX39" s="799"/>
      <c r="FY39" s="593"/>
      <c r="FZ39" s="800"/>
      <c r="GA39" s="595"/>
      <c r="GB39" s="801"/>
      <c r="GC39" s="597"/>
      <c r="GD39" s="801"/>
      <c r="GE39" s="598"/>
      <c r="GF39" s="681"/>
      <c r="GG39" s="599"/>
      <c r="GH39" s="599"/>
      <c r="GI39" s="599"/>
      <c r="GJ39" s="410"/>
      <c r="GK39" s="874"/>
      <c r="GL39" s="875"/>
      <c r="GM39" s="876" t="s">
        <v>493</v>
      </c>
      <c r="GN39" s="875"/>
      <c r="GO39" s="876" t="s">
        <v>494</v>
      </c>
      <c r="GP39" s="875"/>
      <c r="GQ39" s="876" t="s">
        <v>495</v>
      </c>
      <c r="GR39" s="877"/>
      <c r="GS39" s="414"/>
      <c r="GT39" s="682"/>
      <c r="GU39" s="527" t="s">
        <v>496</v>
      </c>
      <c r="GV39" s="527"/>
      <c r="GW39" s="527"/>
      <c r="GX39" s="527"/>
      <c r="GY39" s="527"/>
      <c r="GZ39" s="527"/>
      <c r="HA39" s="683">
        <v>3.2</v>
      </c>
      <c r="HB39" s="576"/>
      <c r="HC39" s="527"/>
      <c r="HD39" s="559"/>
    </row>
    <row r="40" spans="1:219" ht="20.100000000000001" customHeight="1">
      <c r="A40" s="878"/>
      <c r="B40" s="639"/>
      <c r="C40" s="639"/>
      <c r="D40" s="640" t="s">
        <v>422</v>
      </c>
      <c r="E40" s="639"/>
      <c r="F40" s="639"/>
      <c r="G40" s="834"/>
      <c r="H40" s="835">
        <v>0</v>
      </c>
      <c r="I40" s="836"/>
      <c r="J40" s="837">
        <v>0</v>
      </c>
      <c r="K40" s="838"/>
      <c r="L40" s="837">
        <v>0</v>
      </c>
      <c r="M40" s="838"/>
      <c r="N40" s="837">
        <v>0</v>
      </c>
      <c r="O40" s="838"/>
      <c r="P40" s="837">
        <v>0</v>
      </c>
      <c r="Q40" s="838"/>
      <c r="R40" s="837">
        <v>0</v>
      </c>
      <c r="S40" s="838"/>
      <c r="T40" s="837">
        <v>0</v>
      </c>
      <c r="U40" s="838"/>
      <c r="V40" s="837">
        <v>0</v>
      </c>
      <c r="W40" s="838"/>
      <c r="X40" s="837">
        <v>0</v>
      </c>
      <c r="Y40" s="838"/>
      <c r="Z40" s="837">
        <v>0</v>
      </c>
      <c r="AA40" s="838"/>
      <c r="AB40" s="837">
        <v>0</v>
      </c>
      <c r="AC40" s="838"/>
      <c r="AD40" s="837">
        <v>0</v>
      </c>
      <c r="AE40" s="838"/>
      <c r="AF40" s="837">
        <v>0</v>
      </c>
      <c r="AG40" s="838"/>
      <c r="AH40" s="837">
        <v>0</v>
      </c>
      <c r="AI40" s="838"/>
      <c r="AJ40" s="837">
        <v>0</v>
      </c>
      <c r="AK40" s="838"/>
      <c r="AL40" s="837">
        <v>0</v>
      </c>
      <c r="AM40" s="838"/>
      <c r="AN40" s="837">
        <v>0</v>
      </c>
      <c r="AO40" s="838"/>
      <c r="AP40" s="837">
        <v>0</v>
      </c>
      <c r="AQ40" s="838"/>
      <c r="AR40" s="837">
        <v>0</v>
      </c>
      <c r="AS40" s="838"/>
      <c r="AT40" s="837">
        <v>0</v>
      </c>
      <c r="AU40" s="838"/>
      <c r="AV40" s="837">
        <v>0</v>
      </c>
      <c r="AW40" s="838"/>
      <c r="AX40" s="837">
        <v>0</v>
      </c>
      <c r="AY40" s="838"/>
      <c r="AZ40" s="837">
        <v>0</v>
      </c>
      <c r="BA40" s="838"/>
      <c r="BB40" s="839">
        <v>0</v>
      </c>
      <c r="BC40" s="645"/>
      <c r="BD40" s="878"/>
      <c r="BE40" s="639"/>
      <c r="BF40" s="639"/>
      <c r="BG40" s="640" t="s">
        <v>422</v>
      </c>
      <c r="BH40" s="639"/>
      <c r="BI40" s="639"/>
      <c r="BJ40" s="834"/>
      <c r="BK40" s="835">
        <v>0</v>
      </c>
      <c r="BL40" s="836"/>
      <c r="BM40" s="837">
        <v>0</v>
      </c>
      <c r="BN40" s="838"/>
      <c r="BO40" s="837">
        <v>0</v>
      </c>
      <c r="BP40" s="838"/>
      <c r="BQ40" s="837">
        <v>0</v>
      </c>
      <c r="BR40" s="838"/>
      <c r="BS40" s="837">
        <v>0</v>
      </c>
      <c r="BT40" s="838"/>
      <c r="BU40" s="837">
        <v>0</v>
      </c>
      <c r="BV40" s="838"/>
      <c r="BW40" s="837">
        <v>0</v>
      </c>
      <c r="BX40" s="838"/>
      <c r="BY40" s="837">
        <v>0</v>
      </c>
      <c r="BZ40" s="838"/>
      <c r="CA40" s="837">
        <v>0</v>
      </c>
      <c r="CB40" s="838"/>
      <c r="CC40" s="837">
        <v>0</v>
      </c>
      <c r="CD40" s="838"/>
      <c r="CE40" s="837">
        <v>0</v>
      </c>
      <c r="CF40" s="838"/>
      <c r="CG40" s="837">
        <v>0</v>
      </c>
      <c r="CH40" s="838"/>
      <c r="CI40" s="837">
        <v>0</v>
      </c>
      <c r="CJ40" s="838"/>
      <c r="CK40" s="837">
        <v>0</v>
      </c>
      <c r="CL40" s="838"/>
      <c r="CM40" s="837">
        <v>0</v>
      </c>
      <c r="CN40" s="838"/>
      <c r="CO40" s="837">
        <v>0</v>
      </c>
      <c r="CP40" s="838"/>
      <c r="CQ40" s="837">
        <v>0</v>
      </c>
      <c r="CR40" s="838"/>
      <c r="CS40" s="837">
        <v>0</v>
      </c>
      <c r="CT40" s="838"/>
      <c r="CU40" s="837">
        <v>0</v>
      </c>
      <c r="CV40" s="838"/>
      <c r="CW40" s="837">
        <v>0</v>
      </c>
      <c r="CX40" s="838"/>
      <c r="CY40" s="837">
        <v>0</v>
      </c>
      <c r="CZ40" s="838"/>
      <c r="DA40" s="837">
        <v>0</v>
      </c>
      <c r="DB40" s="838"/>
      <c r="DC40" s="837">
        <v>0</v>
      </c>
      <c r="DD40" s="838"/>
      <c r="DE40" s="839">
        <v>0</v>
      </c>
      <c r="DF40" s="645"/>
      <c r="DG40" s="878"/>
      <c r="DH40" s="639"/>
      <c r="DI40" s="639"/>
      <c r="DJ40" s="640" t="s">
        <v>422</v>
      </c>
      <c r="DK40" s="639"/>
      <c r="DL40" s="639"/>
      <c r="DM40" s="834"/>
      <c r="DN40" s="835">
        <v>0</v>
      </c>
      <c r="DO40" s="836"/>
      <c r="DP40" s="837">
        <v>0</v>
      </c>
      <c r="DQ40" s="838"/>
      <c r="DR40" s="837">
        <v>0</v>
      </c>
      <c r="DS40" s="838"/>
      <c r="DT40" s="837">
        <v>0</v>
      </c>
      <c r="DU40" s="838"/>
      <c r="DV40" s="837">
        <v>0</v>
      </c>
      <c r="DW40" s="838"/>
      <c r="DX40" s="837">
        <v>0</v>
      </c>
      <c r="DY40" s="838"/>
      <c r="DZ40" s="837">
        <v>0</v>
      </c>
      <c r="EA40" s="838"/>
      <c r="EB40" s="837">
        <v>0</v>
      </c>
      <c r="EC40" s="838"/>
      <c r="ED40" s="837">
        <v>0</v>
      </c>
      <c r="EE40" s="838"/>
      <c r="EF40" s="837">
        <v>0</v>
      </c>
      <c r="EG40" s="838"/>
      <c r="EH40" s="837">
        <v>0</v>
      </c>
      <c r="EI40" s="838"/>
      <c r="EJ40" s="837">
        <v>0</v>
      </c>
      <c r="EK40" s="838"/>
      <c r="EL40" s="837">
        <v>0</v>
      </c>
      <c r="EM40" s="838"/>
      <c r="EN40" s="837">
        <v>0</v>
      </c>
      <c r="EO40" s="838"/>
      <c r="EP40" s="837">
        <v>0</v>
      </c>
      <c r="EQ40" s="838"/>
      <c r="ER40" s="837">
        <v>0</v>
      </c>
      <c r="ES40" s="838"/>
      <c r="ET40" s="837">
        <v>0</v>
      </c>
      <c r="EU40" s="838"/>
      <c r="EV40" s="837">
        <v>0</v>
      </c>
      <c r="EW40" s="838"/>
      <c r="EX40" s="837">
        <v>0</v>
      </c>
      <c r="EY40" s="838"/>
      <c r="EZ40" s="837">
        <v>0</v>
      </c>
      <c r="FA40" s="838"/>
      <c r="FB40" s="837">
        <v>0</v>
      </c>
      <c r="FC40" s="838"/>
      <c r="FD40" s="837">
        <v>0</v>
      </c>
      <c r="FE40" s="838"/>
      <c r="FF40" s="837">
        <v>0</v>
      </c>
      <c r="FG40" s="838"/>
      <c r="FH40" s="839">
        <v>0</v>
      </c>
      <c r="FI40" s="646"/>
      <c r="FJ40" s="830"/>
      <c r="FK40" s="639"/>
      <c r="FL40" s="639"/>
      <c r="FM40" s="640" t="s">
        <v>422</v>
      </c>
      <c r="FN40" s="639"/>
      <c r="FO40" s="639"/>
      <c r="FP40" s="647"/>
      <c r="FQ40" s="836"/>
      <c r="FR40" s="835">
        <v>0</v>
      </c>
      <c r="FS40" s="840"/>
      <c r="FT40" s="836"/>
      <c r="FU40" s="841">
        <v>0</v>
      </c>
      <c r="FV40" s="590"/>
      <c r="FW40" s="591"/>
      <c r="FX40" s="799"/>
      <c r="FY40" s="593"/>
      <c r="FZ40" s="800"/>
      <c r="GA40" s="595"/>
      <c r="GB40" s="801"/>
      <c r="GC40" s="597"/>
      <c r="GD40" s="801"/>
      <c r="GE40" s="598"/>
      <c r="GF40" s="651"/>
      <c r="GG40" s="652"/>
      <c r="GH40" s="652"/>
      <c r="GI40" s="652"/>
      <c r="GJ40" s="527"/>
      <c r="GK40" s="879"/>
      <c r="GL40" s="880"/>
      <c r="GM40" s="880"/>
      <c r="GN40" s="880"/>
      <c r="GO40" s="880"/>
      <c r="GP40" s="880"/>
      <c r="GQ40" s="880"/>
      <c r="GR40" s="881"/>
      <c r="GS40" s="882"/>
      <c r="GT40" s="682"/>
      <c r="GU40" s="527" t="s">
        <v>554</v>
      </c>
      <c r="GV40" s="527"/>
      <c r="GW40" s="527"/>
      <c r="GX40" s="527"/>
      <c r="GY40" s="527"/>
      <c r="GZ40" s="527"/>
      <c r="HA40" s="883">
        <v>56.6</v>
      </c>
      <c r="HB40" s="414"/>
      <c r="HC40" s="527"/>
      <c r="HD40" s="577"/>
      <c r="HK40" s="416"/>
    </row>
    <row r="41" spans="1:219" ht="20.100000000000001" customHeight="1">
      <c r="A41" s="851" t="s">
        <v>423</v>
      </c>
      <c r="B41" s="731"/>
      <c r="C41" s="884"/>
      <c r="D41" s="884"/>
      <c r="E41" s="884"/>
      <c r="F41" s="885"/>
      <c r="G41" s="733"/>
      <c r="H41" s="660" t="s">
        <v>398</v>
      </c>
      <c r="I41" s="734"/>
      <c r="J41" s="660" t="s">
        <v>398</v>
      </c>
      <c r="K41" s="735"/>
      <c r="L41" s="660" t="s">
        <v>398</v>
      </c>
      <c r="M41" s="735"/>
      <c r="N41" s="660" t="s">
        <v>398</v>
      </c>
      <c r="O41" s="735"/>
      <c r="P41" s="660" t="s">
        <v>398</v>
      </c>
      <c r="Q41" s="735"/>
      <c r="R41" s="660" t="s">
        <v>398</v>
      </c>
      <c r="S41" s="735"/>
      <c r="T41" s="660" t="s">
        <v>398</v>
      </c>
      <c r="U41" s="735"/>
      <c r="V41" s="660" t="s">
        <v>398</v>
      </c>
      <c r="W41" s="735"/>
      <c r="X41" s="660" t="s">
        <v>398</v>
      </c>
      <c r="Y41" s="735" t="s">
        <v>411</v>
      </c>
      <c r="Z41" s="660" t="s">
        <v>398</v>
      </c>
      <c r="AA41" s="735" t="s">
        <v>411</v>
      </c>
      <c r="AB41" s="660" t="s">
        <v>398</v>
      </c>
      <c r="AC41" s="735"/>
      <c r="AD41" s="660" t="s">
        <v>398</v>
      </c>
      <c r="AE41" s="735"/>
      <c r="AF41" s="660" t="s">
        <v>398</v>
      </c>
      <c r="AG41" s="735"/>
      <c r="AH41" s="660" t="s">
        <v>398</v>
      </c>
      <c r="AI41" s="735"/>
      <c r="AJ41" s="660" t="s">
        <v>398</v>
      </c>
      <c r="AK41" s="735"/>
      <c r="AL41" s="660" t="s">
        <v>398</v>
      </c>
      <c r="AM41" s="735"/>
      <c r="AN41" s="660" t="s">
        <v>398</v>
      </c>
      <c r="AO41" s="735"/>
      <c r="AP41" s="660" t="s">
        <v>398</v>
      </c>
      <c r="AQ41" s="735"/>
      <c r="AR41" s="660" t="s">
        <v>398</v>
      </c>
      <c r="AS41" s="735"/>
      <c r="AT41" s="660" t="s">
        <v>398</v>
      </c>
      <c r="AU41" s="735"/>
      <c r="AV41" s="660" t="s">
        <v>398</v>
      </c>
      <c r="AW41" s="735"/>
      <c r="AX41" s="660" t="s">
        <v>398</v>
      </c>
      <c r="AY41" s="735"/>
      <c r="AZ41" s="660" t="s">
        <v>398</v>
      </c>
      <c r="BA41" s="735"/>
      <c r="BB41" s="662" t="s">
        <v>398</v>
      </c>
      <c r="BC41" s="716"/>
      <c r="BD41" s="851" t="s">
        <v>423</v>
      </c>
      <c r="BE41" s="731"/>
      <c r="BF41" s="884"/>
      <c r="BG41" s="884"/>
      <c r="BH41" s="884"/>
      <c r="BI41" s="885"/>
      <c r="BJ41" s="733"/>
      <c r="BK41" s="660" t="s">
        <v>398</v>
      </c>
      <c r="BL41" s="734"/>
      <c r="BM41" s="660" t="s">
        <v>398</v>
      </c>
      <c r="BN41" s="735"/>
      <c r="BO41" s="660" t="s">
        <v>398</v>
      </c>
      <c r="BP41" s="735"/>
      <c r="BQ41" s="660" t="s">
        <v>398</v>
      </c>
      <c r="BR41" s="735"/>
      <c r="BS41" s="660" t="s">
        <v>398</v>
      </c>
      <c r="BT41" s="735"/>
      <c r="BU41" s="660" t="s">
        <v>398</v>
      </c>
      <c r="BV41" s="735"/>
      <c r="BW41" s="660" t="s">
        <v>398</v>
      </c>
      <c r="BX41" s="735"/>
      <c r="BY41" s="660" t="s">
        <v>398</v>
      </c>
      <c r="BZ41" s="735"/>
      <c r="CA41" s="660" t="s">
        <v>398</v>
      </c>
      <c r="CB41" s="735" t="s">
        <v>411</v>
      </c>
      <c r="CC41" s="660" t="s">
        <v>398</v>
      </c>
      <c r="CD41" s="735" t="s">
        <v>411</v>
      </c>
      <c r="CE41" s="660" t="s">
        <v>398</v>
      </c>
      <c r="CF41" s="735"/>
      <c r="CG41" s="660" t="s">
        <v>398</v>
      </c>
      <c r="CH41" s="735"/>
      <c r="CI41" s="660" t="s">
        <v>398</v>
      </c>
      <c r="CJ41" s="735"/>
      <c r="CK41" s="660" t="s">
        <v>398</v>
      </c>
      <c r="CL41" s="735"/>
      <c r="CM41" s="660" t="s">
        <v>398</v>
      </c>
      <c r="CN41" s="735"/>
      <c r="CO41" s="660" t="s">
        <v>398</v>
      </c>
      <c r="CP41" s="735"/>
      <c r="CQ41" s="660" t="s">
        <v>398</v>
      </c>
      <c r="CR41" s="735"/>
      <c r="CS41" s="660" t="s">
        <v>398</v>
      </c>
      <c r="CT41" s="735"/>
      <c r="CU41" s="660" t="s">
        <v>398</v>
      </c>
      <c r="CV41" s="735"/>
      <c r="CW41" s="660" t="s">
        <v>398</v>
      </c>
      <c r="CX41" s="735"/>
      <c r="CY41" s="660" t="s">
        <v>398</v>
      </c>
      <c r="CZ41" s="735"/>
      <c r="DA41" s="660" t="s">
        <v>398</v>
      </c>
      <c r="DB41" s="735"/>
      <c r="DC41" s="660" t="s">
        <v>398</v>
      </c>
      <c r="DD41" s="735"/>
      <c r="DE41" s="662" t="s">
        <v>398</v>
      </c>
      <c r="DF41" s="716"/>
      <c r="DG41" s="851" t="s">
        <v>423</v>
      </c>
      <c r="DH41" s="731"/>
      <c r="DI41" s="884"/>
      <c r="DJ41" s="884"/>
      <c r="DK41" s="884"/>
      <c r="DL41" s="885"/>
      <c r="DM41" s="733"/>
      <c r="DN41" s="660" t="s">
        <v>398</v>
      </c>
      <c r="DO41" s="734"/>
      <c r="DP41" s="660" t="s">
        <v>398</v>
      </c>
      <c r="DQ41" s="735"/>
      <c r="DR41" s="660" t="s">
        <v>398</v>
      </c>
      <c r="DS41" s="735"/>
      <c r="DT41" s="660" t="s">
        <v>398</v>
      </c>
      <c r="DU41" s="735"/>
      <c r="DV41" s="660" t="s">
        <v>398</v>
      </c>
      <c r="DW41" s="735"/>
      <c r="DX41" s="660" t="s">
        <v>398</v>
      </c>
      <c r="DY41" s="735"/>
      <c r="DZ41" s="660" t="s">
        <v>398</v>
      </c>
      <c r="EA41" s="735"/>
      <c r="EB41" s="660" t="s">
        <v>398</v>
      </c>
      <c r="EC41" s="735"/>
      <c r="ED41" s="660" t="s">
        <v>398</v>
      </c>
      <c r="EE41" s="735" t="s">
        <v>411</v>
      </c>
      <c r="EF41" s="660" t="s">
        <v>398</v>
      </c>
      <c r="EG41" s="735" t="s">
        <v>411</v>
      </c>
      <c r="EH41" s="660" t="s">
        <v>398</v>
      </c>
      <c r="EI41" s="735"/>
      <c r="EJ41" s="660" t="s">
        <v>398</v>
      </c>
      <c r="EK41" s="735"/>
      <c r="EL41" s="660" t="s">
        <v>398</v>
      </c>
      <c r="EM41" s="735"/>
      <c r="EN41" s="660" t="s">
        <v>398</v>
      </c>
      <c r="EO41" s="735"/>
      <c r="EP41" s="660" t="s">
        <v>398</v>
      </c>
      <c r="EQ41" s="735"/>
      <c r="ER41" s="660" t="s">
        <v>398</v>
      </c>
      <c r="ES41" s="735"/>
      <c r="ET41" s="660" t="s">
        <v>398</v>
      </c>
      <c r="EU41" s="735"/>
      <c r="EV41" s="660" t="s">
        <v>398</v>
      </c>
      <c r="EW41" s="735"/>
      <c r="EX41" s="660" t="s">
        <v>398</v>
      </c>
      <c r="EY41" s="735"/>
      <c r="EZ41" s="660" t="s">
        <v>398</v>
      </c>
      <c r="FA41" s="735"/>
      <c r="FB41" s="660" t="s">
        <v>398</v>
      </c>
      <c r="FC41" s="735"/>
      <c r="FD41" s="660" t="s">
        <v>398</v>
      </c>
      <c r="FE41" s="735"/>
      <c r="FF41" s="660" t="s">
        <v>398</v>
      </c>
      <c r="FG41" s="735"/>
      <c r="FH41" s="662" t="s">
        <v>398</v>
      </c>
      <c r="FI41" s="739"/>
      <c r="FJ41" s="816" t="s">
        <v>423</v>
      </c>
      <c r="FK41" s="736"/>
      <c r="FL41" s="886"/>
      <c r="FM41" s="886"/>
      <c r="FN41" s="886"/>
      <c r="FO41" s="887"/>
      <c r="FP41" s="740"/>
      <c r="FQ41" s="666"/>
      <c r="FR41" s="660" t="s">
        <v>402</v>
      </c>
      <c r="FS41" s="741"/>
      <c r="FT41" s="666"/>
      <c r="FU41" s="668" t="s">
        <v>402</v>
      </c>
      <c r="FV41" s="590"/>
      <c r="FW41" s="591"/>
      <c r="FX41" s="799"/>
      <c r="FY41" s="593"/>
      <c r="FZ41" s="800"/>
      <c r="GA41" s="595"/>
      <c r="GB41" s="801"/>
      <c r="GC41" s="597"/>
      <c r="GD41" s="801"/>
      <c r="GE41" s="598"/>
      <c r="GF41" s="742"/>
      <c r="GG41" s="743"/>
      <c r="GH41" s="743"/>
      <c r="GI41" s="743"/>
      <c r="GJ41" s="577"/>
      <c r="GK41" s="888" t="s">
        <v>497</v>
      </c>
      <c r="GL41" s="889"/>
      <c r="GM41" s="890" t="s">
        <v>498</v>
      </c>
      <c r="GN41" s="890"/>
      <c r="GO41" s="890" t="s">
        <v>499</v>
      </c>
      <c r="GP41" s="890"/>
      <c r="GQ41" s="890"/>
      <c r="GR41" s="891"/>
      <c r="GS41" s="850"/>
      <c r="GT41" s="682"/>
      <c r="GU41" s="527" t="s">
        <v>555</v>
      </c>
      <c r="GV41" s="527"/>
      <c r="GW41" s="527"/>
      <c r="GX41" s="527"/>
      <c r="GY41" s="527"/>
      <c r="GZ41" s="527"/>
      <c r="HA41" s="883">
        <v>38.4</v>
      </c>
      <c r="HB41" s="414"/>
      <c r="HC41" s="527"/>
      <c r="HD41" s="410"/>
    </row>
    <row r="42" spans="1:219" ht="20.100000000000001" customHeight="1">
      <c r="A42" s="821"/>
      <c r="B42" s="892" t="s">
        <v>424</v>
      </c>
      <c r="C42" s="893"/>
      <c r="D42" s="893"/>
      <c r="E42" s="894"/>
      <c r="F42" s="895"/>
      <c r="G42" s="825"/>
      <c r="H42" s="826"/>
      <c r="I42" s="827"/>
      <c r="J42" s="792"/>
      <c r="K42" s="828"/>
      <c r="L42" s="792"/>
      <c r="M42" s="828"/>
      <c r="N42" s="792"/>
      <c r="O42" s="828"/>
      <c r="P42" s="792"/>
      <c r="Q42" s="828"/>
      <c r="R42" s="792"/>
      <c r="S42" s="828"/>
      <c r="T42" s="792"/>
      <c r="U42" s="828"/>
      <c r="V42" s="792"/>
      <c r="W42" s="828"/>
      <c r="X42" s="792">
        <v>224</v>
      </c>
      <c r="Y42" s="828"/>
      <c r="Z42" s="792">
        <v>148</v>
      </c>
      <c r="AA42" s="828"/>
      <c r="AB42" s="792">
        <v>144</v>
      </c>
      <c r="AC42" s="828"/>
      <c r="AD42" s="792">
        <v>140</v>
      </c>
      <c r="AE42" s="828"/>
      <c r="AF42" s="792">
        <v>136</v>
      </c>
      <c r="AG42" s="828"/>
      <c r="AH42" s="792">
        <v>132</v>
      </c>
      <c r="AI42" s="828"/>
      <c r="AJ42" s="792">
        <v>129</v>
      </c>
      <c r="AK42" s="828"/>
      <c r="AL42" s="792">
        <v>127</v>
      </c>
      <c r="AM42" s="828"/>
      <c r="AN42" s="792">
        <v>123</v>
      </c>
      <c r="AO42" s="828"/>
      <c r="AP42" s="792">
        <v>121</v>
      </c>
      <c r="AQ42" s="828"/>
      <c r="AR42" s="792"/>
      <c r="AS42" s="828"/>
      <c r="AT42" s="792"/>
      <c r="AU42" s="828"/>
      <c r="AV42" s="792"/>
      <c r="AW42" s="828"/>
      <c r="AX42" s="792"/>
      <c r="AY42" s="828"/>
      <c r="AZ42" s="792"/>
      <c r="BA42" s="828"/>
      <c r="BB42" s="829"/>
      <c r="BC42" s="559"/>
      <c r="BD42" s="821"/>
      <c r="BE42" s="896" t="s">
        <v>424</v>
      </c>
      <c r="BF42" s="893"/>
      <c r="BG42" s="893"/>
      <c r="BH42" s="894"/>
      <c r="BI42" s="895"/>
      <c r="BJ42" s="825"/>
      <c r="BK42" s="826"/>
      <c r="BL42" s="827"/>
      <c r="BM42" s="792"/>
      <c r="BN42" s="828"/>
      <c r="BO42" s="792"/>
      <c r="BP42" s="828"/>
      <c r="BQ42" s="792"/>
      <c r="BR42" s="828"/>
      <c r="BS42" s="792"/>
      <c r="BT42" s="828"/>
      <c r="BU42" s="792"/>
      <c r="BV42" s="828"/>
      <c r="BW42" s="792"/>
      <c r="BX42" s="828"/>
      <c r="BY42" s="792"/>
      <c r="BZ42" s="828"/>
      <c r="CA42" s="792">
        <v>224</v>
      </c>
      <c r="CB42" s="828"/>
      <c r="CC42" s="792">
        <v>148</v>
      </c>
      <c r="CD42" s="828"/>
      <c r="CE42" s="792">
        <v>144</v>
      </c>
      <c r="CF42" s="828"/>
      <c r="CG42" s="792">
        <v>140</v>
      </c>
      <c r="CH42" s="828"/>
      <c r="CI42" s="792">
        <v>136</v>
      </c>
      <c r="CJ42" s="828"/>
      <c r="CK42" s="792">
        <v>132</v>
      </c>
      <c r="CL42" s="828"/>
      <c r="CM42" s="792">
        <v>129</v>
      </c>
      <c r="CN42" s="828"/>
      <c r="CO42" s="792">
        <v>127</v>
      </c>
      <c r="CP42" s="828"/>
      <c r="CQ42" s="792">
        <v>123</v>
      </c>
      <c r="CR42" s="828"/>
      <c r="CS42" s="792">
        <v>121</v>
      </c>
      <c r="CT42" s="828"/>
      <c r="CU42" s="792"/>
      <c r="CV42" s="828"/>
      <c r="CW42" s="792"/>
      <c r="CX42" s="828"/>
      <c r="CY42" s="792"/>
      <c r="CZ42" s="828"/>
      <c r="DA42" s="792"/>
      <c r="DB42" s="828"/>
      <c r="DC42" s="792"/>
      <c r="DD42" s="828"/>
      <c r="DE42" s="829"/>
      <c r="DF42" s="559"/>
      <c r="DG42" s="821"/>
      <c r="DH42" s="896" t="s">
        <v>424</v>
      </c>
      <c r="DI42" s="893"/>
      <c r="DJ42" s="893"/>
      <c r="DK42" s="894"/>
      <c r="DL42" s="895"/>
      <c r="DM42" s="825"/>
      <c r="DN42" s="826"/>
      <c r="DO42" s="827"/>
      <c r="DP42" s="792"/>
      <c r="DQ42" s="828"/>
      <c r="DR42" s="792"/>
      <c r="DS42" s="828"/>
      <c r="DT42" s="792"/>
      <c r="DU42" s="828"/>
      <c r="DV42" s="792"/>
      <c r="DW42" s="828"/>
      <c r="DX42" s="792"/>
      <c r="DY42" s="828"/>
      <c r="DZ42" s="792"/>
      <c r="EA42" s="828"/>
      <c r="EB42" s="792"/>
      <c r="EC42" s="828"/>
      <c r="ED42" s="792">
        <v>224</v>
      </c>
      <c r="EE42" s="828"/>
      <c r="EF42" s="792">
        <v>148</v>
      </c>
      <c r="EG42" s="828"/>
      <c r="EH42" s="792">
        <v>144</v>
      </c>
      <c r="EI42" s="828"/>
      <c r="EJ42" s="792">
        <v>140</v>
      </c>
      <c r="EK42" s="828"/>
      <c r="EL42" s="792">
        <v>136</v>
      </c>
      <c r="EM42" s="828"/>
      <c r="EN42" s="792">
        <v>132</v>
      </c>
      <c r="EO42" s="828"/>
      <c r="EP42" s="792">
        <v>129</v>
      </c>
      <c r="EQ42" s="828"/>
      <c r="ER42" s="792">
        <v>127</v>
      </c>
      <c r="ES42" s="828"/>
      <c r="ET42" s="792">
        <v>123</v>
      </c>
      <c r="EU42" s="828"/>
      <c r="EV42" s="792">
        <v>121</v>
      </c>
      <c r="EW42" s="828"/>
      <c r="EX42" s="792"/>
      <c r="EY42" s="828"/>
      <c r="EZ42" s="792"/>
      <c r="FA42" s="828"/>
      <c r="FB42" s="792"/>
      <c r="FC42" s="828"/>
      <c r="FD42" s="792"/>
      <c r="FE42" s="828"/>
      <c r="FF42" s="792"/>
      <c r="FG42" s="828"/>
      <c r="FH42" s="829"/>
      <c r="FI42" s="560"/>
      <c r="FJ42" s="830"/>
      <c r="FK42" s="896" t="s">
        <v>424</v>
      </c>
      <c r="FL42" s="893"/>
      <c r="FM42" s="893"/>
      <c r="FN42" s="894"/>
      <c r="FO42" s="895"/>
      <c r="FP42" s="831"/>
      <c r="FQ42" s="827"/>
      <c r="FR42" s="826">
        <v>990</v>
      </c>
      <c r="FS42" s="832"/>
      <c r="FT42" s="827"/>
      <c r="FU42" s="798">
        <v>990</v>
      </c>
      <c r="FV42" s="590"/>
      <c r="FW42" s="591"/>
      <c r="FX42" s="799"/>
      <c r="FY42" s="593"/>
      <c r="FZ42" s="800"/>
      <c r="GA42" s="595"/>
      <c r="GB42" s="801"/>
      <c r="GC42" s="597"/>
      <c r="GD42" s="801"/>
      <c r="GE42" s="598"/>
      <c r="GF42" s="833"/>
      <c r="GG42" s="599"/>
      <c r="GH42" s="599"/>
      <c r="GI42" s="599"/>
      <c r="GJ42" s="410"/>
      <c r="GK42" s="897"/>
      <c r="GL42" s="898"/>
      <c r="GM42" s="899">
        <v>7</v>
      </c>
      <c r="GN42" s="899"/>
      <c r="GO42" s="899">
        <v>10</v>
      </c>
      <c r="GP42" s="899"/>
      <c r="GQ42" s="899">
        <v>17</v>
      </c>
      <c r="GR42" s="900"/>
      <c r="GS42" s="577"/>
      <c r="GT42" s="497"/>
      <c r="GU42" s="497"/>
      <c r="GV42" s="497"/>
      <c r="GW42" s="576"/>
      <c r="GX42" s="576"/>
      <c r="GY42" s="576"/>
      <c r="GZ42" s="575"/>
      <c r="HA42" s="497"/>
      <c r="HB42" s="497"/>
      <c r="HC42" s="527"/>
      <c r="HD42" s="527"/>
    </row>
    <row r="43" spans="1:219" ht="20.100000000000001" customHeight="1">
      <c r="A43" s="821"/>
      <c r="B43" s="901" t="s">
        <v>425</v>
      </c>
      <c r="C43" s="902"/>
      <c r="D43" s="902"/>
      <c r="E43" s="902"/>
      <c r="F43" s="903"/>
      <c r="G43" s="687"/>
      <c r="H43" s="904">
        <v>0</v>
      </c>
      <c r="I43" s="688"/>
      <c r="J43" s="904">
        <v>0</v>
      </c>
      <c r="K43" s="688"/>
      <c r="L43" s="904">
        <v>0</v>
      </c>
      <c r="M43" s="688"/>
      <c r="N43" s="904">
        <v>0</v>
      </c>
      <c r="O43" s="688"/>
      <c r="P43" s="904">
        <v>0</v>
      </c>
      <c r="Q43" s="688"/>
      <c r="R43" s="904">
        <v>0</v>
      </c>
      <c r="S43" s="688"/>
      <c r="T43" s="904">
        <v>0</v>
      </c>
      <c r="U43" s="688"/>
      <c r="V43" s="904">
        <v>0</v>
      </c>
      <c r="W43" s="905"/>
      <c r="X43" s="904">
        <v>0</v>
      </c>
      <c r="Y43" s="688"/>
      <c r="Z43" s="904">
        <v>0</v>
      </c>
      <c r="AA43" s="688"/>
      <c r="AB43" s="904">
        <v>0</v>
      </c>
      <c r="AC43" s="688"/>
      <c r="AD43" s="904">
        <v>0</v>
      </c>
      <c r="AE43" s="688"/>
      <c r="AF43" s="904">
        <v>0</v>
      </c>
      <c r="AG43" s="688"/>
      <c r="AH43" s="904">
        <v>0</v>
      </c>
      <c r="AI43" s="688"/>
      <c r="AJ43" s="904">
        <v>0</v>
      </c>
      <c r="AK43" s="688"/>
      <c r="AL43" s="904">
        <v>0</v>
      </c>
      <c r="AM43" s="688"/>
      <c r="AN43" s="904">
        <v>0</v>
      </c>
      <c r="AO43" s="688"/>
      <c r="AP43" s="904">
        <v>0</v>
      </c>
      <c r="AQ43" s="688"/>
      <c r="AR43" s="904">
        <v>0</v>
      </c>
      <c r="AS43" s="688"/>
      <c r="AT43" s="904">
        <v>0</v>
      </c>
      <c r="AU43" s="688"/>
      <c r="AV43" s="904">
        <v>0</v>
      </c>
      <c r="AW43" s="688"/>
      <c r="AX43" s="904">
        <v>0</v>
      </c>
      <c r="AY43" s="688"/>
      <c r="AZ43" s="904">
        <v>0</v>
      </c>
      <c r="BA43" s="688"/>
      <c r="BB43" s="871">
        <v>0</v>
      </c>
      <c r="BC43" s="559"/>
      <c r="BD43" s="821"/>
      <c r="BE43" s="906" t="s">
        <v>425</v>
      </c>
      <c r="BF43" s="902"/>
      <c r="BG43" s="902"/>
      <c r="BH43" s="902"/>
      <c r="BI43" s="903"/>
      <c r="BJ43" s="687"/>
      <c r="BK43" s="904">
        <v>0</v>
      </c>
      <c r="BL43" s="688"/>
      <c r="BM43" s="904">
        <v>0</v>
      </c>
      <c r="BN43" s="688"/>
      <c r="BO43" s="904">
        <v>0</v>
      </c>
      <c r="BP43" s="688"/>
      <c r="BQ43" s="904">
        <v>0</v>
      </c>
      <c r="BR43" s="688"/>
      <c r="BS43" s="904">
        <v>0</v>
      </c>
      <c r="BT43" s="688"/>
      <c r="BU43" s="904">
        <v>0</v>
      </c>
      <c r="BV43" s="688"/>
      <c r="BW43" s="904">
        <v>0</v>
      </c>
      <c r="BX43" s="688"/>
      <c r="BY43" s="904">
        <v>0</v>
      </c>
      <c r="BZ43" s="905"/>
      <c r="CA43" s="904">
        <v>0</v>
      </c>
      <c r="CB43" s="688"/>
      <c r="CC43" s="904">
        <v>0</v>
      </c>
      <c r="CD43" s="688"/>
      <c r="CE43" s="904">
        <v>0</v>
      </c>
      <c r="CF43" s="688"/>
      <c r="CG43" s="904">
        <v>0</v>
      </c>
      <c r="CH43" s="688"/>
      <c r="CI43" s="904">
        <v>0</v>
      </c>
      <c r="CJ43" s="688"/>
      <c r="CK43" s="904">
        <v>0</v>
      </c>
      <c r="CL43" s="688"/>
      <c r="CM43" s="904">
        <v>0</v>
      </c>
      <c r="CN43" s="688"/>
      <c r="CO43" s="904">
        <v>0</v>
      </c>
      <c r="CP43" s="688"/>
      <c r="CQ43" s="904">
        <v>0</v>
      </c>
      <c r="CR43" s="688"/>
      <c r="CS43" s="904">
        <v>0</v>
      </c>
      <c r="CT43" s="688"/>
      <c r="CU43" s="904">
        <v>0</v>
      </c>
      <c r="CV43" s="688"/>
      <c r="CW43" s="904">
        <v>0</v>
      </c>
      <c r="CX43" s="688"/>
      <c r="CY43" s="904">
        <v>0</v>
      </c>
      <c r="CZ43" s="688"/>
      <c r="DA43" s="904">
        <v>0</v>
      </c>
      <c r="DB43" s="688"/>
      <c r="DC43" s="904">
        <v>0</v>
      </c>
      <c r="DD43" s="688"/>
      <c r="DE43" s="871">
        <v>0</v>
      </c>
      <c r="DF43" s="559"/>
      <c r="DG43" s="821"/>
      <c r="DH43" s="906" t="s">
        <v>425</v>
      </c>
      <c r="DI43" s="902"/>
      <c r="DJ43" s="902"/>
      <c r="DK43" s="902"/>
      <c r="DL43" s="903"/>
      <c r="DM43" s="687"/>
      <c r="DN43" s="904">
        <v>0</v>
      </c>
      <c r="DO43" s="688"/>
      <c r="DP43" s="904">
        <v>0</v>
      </c>
      <c r="DQ43" s="688"/>
      <c r="DR43" s="904">
        <v>0</v>
      </c>
      <c r="DS43" s="688"/>
      <c r="DT43" s="904">
        <v>0</v>
      </c>
      <c r="DU43" s="688"/>
      <c r="DV43" s="904">
        <v>0</v>
      </c>
      <c r="DW43" s="688"/>
      <c r="DX43" s="904">
        <v>0</v>
      </c>
      <c r="DY43" s="688"/>
      <c r="DZ43" s="904">
        <v>0</v>
      </c>
      <c r="EA43" s="688"/>
      <c r="EB43" s="904">
        <v>0</v>
      </c>
      <c r="EC43" s="905"/>
      <c r="ED43" s="904">
        <v>0</v>
      </c>
      <c r="EE43" s="688"/>
      <c r="EF43" s="904">
        <v>0</v>
      </c>
      <c r="EG43" s="688"/>
      <c r="EH43" s="904">
        <v>0</v>
      </c>
      <c r="EI43" s="688"/>
      <c r="EJ43" s="904">
        <v>0</v>
      </c>
      <c r="EK43" s="688"/>
      <c r="EL43" s="904">
        <v>0</v>
      </c>
      <c r="EM43" s="688"/>
      <c r="EN43" s="904">
        <v>0</v>
      </c>
      <c r="EO43" s="688"/>
      <c r="EP43" s="904">
        <v>0</v>
      </c>
      <c r="EQ43" s="688"/>
      <c r="ER43" s="904">
        <v>0</v>
      </c>
      <c r="ES43" s="688"/>
      <c r="ET43" s="904">
        <v>0</v>
      </c>
      <c r="EU43" s="688"/>
      <c r="EV43" s="904">
        <v>0</v>
      </c>
      <c r="EW43" s="688"/>
      <c r="EX43" s="904">
        <v>0</v>
      </c>
      <c r="EY43" s="688"/>
      <c r="EZ43" s="904">
        <v>0</v>
      </c>
      <c r="FA43" s="688"/>
      <c r="FB43" s="904">
        <v>0</v>
      </c>
      <c r="FC43" s="688"/>
      <c r="FD43" s="904">
        <v>0</v>
      </c>
      <c r="FE43" s="688"/>
      <c r="FF43" s="904">
        <v>0</v>
      </c>
      <c r="FG43" s="688"/>
      <c r="FH43" s="871">
        <v>0</v>
      </c>
      <c r="FI43" s="560"/>
      <c r="FJ43" s="830"/>
      <c r="FK43" s="906" t="s">
        <v>425</v>
      </c>
      <c r="FL43" s="902"/>
      <c r="FM43" s="902"/>
      <c r="FN43" s="902"/>
      <c r="FO43" s="903"/>
      <c r="FP43" s="689"/>
      <c r="FQ43" s="690"/>
      <c r="FR43" s="584">
        <v>0</v>
      </c>
      <c r="FS43" s="691"/>
      <c r="FT43" s="690"/>
      <c r="FU43" s="589">
        <v>0</v>
      </c>
      <c r="FV43" s="907"/>
      <c r="FW43" s="908"/>
      <c r="FX43" s="909"/>
      <c r="FY43" s="910"/>
      <c r="FZ43" s="911"/>
      <c r="GA43" s="912"/>
      <c r="GB43" s="913"/>
      <c r="GC43" s="914"/>
      <c r="GD43" s="913"/>
      <c r="GE43" s="915"/>
      <c r="GF43" s="681"/>
      <c r="GG43" s="599"/>
      <c r="GH43" s="599"/>
      <c r="GI43" s="599"/>
      <c r="GJ43" s="916"/>
      <c r="GK43" s="917" t="s">
        <v>500</v>
      </c>
      <c r="GL43" s="918"/>
      <c r="GM43" s="919" t="s">
        <v>501</v>
      </c>
      <c r="GN43" s="919"/>
      <c r="GO43" s="919" t="s">
        <v>502</v>
      </c>
      <c r="GP43" s="919"/>
      <c r="GQ43" s="919"/>
      <c r="GR43" s="920"/>
      <c r="GS43" s="577"/>
      <c r="GT43" s="606"/>
      <c r="GU43" s="527" t="s">
        <v>472</v>
      </c>
      <c r="GV43" s="414"/>
      <c r="GW43" s="410"/>
      <c r="GX43" s="414"/>
      <c r="GY43" s="414"/>
      <c r="GZ43" s="414"/>
      <c r="HA43" s="410"/>
      <c r="HB43" s="414"/>
      <c r="HC43" s="921"/>
      <c r="HD43" s="416"/>
    </row>
    <row r="44" spans="1:219" ht="20.100000000000001" customHeight="1" thickBot="1">
      <c r="A44" s="922"/>
      <c r="B44" s="639"/>
      <c r="C44" s="639"/>
      <c r="D44" s="640" t="s">
        <v>426</v>
      </c>
      <c r="E44" s="639"/>
      <c r="F44" s="639"/>
      <c r="G44" s="834"/>
      <c r="H44" s="835">
        <v>0</v>
      </c>
      <c r="I44" s="836"/>
      <c r="J44" s="837">
        <v>0</v>
      </c>
      <c r="K44" s="838"/>
      <c r="L44" s="837">
        <v>0</v>
      </c>
      <c r="M44" s="838"/>
      <c r="N44" s="837">
        <v>0</v>
      </c>
      <c r="O44" s="838"/>
      <c r="P44" s="837">
        <v>0</v>
      </c>
      <c r="Q44" s="838"/>
      <c r="R44" s="837">
        <v>0</v>
      </c>
      <c r="S44" s="838"/>
      <c r="T44" s="837">
        <v>0</v>
      </c>
      <c r="U44" s="838"/>
      <c r="V44" s="837">
        <v>0</v>
      </c>
      <c r="W44" s="838"/>
      <c r="X44" s="837">
        <v>224</v>
      </c>
      <c r="Y44" s="838"/>
      <c r="Z44" s="837">
        <v>148</v>
      </c>
      <c r="AA44" s="838"/>
      <c r="AB44" s="837">
        <v>144</v>
      </c>
      <c r="AC44" s="838"/>
      <c r="AD44" s="837">
        <v>140</v>
      </c>
      <c r="AE44" s="838"/>
      <c r="AF44" s="837">
        <v>136</v>
      </c>
      <c r="AG44" s="838"/>
      <c r="AH44" s="837">
        <v>132</v>
      </c>
      <c r="AI44" s="838"/>
      <c r="AJ44" s="837">
        <v>129</v>
      </c>
      <c r="AK44" s="838"/>
      <c r="AL44" s="837">
        <v>127</v>
      </c>
      <c r="AM44" s="838"/>
      <c r="AN44" s="837">
        <v>123</v>
      </c>
      <c r="AO44" s="838"/>
      <c r="AP44" s="837">
        <v>121</v>
      </c>
      <c r="AQ44" s="838"/>
      <c r="AR44" s="837">
        <v>0</v>
      </c>
      <c r="AS44" s="838"/>
      <c r="AT44" s="837">
        <v>0</v>
      </c>
      <c r="AU44" s="838"/>
      <c r="AV44" s="837">
        <v>0</v>
      </c>
      <c r="AW44" s="838"/>
      <c r="AX44" s="837">
        <v>0</v>
      </c>
      <c r="AY44" s="838"/>
      <c r="AZ44" s="837">
        <v>0</v>
      </c>
      <c r="BA44" s="838"/>
      <c r="BB44" s="839">
        <v>0</v>
      </c>
      <c r="BC44" s="645"/>
      <c r="BD44" s="922"/>
      <c r="BE44" s="639"/>
      <c r="BF44" s="639"/>
      <c r="BG44" s="640" t="s">
        <v>426</v>
      </c>
      <c r="BH44" s="639"/>
      <c r="BI44" s="639"/>
      <c r="BJ44" s="834"/>
      <c r="BK44" s="835">
        <v>0</v>
      </c>
      <c r="BL44" s="836"/>
      <c r="BM44" s="837">
        <v>0</v>
      </c>
      <c r="BN44" s="838"/>
      <c r="BO44" s="837">
        <v>0</v>
      </c>
      <c r="BP44" s="838"/>
      <c r="BQ44" s="837">
        <v>0</v>
      </c>
      <c r="BR44" s="838"/>
      <c r="BS44" s="837">
        <v>0</v>
      </c>
      <c r="BT44" s="838"/>
      <c r="BU44" s="837">
        <v>0</v>
      </c>
      <c r="BV44" s="838"/>
      <c r="BW44" s="837">
        <v>0</v>
      </c>
      <c r="BX44" s="838"/>
      <c r="BY44" s="837">
        <v>0</v>
      </c>
      <c r="BZ44" s="838"/>
      <c r="CA44" s="837">
        <v>224</v>
      </c>
      <c r="CB44" s="838"/>
      <c r="CC44" s="837">
        <v>148</v>
      </c>
      <c r="CD44" s="838"/>
      <c r="CE44" s="837">
        <v>144</v>
      </c>
      <c r="CF44" s="838"/>
      <c r="CG44" s="837">
        <v>140</v>
      </c>
      <c r="CH44" s="838"/>
      <c r="CI44" s="837">
        <v>136</v>
      </c>
      <c r="CJ44" s="838"/>
      <c r="CK44" s="837">
        <v>132</v>
      </c>
      <c r="CL44" s="838"/>
      <c r="CM44" s="837">
        <v>129</v>
      </c>
      <c r="CN44" s="838"/>
      <c r="CO44" s="837">
        <v>127</v>
      </c>
      <c r="CP44" s="838"/>
      <c r="CQ44" s="837">
        <v>123</v>
      </c>
      <c r="CR44" s="838"/>
      <c r="CS44" s="837">
        <v>121</v>
      </c>
      <c r="CT44" s="838"/>
      <c r="CU44" s="837">
        <v>0</v>
      </c>
      <c r="CV44" s="838"/>
      <c r="CW44" s="837">
        <v>0</v>
      </c>
      <c r="CX44" s="838"/>
      <c r="CY44" s="837">
        <v>0</v>
      </c>
      <c r="CZ44" s="838"/>
      <c r="DA44" s="837">
        <v>0</v>
      </c>
      <c r="DB44" s="838"/>
      <c r="DC44" s="837">
        <v>0</v>
      </c>
      <c r="DD44" s="838"/>
      <c r="DE44" s="839">
        <v>0</v>
      </c>
      <c r="DF44" s="645"/>
      <c r="DG44" s="922"/>
      <c r="DH44" s="639"/>
      <c r="DI44" s="639"/>
      <c r="DJ44" s="640" t="s">
        <v>426</v>
      </c>
      <c r="DK44" s="639"/>
      <c r="DL44" s="639"/>
      <c r="DM44" s="834"/>
      <c r="DN44" s="835">
        <v>0</v>
      </c>
      <c r="DO44" s="836"/>
      <c r="DP44" s="837">
        <v>0</v>
      </c>
      <c r="DQ44" s="838"/>
      <c r="DR44" s="837">
        <v>0</v>
      </c>
      <c r="DS44" s="838"/>
      <c r="DT44" s="837">
        <v>0</v>
      </c>
      <c r="DU44" s="838"/>
      <c r="DV44" s="837">
        <v>0</v>
      </c>
      <c r="DW44" s="838"/>
      <c r="DX44" s="837">
        <v>0</v>
      </c>
      <c r="DY44" s="838"/>
      <c r="DZ44" s="837">
        <v>0</v>
      </c>
      <c r="EA44" s="838"/>
      <c r="EB44" s="837">
        <v>0</v>
      </c>
      <c r="EC44" s="838"/>
      <c r="ED44" s="837">
        <v>224</v>
      </c>
      <c r="EE44" s="838"/>
      <c r="EF44" s="837">
        <v>148</v>
      </c>
      <c r="EG44" s="838"/>
      <c r="EH44" s="837">
        <v>144</v>
      </c>
      <c r="EI44" s="838"/>
      <c r="EJ44" s="837">
        <v>140</v>
      </c>
      <c r="EK44" s="838"/>
      <c r="EL44" s="837">
        <v>136</v>
      </c>
      <c r="EM44" s="838"/>
      <c r="EN44" s="837">
        <v>132</v>
      </c>
      <c r="EO44" s="838"/>
      <c r="EP44" s="837">
        <v>129</v>
      </c>
      <c r="EQ44" s="838"/>
      <c r="ER44" s="837">
        <v>127</v>
      </c>
      <c r="ES44" s="838"/>
      <c r="ET44" s="837">
        <v>123</v>
      </c>
      <c r="EU44" s="838"/>
      <c r="EV44" s="837">
        <v>121</v>
      </c>
      <c r="EW44" s="838"/>
      <c r="EX44" s="837">
        <v>0</v>
      </c>
      <c r="EY44" s="838"/>
      <c r="EZ44" s="837">
        <v>0</v>
      </c>
      <c r="FA44" s="838"/>
      <c r="FB44" s="837">
        <v>0</v>
      </c>
      <c r="FC44" s="838"/>
      <c r="FD44" s="837">
        <v>0</v>
      </c>
      <c r="FE44" s="838"/>
      <c r="FF44" s="837">
        <v>0</v>
      </c>
      <c r="FG44" s="838"/>
      <c r="FH44" s="839">
        <v>0</v>
      </c>
      <c r="FI44" s="646"/>
      <c r="FJ44" s="923"/>
      <c r="FK44" s="639"/>
      <c r="FL44" s="639"/>
      <c r="FM44" s="640" t="s">
        <v>426</v>
      </c>
      <c r="FN44" s="639"/>
      <c r="FO44" s="639"/>
      <c r="FP44" s="647"/>
      <c r="FQ44" s="836"/>
      <c r="FR44" s="835">
        <v>990</v>
      </c>
      <c r="FS44" s="840"/>
      <c r="FT44" s="836"/>
      <c r="FU44" s="841">
        <v>990</v>
      </c>
      <c r="FV44" s="590" t="s">
        <v>327</v>
      </c>
      <c r="FW44" s="591"/>
      <c r="FX44" s="799" t="s">
        <v>328</v>
      </c>
      <c r="FY44" s="593"/>
      <c r="FZ44" s="800" t="s">
        <v>329</v>
      </c>
      <c r="GA44" s="595"/>
      <c r="GB44" s="801" t="s">
        <v>330</v>
      </c>
      <c r="GC44" s="597"/>
      <c r="GD44" s="801" t="s">
        <v>331</v>
      </c>
      <c r="GE44" s="598"/>
      <c r="GF44" s="651"/>
      <c r="GG44" s="652"/>
      <c r="GH44" s="652"/>
      <c r="GI44" s="652"/>
      <c r="GJ44" s="527"/>
      <c r="GK44" s="897"/>
      <c r="GL44" s="898"/>
      <c r="GM44" s="924">
        <v>4.5999999999999996</v>
      </c>
      <c r="GN44" s="924"/>
      <c r="GO44" s="924">
        <v>7</v>
      </c>
      <c r="GP44" s="924"/>
      <c r="GQ44" s="899">
        <v>11.6</v>
      </c>
      <c r="GR44" s="900"/>
      <c r="GS44" s="925"/>
      <c r="GT44" s="926"/>
      <c r="GU44" s="527" t="s">
        <v>503</v>
      </c>
      <c r="GV44" s="612"/>
      <c r="GW44" s="612"/>
      <c r="GX44" s="612"/>
      <c r="GY44" s="414"/>
      <c r="GZ44" s="414"/>
      <c r="HA44" s="744">
        <v>1.5</v>
      </c>
      <c r="HB44" s="414" t="s">
        <v>475</v>
      </c>
      <c r="HC44" s="927"/>
      <c r="HD44" s="416"/>
    </row>
    <row r="45" spans="1:219" ht="20.100000000000001" customHeight="1" thickTop="1">
      <c r="A45" s="928" t="s">
        <v>427</v>
      </c>
      <c r="B45" s="929"/>
      <c r="C45" s="929"/>
      <c r="D45" s="929"/>
      <c r="E45" s="929"/>
      <c r="F45" s="930"/>
      <c r="G45" s="931"/>
      <c r="H45" s="932">
        <v>0</v>
      </c>
      <c r="I45" s="933"/>
      <c r="J45" s="932">
        <v>0</v>
      </c>
      <c r="K45" s="933"/>
      <c r="L45" s="932">
        <v>0</v>
      </c>
      <c r="M45" s="933"/>
      <c r="N45" s="932">
        <v>0</v>
      </c>
      <c r="O45" s="933"/>
      <c r="P45" s="932">
        <v>0</v>
      </c>
      <c r="Q45" s="933"/>
      <c r="R45" s="932">
        <v>0</v>
      </c>
      <c r="S45" s="933"/>
      <c r="T45" s="932">
        <v>0</v>
      </c>
      <c r="U45" s="933"/>
      <c r="V45" s="932">
        <v>0</v>
      </c>
      <c r="W45" s="933"/>
      <c r="X45" s="932">
        <v>922</v>
      </c>
      <c r="Y45" s="933"/>
      <c r="Z45" s="932">
        <v>892</v>
      </c>
      <c r="AA45" s="933"/>
      <c r="AB45" s="932">
        <v>912</v>
      </c>
      <c r="AC45" s="933"/>
      <c r="AD45" s="932">
        <v>922</v>
      </c>
      <c r="AE45" s="933"/>
      <c r="AF45" s="932">
        <v>933</v>
      </c>
      <c r="AG45" s="933"/>
      <c r="AH45" s="932">
        <v>933</v>
      </c>
      <c r="AI45" s="933"/>
      <c r="AJ45" s="932">
        <v>911</v>
      </c>
      <c r="AK45" s="933"/>
      <c r="AL45" s="932">
        <v>902</v>
      </c>
      <c r="AM45" s="933"/>
      <c r="AN45" s="932">
        <v>868</v>
      </c>
      <c r="AO45" s="933"/>
      <c r="AP45" s="932">
        <v>846</v>
      </c>
      <c r="AQ45" s="933"/>
      <c r="AR45" s="932">
        <v>0</v>
      </c>
      <c r="AS45" s="933"/>
      <c r="AT45" s="932">
        <v>0</v>
      </c>
      <c r="AU45" s="933"/>
      <c r="AV45" s="932">
        <v>0</v>
      </c>
      <c r="AW45" s="933"/>
      <c r="AX45" s="932">
        <v>0</v>
      </c>
      <c r="AY45" s="933"/>
      <c r="AZ45" s="932">
        <v>0</v>
      </c>
      <c r="BA45" s="933"/>
      <c r="BB45" s="934">
        <v>0</v>
      </c>
      <c r="BC45" s="645"/>
      <c r="BD45" s="928" t="s">
        <v>427</v>
      </c>
      <c r="BE45" s="929"/>
      <c r="BF45" s="929"/>
      <c r="BG45" s="929"/>
      <c r="BH45" s="929"/>
      <c r="BI45" s="930"/>
      <c r="BJ45" s="931"/>
      <c r="BK45" s="932">
        <v>0</v>
      </c>
      <c r="BL45" s="933"/>
      <c r="BM45" s="932">
        <v>0</v>
      </c>
      <c r="BN45" s="933"/>
      <c r="BO45" s="932">
        <v>0</v>
      </c>
      <c r="BP45" s="933"/>
      <c r="BQ45" s="932">
        <v>0</v>
      </c>
      <c r="BR45" s="933"/>
      <c r="BS45" s="932">
        <v>0</v>
      </c>
      <c r="BT45" s="933"/>
      <c r="BU45" s="932">
        <v>0</v>
      </c>
      <c r="BV45" s="933"/>
      <c r="BW45" s="932">
        <v>0</v>
      </c>
      <c r="BX45" s="933"/>
      <c r="BY45" s="932">
        <v>0</v>
      </c>
      <c r="BZ45" s="933"/>
      <c r="CA45" s="932">
        <v>910</v>
      </c>
      <c r="CB45" s="933"/>
      <c r="CC45" s="932">
        <v>869</v>
      </c>
      <c r="CD45" s="933"/>
      <c r="CE45" s="932">
        <v>901</v>
      </c>
      <c r="CF45" s="933"/>
      <c r="CG45" s="932">
        <v>910</v>
      </c>
      <c r="CH45" s="933"/>
      <c r="CI45" s="932">
        <v>917</v>
      </c>
      <c r="CJ45" s="933"/>
      <c r="CK45" s="932">
        <v>908</v>
      </c>
      <c r="CL45" s="933"/>
      <c r="CM45" s="932">
        <v>898</v>
      </c>
      <c r="CN45" s="933"/>
      <c r="CO45" s="932">
        <v>888</v>
      </c>
      <c r="CP45" s="933"/>
      <c r="CQ45" s="932">
        <v>868</v>
      </c>
      <c r="CR45" s="933"/>
      <c r="CS45" s="932">
        <v>836</v>
      </c>
      <c r="CT45" s="933"/>
      <c r="CU45" s="932">
        <v>0</v>
      </c>
      <c r="CV45" s="933"/>
      <c r="CW45" s="932">
        <v>0</v>
      </c>
      <c r="CX45" s="933"/>
      <c r="CY45" s="932">
        <v>0</v>
      </c>
      <c r="CZ45" s="933"/>
      <c r="DA45" s="932">
        <v>0</v>
      </c>
      <c r="DB45" s="933"/>
      <c r="DC45" s="932">
        <v>0</v>
      </c>
      <c r="DD45" s="933"/>
      <c r="DE45" s="934">
        <v>0</v>
      </c>
      <c r="DF45" s="645"/>
      <c r="DG45" s="928" t="s">
        <v>427</v>
      </c>
      <c r="DH45" s="929"/>
      <c r="DI45" s="929"/>
      <c r="DJ45" s="929"/>
      <c r="DK45" s="929"/>
      <c r="DL45" s="930"/>
      <c r="DM45" s="931"/>
      <c r="DN45" s="932">
        <v>0</v>
      </c>
      <c r="DO45" s="933"/>
      <c r="DP45" s="932">
        <v>0</v>
      </c>
      <c r="DQ45" s="933"/>
      <c r="DR45" s="932">
        <v>0</v>
      </c>
      <c r="DS45" s="933"/>
      <c r="DT45" s="932">
        <v>0</v>
      </c>
      <c r="DU45" s="933"/>
      <c r="DV45" s="932">
        <v>0</v>
      </c>
      <c r="DW45" s="933"/>
      <c r="DX45" s="932">
        <v>0</v>
      </c>
      <c r="DY45" s="933"/>
      <c r="DZ45" s="932">
        <v>0</v>
      </c>
      <c r="EA45" s="933"/>
      <c r="EB45" s="932">
        <v>0</v>
      </c>
      <c r="EC45" s="933"/>
      <c r="ED45" s="932">
        <v>819</v>
      </c>
      <c r="EE45" s="933"/>
      <c r="EF45" s="932">
        <v>787</v>
      </c>
      <c r="EG45" s="933"/>
      <c r="EH45" s="932">
        <v>818</v>
      </c>
      <c r="EI45" s="933"/>
      <c r="EJ45" s="932">
        <v>838</v>
      </c>
      <c r="EK45" s="933"/>
      <c r="EL45" s="932">
        <v>840</v>
      </c>
      <c r="EM45" s="933"/>
      <c r="EN45" s="932">
        <v>829</v>
      </c>
      <c r="EO45" s="933"/>
      <c r="EP45" s="932">
        <v>821</v>
      </c>
      <c r="EQ45" s="933"/>
      <c r="ER45" s="932">
        <v>817</v>
      </c>
      <c r="ES45" s="933"/>
      <c r="ET45" s="932">
        <v>785</v>
      </c>
      <c r="EU45" s="933"/>
      <c r="EV45" s="932">
        <v>754</v>
      </c>
      <c r="EW45" s="933"/>
      <c r="EX45" s="932">
        <v>0</v>
      </c>
      <c r="EY45" s="933"/>
      <c r="EZ45" s="932">
        <v>0</v>
      </c>
      <c r="FA45" s="933"/>
      <c r="FB45" s="932">
        <v>0</v>
      </c>
      <c r="FC45" s="933"/>
      <c r="FD45" s="932">
        <v>0</v>
      </c>
      <c r="FE45" s="933"/>
      <c r="FF45" s="932">
        <v>0</v>
      </c>
      <c r="FG45" s="933"/>
      <c r="FH45" s="934">
        <v>0</v>
      </c>
      <c r="FI45" s="645"/>
      <c r="FJ45" s="928" t="s">
        <v>427</v>
      </c>
      <c r="FK45" s="929"/>
      <c r="FL45" s="929"/>
      <c r="FM45" s="929"/>
      <c r="FN45" s="929"/>
      <c r="FO45" s="930"/>
      <c r="FP45" s="935"/>
      <c r="FQ45" s="936"/>
      <c r="FR45" s="932">
        <v>1834</v>
      </c>
      <c r="FS45" s="937"/>
      <c r="FT45" s="936"/>
      <c r="FU45" s="938">
        <v>1850</v>
      </c>
      <c r="FV45" s="590"/>
      <c r="FW45" s="591"/>
      <c r="FX45" s="799"/>
      <c r="FY45" s="593"/>
      <c r="FZ45" s="800"/>
      <c r="GA45" s="595"/>
      <c r="GB45" s="801"/>
      <c r="GC45" s="597"/>
      <c r="GD45" s="801"/>
      <c r="GE45" s="598"/>
      <c r="GF45" s="651"/>
      <c r="GG45" s="652"/>
      <c r="GH45" s="652"/>
      <c r="GI45" s="652"/>
      <c r="GJ45" s="497"/>
      <c r="GK45" s="939"/>
      <c r="GL45" s="939"/>
      <c r="GM45" s="940"/>
      <c r="GN45" s="940"/>
      <c r="GO45" s="941"/>
      <c r="GP45" s="939"/>
      <c r="GQ45" s="939"/>
      <c r="GR45" s="939"/>
      <c r="GS45" s="942"/>
      <c r="GT45" s="850"/>
      <c r="GU45" s="527" t="s">
        <v>504</v>
      </c>
      <c r="GV45" s="414"/>
      <c r="GW45" s="414"/>
      <c r="GX45" s="414"/>
      <c r="GY45" s="527"/>
      <c r="GZ45" s="726"/>
      <c r="HA45" s="744">
        <v>22</v>
      </c>
      <c r="HB45" s="414" t="s">
        <v>475</v>
      </c>
      <c r="HC45" s="927"/>
      <c r="HD45" s="416"/>
    </row>
    <row r="46" spans="1:219" ht="20.100000000000001" customHeight="1">
      <c r="A46" s="943" t="s">
        <v>428</v>
      </c>
      <c r="B46" s="944"/>
      <c r="C46" s="944"/>
      <c r="D46" s="944"/>
      <c r="E46" s="944"/>
      <c r="F46" s="945"/>
      <c r="G46" s="946" t="s">
        <v>429</v>
      </c>
      <c r="H46" s="947"/>
      <c r="I46" s="948" t="s">
        <v>429</v>
      </c>
      <c r="J46" s="947"/>
      <c r="K46" s="948" t="s">
        <v>429</v>
      </c>
      <c r="L46" s="947"/>
      <c r="M46" s="948" t="s">
        <v>429</v>
      </c>
      <c r="N46" s="947"/>
      <c r="O46" s="948" t="s">
        <v>429</v>
      </c>
      <c r="P46" s="947"/>
      <c r="Q46" s="948" t="s">
        <v>429</v>
      </c>
      <c r="R46" s="947"/>
      <c r="S46" s="948" t="s">
        <v>429</v>
      </c>
      <c r="T46" s="947"/>
      <c r="U46" s="948" t="s">
        <v>429</v>
      </c>
      <c r="V46" s="947"/>
      <c r="W46" s="948" t="s">
        <v>429</v>
      </c>
      <c r="X46" s="947"/>
      <c r="Y46" s="948" t="s">
        <v>429</v>
      </c>
      <c r="Z46" s="947"/>
      <c r="AA46" s="948" t="s">
        <v>429</v>
      </c>
      <c r="AB46" s="947"/>
      <c r="AC46" s="948" t="s">
        <v>429</v>
      </c>
      <c r="AD46" s="947"/>
      <c r="AE46" s="948" t="s">
        <v>429</v>
      </c>
      <c r="AF46" s="947"/>
      <c r="AG46" s="948" t="s">
        <v>429</v>
      </c>
      <c r="AH46" s="947"/>
      <c r="AI46" s="948" t="s">
        <v>429</v>
      </c>
      <c r="AJ46" s="947"/>
      <c r="AK46" s="948" t="s">
        <v>429</v>
      </c>
      <c r="AL46" s="947"/>
      <c r="AM46" s="948" t="s">
        <v>429</v>
      </c>
      <c r="AN46" s="947"/>
      <c r="AO46" s="948" t="s">
        <v>429</v>
      </c>
      <c r="AP46" s="947"/>
      <c r="AQ46" s="948" t="s">
        <v>429</v>
      </c>
      <c r="AR46" s="947"/>
      <c r="AS46" s="948" t="s">
        <v>429</v>
      </c>
      <c r="AT46" s="947"/>
      <c r="AU46" s="948" t="s">
        <v>429</v>
      </c>
      <c r="AV46" s="947"/>
      <c r="AW46" s="948" t="s">
        <v>429</v>
      </c>
      <c r="AX46" s="947"/>
      <c r="AY46" s="948" t="s">
        <v>429</v>
      </c>
      <c r="AZ46" s="949"/>
      <c r="BA46" s="950" t="s">
        <v>429</v>
      </c>
      <c r="BB46" s="951"/>
      <c r="BC46" s="952"/>
      <c r="BD46" s="943" t="s">
        <v>428</v>
      </c>
      <c r="BE46" s="944"/>
      <c r="BF46" s="944"/>
      <c r="BG46" s="944"/>
      <c r="BH46" s="944"/>
      <c r="BI46" s="945"/>
      <c r="BJ46" s="946" t="s">
        <v>429</v>
      </c>
      <c r="BK46" s="947"/>
      <c r="BL46" s="948" t="s">
        <v>429</v>
      </c>
      <c r="BM46" s="947"/>
      <c r="BN46" s="948" t="s">
        <v>429</v>
      </c>
      <c r="BO46" s="947"/>
      <c r="BP46" s="948" t="s">
        <v>429</v>
      </c>
      <c r="BQ46" s="947"/>
      <c r="BR46" s="948" t="s">
        <v>429</v>
      </c>
      <c r="BS46" s="947"/>
      <c r="BT46" s="948" t="s">
        <v>429</v>
      </c>
      <c r="BU46" s="947"/>
      <c r="BV46" s="948" t="s">
        <v>429</v>
      </c>
      <c r="BW46" s="947"/>
      <c r="BX46" s="948" t="s">
        <v>429</v>
      </c>
      <c r="BY46" s="947"/>
      <c r="BZ46" s="948" t="s">
        <v>429</v>
      </c>
      <c r="CA46" s="947"/>
      <c r="CB46" s="948" t="s">
        <v>429</v>
      </c>
      <c r="CC46" s="947"/>
      <c r="CD46" s="948" t="s">
        <v>429</v>
      </c>
      <c r="CE46" s="947"/>
      <c r="CF46" s="948" t="s">
        <v>429</v>
      </c>
      <c r="CG46" s="947"/>
      <c r="CH46" s="948" t="s">
        <v>429</v>
      </c>
      <c r="CI46" s="947"/>
      <c r="CJ46" s="948" t="s">
        <v>429</v>
      </c>
      <c r="CK46" s="947"/>
      <c r="CL46" s="948" t="s">
        <v>429</v>
      </c>
      <c r="CM46" s="947"/>
      <c r="CN46" s="948" t="s">
        <v>429</v>
      </c>
      <c r="CO46" s="947"/>
      <c r="CP46" s="948" t="s">
        <v>429</v>
      </c>
      <c r="CQ46" s="947"/>
      <c r="CR46" s="948" t="s">
        <v>429</v>
      </c>
      <c r="CS46" s="947"/>
      <c r="CT46" s="948" t="s">
        <v>429</v>
      </c>
      <c r="CU46" s="947"/>
      <c r="CV46" s="948" t="s">
        <v>429</v>
      </c>
      <c r="CW46" s="947"/>
      <c r="CX46" s="948" t="s">
        <v>429</v>
      </c>
      <c r="CY46" s="947"/>
      <c r="CZ46" s="948" t="s">
        <v>429</v>
      </c>
      <c r="DA46" s="947"/>
      <c r="DB46" s="948" t="s">
        <v>429</v>
      </c>
      <c r="DC46" s="949"/>
      <c r="DD46" s="950" t="s">
        <v>429</v>
      </c>
      <c r="DE46" s="951"/>
      <c r="DF46" s="952"/>
      <c r="DG46" s="943" t="s">
        <v>428</v>
      </c>
      <c r="DH46" s="944"/>
      <c r="DI46" s="944"/>
      <c r="DJ46" s="944"/>
      <c r="DK46" s="944"/>
      <c r="DL46" s="945"/>
      <c r="DM46" s="946" t="s">
        <v>429</v>
      </c>
      <c r="DN46" s="947"/>
      <c r="DO46" s="948" t="s">
        <v>429</v>
      </c>
      <c r="DP46" s="947"/>
      <c r="DQ46" s="948" t="s">
        <v>429</v>
      </c>
      <c r="DR46" s="947"/>
      <c r="DS46" s="948" t="s">
        <v>429</v>
      </c>
      <c r="DT46" s="947"/>
      <c r="DU46" s="948" t="s">
        <v>429</v>
      </c>
      <c r="DV46" s="947"/>
      <c r="DW46" s="948" t="s">
        <v>429</v>
      </c>
      <c r="DX46" s="947"/>
      <c r="DY46" s="948" t="s">
        <v>429</v>
      </c>
      <c r="DZ46" s="947"/>
      <c r="EA46" s="948" t="s">
        <v>429</v>
      </c>
      <c r="EB46" s="947"/>
      <c r="EC46" s="948" t="s">
        <v>429</v>
      </c>
      <c r="ED46" s="947"/>
      <c r="EE46" s="948" t="s">
        <v>429</v>
      </c>
      <c r="EF46" s="947"/>
      <c r="EG46" s="948" t="s">
        <v>429</v>
      </c>
      <c r="EH46" s="947"/>
      <c r="EI46" s="948" t="s">
        <v>429</v>
      </c>
      <c r="EJ46" s="947"/>
      <c r="EK46" s="948" t="s">
        <v>429</v>
      </c>
      <c r="EL46" s="947"/>
      <c r="EM46" s="948" t="s">
        <v>429</v>
      </c>
      <c r="EN46" s="947"/>
      <c r="EO46" s="948" t="s">
        <v>429</v>
      </c>
      <c r="EP46" s="947"/>
      <c r="EQ46" s="948" t="s">
        <v>429</v>
      </c>
      <c r="ER46" s="947"/>
      <c r="ES46" s="948" t="s">
        <v>429</v>
      </c>
      <c r="ET46" s="947"/>
      <c r="EU46" s="948" t="s">
        <v>429</v>
      </c>
      <c r="EV46" s="947"/>
      <c r="EW46" s="948" t="s">
        <v>429</v>
      </c>
      <c r="EX46" s="947"/>
      <c r="EY46" s="948" t="s">
        <v>429</v>
      </c>
      <c r="EZ46" s="947"/>
      <c r="FA46" s="948" t="s">
        <v>429</v>
      </c>
      <c r="FB46" s="947"/>
      <c r="FC46" s="948" t="s">
        <v>429</v>
      </c>
      <c r="FD46" s="947"/>
      <c r="FE46" s="948" t="s">
        <v>429</v>
      </c>
      <c r="FF46" s="949"/>
      <c r="FG46" s="950" t="s">
        <v>429</v>
      </c>
      <c r="FH46" s="951"/>
      <c r="FI46" s="952"/>
      <c r="FJ46" s="943" t="s">
        <v>547</v>
      </c>
      <c r="FK46" s="944"/>
      <c r="FL46" s="944"/>
      <c r="FM46" s="944"/>
      <c r="FN46" s="944"/>
      <c r="FO46" s="945"/>
      <c r="FP46" s="953"/>
      <c r="FQ46" s="954">
        <v>1</v>
      </c>
      <c r="FR46" s="947"/>
      <c r="FS46" s="955"/>
      <c r="FT46" s="956">
        <v>1</v>
      </c>
      <c r="FU46" s="957"/>
      <c r="FV46" s="907"/>
      <c r="FW46" s="908"/>
      <c r="FX46" s="909"/>
      <c r="FY46" s="910"/>
      <c r="FZ46" s="911"/>
      <c r="GA46" s="912"/>
      <c r="GB46" s="913"/>
      <c r="GC46" s="914"/>
      <c r="GD46" s="913"/>
      <c r="GE46" s="915"/>
      <c r="GF46" s="681"/>
      <c r="GG46" s="958"/>
      <c r="GH46" s="958"/>
      <c r="GI46" s="958"/>
      <c r="GJ46" s="414"/>
      <c r="GK46" s="410" t="s">
        <v>505</v>
      </c>
      <c r="GL46" s="414"/>
      <c r="GM46" s="743"/>
      <c r="GN46" s="743"/>
      <c r="GO46" s="743"/>
      <c r="GP46" s="743"/>
      <c r="GQ46" s="743"/>
      <c r="GR46" s="850"/>
      <c r="GS46" s="577"/>
      <c r="GT46" s="756"/>
      <c r="GU46" s="767" t="s">
        <v>506</v>
      </c>
      <c r="GV46" s="767"/>
      <c r="GW46" s="767"/>
      <c r="GX46" s="767"/>
      <c r="GY46" s="612"/>
      <c r="GZ46" s="768"/>
      <c r="HA46" s="744">
        <v>20.5</v>
      </c>
      <c r="HB46" s="414" t="s">
        <v>475</v>
      </c>
      <c r="HC46" s="927"/>
      <c r="HD46" s="416"/>
    </row>
    <row r="47" spans="1:219" ht="20.100000000000001" customHeight="1" thickBot="1">
      <c r="A47" s="959" t="s">
        <v>432</v>
      </c>
      <c r="B47" s="960"/>
      <c r="C47" s="960"/>
      <c r="D47" s="961"/>
      <c r="E47" s="962"/>
      <c r="F47" s="962"/>
      <c r="G47" s="963"/>
      <c r="H47" s="964">
        <v>0</v>
      </c>
      <c r="I47" s="965"/>
      <c r="J47" s="964">
        <v>0</v>
      </c>
      <c r="K47" s="965"/>
      <c r="L47" s="964">
        <v>0</v>
      </c>
      <c r="M47" s="965"/>
      <c r="N47" s="964">
        <v>0</v>
      </c>
      <c r="O47" s="965"/>
      <c r="P47" s="964">
        <v>0</v>
      </c>
      <c r="Q47" s="965"/>
      <c r="R47" s="964">
        <v>0</v>
      </c>
      <c r="S47" s="965"/>
      <c r="T47" s="964">
        <v>0</v>
      </c>
      <c r="U47" s="965"/>
      <c r="V47" s="964">
        <v>0</v>
      </c>
      <c r="W47" s="965"/>
      <c r="X47" s="964">
        <v>968</v>
      </c>
      <c r="Y47" s="965"/>
      <c r="Z47" s="964">
        <v>937</v>
      </c>
      <c r="AA47" s="965"/>
      <c r="AB47" s="964">
        <v>958</v>
      </c>
      <c r="AC47" s="965"/>
      <c r="AD47" s="964">
        <v>968</v>
      </c>
      <c r="AE47" s="965"/>
      <c r="AF47" s="964">
        <v>980</v>
      </c>
      <c r="AG47" s="965"/>
      <c r="AH47" s="964">
        <v>980</v>
      </c>
      <c r="AI47" s="965"/>
      <c r="AJ47" s="964">
        <v>957</v>
      </c>
      <c r="AK47" s="965"/>
      <c r="AL47" s="964">
        <v>947</v>
      </c>
      <c r="AM47" s="965"/>
      <c r="AN47" s="964">
        <v>911</v>
      </c>
      <c r="AO47" s="965"/>
      <c r="AP47" s="964">
        <v>888</v>
      </c>
      <c r="AQ47" s="965"/>
      <c r="AR47" s="964">
        <v>0</v>
      </c>
      <c r="AS47" s="965"/>
      <c r="AT47" s="964">
        <v>0</v>
      </c>
      <c r="AU47" s="965"/>
      <c r="AV47" s="964">
        <v>0</v>
      </c>
      <c r="AW47" s="965"/>
      <c r="AX47" s="964">
        <v>0</v>
      </c>
      <c r="AY47" s="966"/>
      <c r="AZ47" s="967">
        <v>0</v>
      </c>
      <c r="BA47" s="968"/>
      <c r="BB47" s="969">
        <v>0</v>
      </c>
      <c r="BC47" s="970"/>
      <c r="BD47" s="959" t="s">
        <v>432</v>
      </c>
      <c r="BE47" s="960"/>
      <c r="BF47" s="960"/>
      <c r="BG47" s="961"/>
      <c r="BH47" s="962"/>
      <c r="BI47" s="962"/>
      <c r="BJ47" s="963"/>
      <c r="BK47" s="964">
        <v>0</v>
      </c>
      <c r="BL47" s="965"/>
      <c r="BM47" s="964">
        <v>0</v>
      </c>
      <c r="BN47" s="965"/>
      <c r="BO47" s="964">
        <v>0</v>
      </c>
      <c r="BP47" s="965"/>
      <c r="BQ47" s="964">
        <v>0</v>
      </c>
      <c r="BR47" s="965"/>
      <c r="BS47" s="964">
        <v>0</v>
      </c>
      <c r="BT47" s="965"/>
      <c r="BU47" s="964">
        <v>0</v>
      </c>
      <c r="BV47" s="965"/>
      <c r="BW47" s="964">
        <v>0</v>
      </c>
      <c r="BX47" s="965"/>
      <c r="BY47" s="964">
        <v>0</v>
      </c>
      <c r="BZ47" s="965"/>
      <c r="CA47" s="964">
        <v>956</v>
      </c>
      <c r="CB47" s="965"/>
      <c r="CC47" s="964">
        <v>912</v>
      </c>
      <c r="CD47" s="965"/>
      <c r="CE47" s="964">
        <v>946</v>
      </c>
      <c r="CF47" s="965"/>
      <c r="CG47" s="964">
        <v>956</v>
      </c>
      <c r="CH47" s="965"/>
      <c r="CI47" s="964">
        <v>963</v>
      </c>
      <c r="CJ47" s="965"/>
      <c r="CK47" s="964">
        <v>953</v>
      </c>
      <c r="CL47" s="965"/>
      <c r="CM47" s="964">
        <v>943</v>
      </c>
      <c r="CN47" s="965"/>
      <c r="CO47" s="964">
        <v>932</v>
      </c>
      <c r="CP47" s="965"/>
      <c r="CQ47" s="964">
        <v>911</v>
      </c>
      <c r="CR47" s="965"/>
      <c r="CS47" s="964">
        <v>878</v>
      </c>
      <c r="CT47" s="965"/>
      <c r="CU47" s="964">
        <v>0</v>
      </c>
      <c r="CV47" s="965"/>
      <c r="CW47" s="964">
        <v>0</v>
      </c>
      <c r="CX47" s="965"/>
      <c r="CY47" s="964">
        <v>0</v>
      </c>
      <c r="CZ47" s="965"/>
      <c r="DA47" s="964">
        <v>0</v>
      </c>
      <c r="DB47" s="966"/>
      <c r="DC47" s="967">
        <v>0</v>
      </c>
      <c r="DD47" s="968"/>
      <c r="DE47" s="969">
        <v>0</v>
      </c>
      <c r="DF47" s="970"/>
      <c r="DG47" s="959" t="s">
        <v>432</v>
      </c>
      <c r="DH47" s="960"/>
      <c r="DI47" s="960"/>
      <c r="DJ47" s="961"/>
      <c r="DK47" s="962"/>
      <c r="DL47" s="962"/>
      <c r="DM47" s="963"/>
      <c r="DN47" s="964">
        <v>0</v>
      </c>
      <c r="DO47" s="965"/>
      <c r="DP47" s="964">
        <v>0</v>
      </c>
      <c r="DQ47" s="965"/>
      <c r="DR47" s="964">
        <v>0</v>
      </c>
      <c r="DS47" s="965"/>
      <c r="DT47" s="964">
        <v>0</v>
      </c>
      <c r="DU47" s="965"/>
      <c r="DV47" s="964">
        <v>0</v>
      </c>
      <c r="DW47" s="965"/>
      <c r="DX47" s="964">
        <v>0</v>
      </c>
      <c r="DY47" s="965"/>
      <c r="DZ47" s="964">
        <v>0</v>
      </c>
      <c r="EA47" s="965"/>
      <c r="EB47" s="964">
        <v>0</v>
      </c>
      <c r="EC47" s="965"/>
      <c r="ED47" s="964">
        <v>860</v>
      </c>
      <c r="EE47" s="965"/>
      <c r="EF47" s="964">
        <v>826</v>
      </c>
      <c r="EG47" s="965"/>
      <c r="EH47" s="964">
        <v>859</v>
      </c>
      <c r="EI47" s="965"/>
      <c r="EJ47" s="964">
        <v>880</v>
      </c>
      <c r="EK47" s="965"/>
      <c r="EL47" s="964">
        <v>882</v>
      </c>
      <c r="EM47" s="965"/>
      <c r="EN47" s="964">
        <v>870</v>
      </c>
      <c r="EO47" s="965"/>
      <c r="EP47" s="964">
        <v>862</v>
      </c>
      <c r="EQ47" s="965"/>
      <c r="ER47" s="964">
        <v>858</v>
      </c>
      <c r="ES47" s="965"/>
      <c r="ET47" s="964">
        <v>824</v>
      </c>
      <c r="EU47" s="965"/>
      <c r="EV47" s="964">
        <v>792</v>
      </c>
      <c r="EW47" s="965"/>
      <c r="EX47" s="964">
        <v>0</v>
      </c>
      <c r="EY47" s="965"/>
      <c r="EZ47" s="964">
        <v>0</v>
      </c>
      <c r="FA47" s="965"/>
      <c r="FB47" s="964">
        <v>0</v>
      </c>
      <c r="FC47" s="965"/>
      <c r="FD47" s="964">
        <v>0</v>
      </c>
      <c r="FE47" s="966"/>
      <c r="FF47" s="967">
        <v>0</v>
      </c>
      <c r="FG47" s="968"/>
      <c r="FH47" s="969">
        <v>0</v>
      </c>
      <c r="FI47" s="970"/>
      <c r="FJ47" s="959" t="s">
        <v>432</v>
      </c>
      <c r="FK47" s="960"/>
      <c r="FL47" s="960"/>
      <c r="FM47" s="961"/>
      <c r="FN47" s="962"/>
      <c r="FO47" s="962"/>
      <c r="FP47" s="971"/>
      <c r="FQ47" s="972"/>
      <c r="FR47" s="964">
        <v>1834</v>
      </c>
      <c r="FS47" s="973"/>
      <c r="FT47" s="972"/>
      <c r="FU47" s="974">
        <v>1850</v>
      </c>
      <c r="FV47" s="975">
        <v>14</v>
      </c>
      <c r="FW47" s="964">
        <v>980</v>
      </c>
      <c r="FX47" s="976">
        <v>13</v>
      </c>
      <c r="FY47" s="964">
        <v>963</v>
      </c>
      <c r="FZ47" s="976">
        <v>13</v>
      </c>
      <c r="GA47" s="964">
        <v>882</v>
      </c>
      <c r="GB47" s="977" t="s">
        <v>536</v>
      </c>
      <c r="GC47" s="964">
        <v>980</v>
      </c>
      <c r="GD47" s="977" t="s">
        <v>360</v>
      </c>
      <c r="GE47" s="978">
        <v>1850</v>
      </c>
      <c r="GF47" s="681"/>
      <c r="GG47" s="979"/>
      <c r="GH47" s="979"/>
      <c r="GI47" s="979"/>
      <c r="GJ47" s="882"/>
      <c r="GK47" s="414" t="s">
        <v>507</v>
      </c>
      <c r="GL47" s="882"/>
      <c r="GM47" s="527"/>
      <c r="GN47" s="882"/>
      <c r="GO47" s="527"/>
      <c r="GP47" s="527"/>
      <c r="GQ47" s="527"/>
      <c r="GR47" s="882"/>
      <c r="GS47" s="527"/>
      <c r="GT47" s="756"/>
      <c r="GU47" s="767" t="s">
        <v>508</v>
      </c>
      <c r="GV47" s="767"/>
      <c r="GW47" s="767"/>
      <c r="GX47" s="767"/>
      <c r="GY47" s="527"/>
      <c r="GZ47" s="414"/>
      <c r="HA47" s="771">
        <v>0</v>
      </c>
      <c r="HB47" s="414"/>
      <c r="HC47" s="970"/>
      <c r="HD47" s="416"/>
    </row>
    <row r="48" spans="1:219" ht="20.100000000000001" customHeight="1">
      <c r="A48" s="980" t="s">
        <v>433</v>
      </c>
      <c r="B48" s="981" t="s">
        <v>434</v>
      </c>
      <c r="C48" s="884"/>
      <c r="D48" s="814"/>
      <c r="E48" s="814"/>
      <c r="F48" s="815"/>
      <c r="G48" s="733" t="s">
        <v>435</v>
      </c>
      <c r="H48" s="660" t="s">
        <v>398</v>
      </c>
      <c r="I48" s="735" t="s">
        <v>435</v>
      </c>
      <c r="J48" s="982" t="s">
        <v>398</v>
      </c>
      <c r="K48" s="735" t="s">
        <v>435</v>
      </c>
      <c r="L48" s="982" t="s">
        <v>398</v>
      </c>
      <c r="M48" s="735" t="s">
        <v>435</v>
      </c>
      <c r="N48" s="982" t="s">
        <v>398</v>
      </c>
      <c r="O48" s="735" t="s">
        <v>435</v>
      </c>
      <c r="P48" s="982" t="s">
        <v>398</v>
      </c>
      <c r="Q48" s="735" t="s">
        <v>435</v>
      </c>
      <c r="R48" s="982" t="s">
        <v>398</v>
      </c>
      <c r="S48" s="735" t="s">
        <v>435</v>
      </c>
      <c r="T48" s="982" t="s">
        <v>398</v>
      </c>
      <c r="U48" s="735" t="s">
        <v>435</v>
      </c>
      <c r="V48" s="982" t="s">
        <v>398</v>
      </c>
      <c r="W48" s="735" t="s">
        <v>435</v>
      </c>
      <c r="X48" s="982" t="s">
        <v>398</v>
      </c>
      <c r="Y48" s="735" t="s">
        <v>435</v>
      </c>
      <c r="Z48" s="982" t="s">
        <v>398</v>
      </c>
      <c r="AA48" s="735" t="s">
        <v>435</v>
      </c>
      <c r="AB48" s="982" t="s">
        <v>398</v>
      </c>
      <c r="AC48" s="735" t="s">
        <v>435</v>
      </c>
      <c r="AD48" s="982" t="s">
        <v>398</v>
      </c>
      <c r="AE48" s="735" t="s">
        <v>435</v>
      </c>
      <c r="AF48" s="982" t="s">
        <v>398</v>
      </c>
      <c r="AG48" s="735" t="s">
        <v>435</v>
      </c>
      <c r="AH48" s="982" t="s">
        <v>398</v>
      </c>
      <c r="AI48" s="735" t="s">
        <v>435</v>
      </c>
      <c r="AJ48" s="982" t="s">
        <v>398</v>
      </c>
      <c r="AK48" s="735" t="s">
        <v>435</v>
      </c>
      <c r="AL48" s="982" t="s">
        <v>398</v>
      </c>
      <c r="AM48" s="735" t="s">
        <v>435</v>
      </c>
      <c r="AN48" s="982" t="s">
        <v>398</v>
      </c>
      <c r="AO48" s="735" t="s">
        <v>435</v>
      </c>
      <c r="AP48" s="982" t="s">
        <v>398</v>
      </c>
      <c r="AQ48" s="735" t="s">
        <v>435</v>
      </c>
      <c r="AR48" s="982" t="s">
        <v>398</v>
      </c>
      <c r="AS48" s="735" t="s">
        <v>435</v>
      </c>
      <c r="AT48" s="982" t="s">
        <v>398</v>
      </c>
      <c r="AU48" s="735" t="s">
        <v>435</v>
      </c>
      <c r="AV48" s="982" t="s">
        <v>398</v>
      </c>
      <c r="AW48" s="735" t="s">
        <v>435</v>
      </c>
      <c r="AX48" s="982" t="s">
        <v>398</v>
      </c>
      <c r="AY48" s="735" t="s">
        <v>435</v>
      </c>
      <c r="AZ48" s="983" t="s">
        <v>398</v>
      </c>
      <c r="BA48" s="984" t="s">
        <v>435</v>
      </c>
      <c r="BB48" s="985" t="s">
        <v>398</v>
      </c>
      <c r="BC48" s="921"/>
      <c r="BD48" s="980" t="s">
        <v>433</v>
      </c>
      <c r="BE48" s="981" t="s">
        <v>434</v>
      </c>
      <c r="BF48" s="884"/>
      <c r="BG48" s="814"/>
      <c r="BH48" s="814"/>
      <c r="BI48" s="815"/>
      <c r="BJ48" s="733" t="s">
        <v>435</v>
      </c>
      <c r="BK48" s="660" t="s">
        <v>398</v>
      </c>
      <c r="BL48" s="735" t="s">
        <v>435</v>
      </c>
      <c r="BM48" s="982" t="s">
        <v>398</v>
      </c>
      <c r="BN48" s="735" t="s">
        <v>435</v>
      </c>
      <c r="BO48" s="982" t="s">
        <v>398</v>
      </c>
      <c r="BP48" s="735" t="s">
        <v>435</v>
      </c>
      <c r="BQ48" s="982" t="s">
        <v>398</v>
      </c>
      <c r="BR48" s="735" t="s">
        <v>435</v>
      </c>
      <c r="BS48" s="982" t="s">
        <v>398</v>
      </c>
      <c r="BT48" s="735" t="s">
        <v>435</v>
      </c>
      <c r="BU48" s="982" t="s">
        <v>398</v>
      </c>
      <c r="BV48" s="735" t="s">
        <v>435</v>
      </c>
      <c r="BW48" s="982" t="s">
        <v>398</v>
      </c>
      <c r="BX48" s="735" t="s">
        <v>435</v>
      </c>
      <c r="BY48" s="982" t="s">
        <v>398</v>
      </c>
      <c r="BZ48" s="735" t="s">
        <v>435</v>
      </c>
      <c r="CA48" s="982" t="s">
        <v>398</v>
      </c>
      <c r="CB48" s="735" t="s">
        <v>435</v>
      </c>
      <c r="CC48" s="982" t="s">
        <v>398</v>
      </c>
      <c r="CD48" s="735" t="s">
        <v>435</v>
      </c>
      <c r="CE48" s="982" t="s">
        <v>398</v>
      </c>
      <c r="CF48" s="735" t="s">
        <v>435</v>
      </c>
      <c r="CG48" s="982" t="s">
        <v>398</v>
      </c>
      <c r="CH48" s="735" t="s">
        <v>435</v>
      </c>
      <c r="CI48" s="982" t="s">
        <v>398</v>
      </c>
      <c r="CJ48" s="735" t="s">
        <v>435</v>
      </c>
      <c r="CK48" s="982" t="s">
        <v>398</v>
      </c>
      <c r="CL48" s="735" t="s">
        <v>435</v>
      </c>
      <c r="CM48" s="982" t="s">
        <v>398</v>
      </c>
      <c r="CN48" s="735" t="s">
        <v>435</v>
      </c>
      <c r="CO48" s="982" t="s">
        <v>398</v>
      </c>
      <c r="CP48" s="735" t="s">
        <v>435</v>
      </c>
      <c r="CQ48" s="982" t="s">
        <v>398</v>
      </c>
      <c r="CR48" s="735" t="s">
        <v>435</v>
      </c>
      <c r="CS48" s="982" t="s">
        <v>398</v>
      </c>
      <c r="CT48" s="735" t="s">
        <v>435</v>
      </c>
      <c r="CU48" s="982" t="s">
        <v>398</v>
      </c>
      <c r="CV48" s="735" t="s">
        <v>435</v>
      </c>
      <c r="CW48" s="982" t="s">
        <v>398</v>
      </c>
      <c r="CX48" s="735" t="s">
        <v>435</v>
      </c>
      <c r="CY48" s="982" t="s">
        <v>398</v>
      </c>
      <c r="CZ48" s="735" t="s">
        <v>435</v>
      </c>
      <c r="DA48" s="982" t="s">
        <v>398</v>
      </c>
      <c r="DB48" s="735" t="s">
        <v>435</v>
      </c>
      <c r="DC48" s="983" t="s">
        <v>398</v>
      </c>
      <c r="DD48" s="984" t="s">
        <v>435</v>
      </c>
      <c r="DE48" s="985" t="s">
        <v>398</v>
      </c>
      <c r="DF48" s="921"/>
      <c r="DG48" s="980" t="s">
        <v>433</v>
      </c>
      <c r="DH48" s="981" t="s">
        <v>434</v>
      </c>
      <c r="DI48" s="884"/>
      <c r="DJ48" s="814"/>
      <c r="DK48" s="814"/>
      <c r="DL48" s="815"/>
      <c r="DM48" s="733" t="s">
        <v>435</v>
      </c>
      <c r="DN48" s="660" t="s">
        <v>398</v>
      </c>
      <c r="DO48" s="735" t="s">
        <v>435</v>
      </c>
      <c r="DP48" s="982" t="s">
        <v>398</v>
      </c>
      <c r="DQ48" s="735" t="s">
        <v>435</v>
      </c>
      <c r="DR48" s="982" t="s">
        <v>398</v>
      </c>
      <c r="DS48" s="735" t="s">
        <v>435</v>
      </c>
      <c r="DT48" s="982" t="s">
        <v>398</v>
      </c>
      <c r="DU48" s="735" t="s">
        <v>435</v>
      </c>
      <c r="DV48" s="982" t="s">
        <v>398</v>
      </c>
      <c r="DW48" s="735" t="s">
        <v>435</v>
      </c>
      <c r="DX48" s="982" t="s">
        <v>398</v>
      </c>
      <c r="DY48" s="735" t="s">
        <v>435</v>
      </c>
      <c r="DZ48" s="982" t="s">
        <v>398</v>
      </c>
      <c r="EA48" s="735" t="s">
        <v>435</v>
      </c>
      <c r="EB48" s="982" t="s">
        <v>398</v>
      </c>
      <c r="EC48" s="735" t="s">
        <v>435</v>
      </c>
      <c r="ED48" s="982" t="s">
        <v>398</v>
      </c>
      <c r="EE48" s="735" t="s">
        <v>435</v>
      </c>
      <c r="EF48" s="982" t="s">
        <v>398</v>
      </c>
      <c r="EG48" s="735" t="s">
        <v>435</v>
      </c>
      <c r="EH48" s="982" t="s">
        <v>398</v>
      </c>
      <c r="EI48" s="735" t="s">
        <v>435</v>
      </c>
      <c r="EJ48" s="982" t="s">
        <v>398</v>
      </c>
      <c r="EK48" s="735" t="s">
        <v>435</v>
      </c>
      <c r="EL48" s="982" t="s">
        <v>398</v>
      </c>
      <c r="EM48" s="735" t="s">
        <v>435</v>
      </c>
      <c r="EN48" s="982" t="s">
        <v>398</v>
      </c>
      <c r="EO48" s="735" t="s">
        <v>435</v>
      </c>
      <c r="EP48" s="982" t="s">
        <v>398</v>
      </c>
      <c r="EQ48" s="735" t="s">
        <v>435</v>
      </c>
      <c r="ER48" s="982" t="s">
        <v>398</v>
      </c>
      <c r="ES48" s="735" t="s">
        <v>435</v>
      </c>
      <c r="ET48" s="982" t="s">
        <v>398</v>
      </c>
      <c r="EU48" s="735" t="s">
        <v>435</v>
      </c>
      <c r="EV48" s="982" t="s">
        <v>398</v>
      </c>
      <c r="EW48" s="735" t="s">
        <v>435</v>
      </c>
      <c r="EX48" s="982" t="s">
        <v>398</v>
      </c>
      <c r="EY48" s="735" t="s">
        <v>435</v>
      </c>
      <c r="EZ48" s="982" t="s">
        <v>398</v>
      </c>
      <c r="FA48" s="735" t="s">
        <v>435</v>
      </c>
      <c r="FB48" s="982" t="s">
        <v>398</v>
      </c>
      <c r="FC48" s="735" t="s">
        <v>435</v>
      </c>
      <c r="FD48" s="982" t="s">
        <v>398</v>
      </c>
      <c r="FE48" s="735" t="s">
        <v>435</v>
      </c>
      <c r="FF48" s="983" t="s">
        <v>398</v>
      </c>
      <c r="FG48" s="984" t="s">
        <v>435</v>
      </c>
      <c r="FH48" s="985" t="s">
        <v>398</v>
      </c>
      <c r="FI48" s="921"/>
      <c r="FJ48" s="980" t="s">
        <v>433</v>
      </c>
      <c r="FK48" s="731" t="s">
        <v>434</v>
      </c>
      <c r="FL48" s="884"/>
      <c r="FM48" s="814"/>
      <c r="FN48" s="814"/>
      <c r="FO48" s="815"/>
      <c r="FP48" s="740" t="s">
        <v>401</v>
      </c>
      <c r="FQ48" s="666" t="s">
        <v>435</v>
      </c>
      <c r="FR48" s="660" t="s">
        <v>402</v>
      </c>
      <c r="FS48" s="986" t="s">
        <v>401</v>
      </c>
      <c r="FT48" s="666" t="s">
        <v>435</v>
      </c>
      <c r="FU48" s="987" t="s">
        <v>402</v>
      </c>
      <c r="FV48" s="988"/>
      <c r="FW48" s="982" t="s">
        <v>322</v>
      </c>
      <c r="FX48" s="986"/>
      <c r="FY48" s="982" t="s">
        <v>322</v>
      </c>
      <c r="FZ48" s="986"/>
      <c r="GA48" s="982" t="s">
        <v>322</v>
      </c>
      <c r="GB48" s="986"/>
      <c r="GC48" s="982" t="s">
        <v>322</v>
      </c>
      <c r="GD48" s="986"/>
      <c r="GE48" s="989" t="s">
        <v>324</v>
      </c>
      <c r="GF48" s="681"/>
      <c r="GG48" s="652"/>
      <c r="GH48" s="652"/>
      <c r="GI48" s="652"/>
      <c r="GJ48" s="527"/>
      <c r="GK48" s="612" t="s">
        <v>509</v>
      </c>
      <c r="GL48" s="527"/>
      <c r="GM48" s="612"/>
      <c r="GN48" s="527"/>
      <c r="GO48" s="612"/>
      <c r="GP48" s="612"/>
      <c r="GQ48" s="612"/>
      <c r="GR48" s="527"/>
      <c r="GS48" s="527"/>
      <c r="GT48" s="497"/>
      <c r="GU48" s="497"/>
      <c r="GV48" s="497"/>
      <c r="GW48" s="576"/>
      <c r="GX48" s="576"/>
      <c r="GY48" s="576"/>
      <c r="GZ48" s="575"/>
      <c r="HA48" s="497"/>
      <c r="HB48" s="497"/>
      <c r="HC48" s="970"/>
      <c r="HD48" s="416"/>
    </row>
    <row r="49" spans="1:212" ht="20.100000000000001" customHeight="1">
      <c r="A49" s="990"/>
      <c r="B49" s="745" t="s">
        <v>403</v>
      </c>
      <c r="C49" s="991"/>
      <c r="D49" s="747">
        <v>53</v>
      </c>
      <c r="E49" s="748">
        <v>4</v>
      </c>
      <c r="F49" s="992" t="s">
        <v>404</v>
      </c>
      <c r="G49" s="750"/>
      <c r="H49" s="556"/>
      <c r="I49" s="751"/>
      <c r="J49" s="556"/>
      <c r="K49" s="751"/>
      <c r="L49" s="556"/>
      <c r="M49" s="751"/>
      <c r="N49" s="556"/>
      <c r="O49" s="751"/>
      <c r="P49" s="556"/>
      <c r="Q49" s="751"/>
      <c r="R49" s="556"/>
      <c r="S49" s="751"/>
      <c r="T49" s="556"/>
      <c r="U49" s="751"/>
      <c r="V49" s="556"/>
      <c r="W49" s="751">
        <v>1</v>
      </c>
      <c r="X49" s="556">
        <v>212</v>
      </c>
      <c r="Y49" s="751">
        <v>1</v>
      </c>
      <c r="Z49" s="556">
        <v>212</v>
      </c>
      <c r="AA49" s="751">
        <v>1</v>
      </c>
      <c r="AB49" s="556">
        <v>212</v>
      </c>
      <c r="AC49" s="751">
        <v>1</v>
      </c>
      <c r="AD49" s="556">
        <v>212</v>
      </c>
      <c r="AE49" s="751">
        <v>1</v>
      </c>
      <c r="AF49" s="556">
        <v>212</v>
      </c>
      <c r="AG49" s="751">
        <v>1</v>
      </c>
      <c r="AH49" s="556">
        <v>212</v>
      </c>
      <c r="AI49" s="751">
        <v>1</v>
      </c>
      <c r="AJ49" s="556">
        <v>212</v>
      </c>
      <c r="AK49" s="751">
        <v>1</v>
      </c>
      <c r="AL49" s="556">
        <v>212</v>
      </c>
      <c r="AM49" s="751">
        <v>1</v>
      </c>
      <c r="AN49" s="556">
        <v>212</v>
      </c>
      <c r="AO49" s="751">
        <v>1</v>
      </c>
      <c r="AP49" s="556">
        <v>212</v>
      </c>
      <c r="AQ49" s="751"/>
      <c r="AR49" s="556"/>
      <c r="AS49" s="751"/>
      <c r="AT49" s="556"/>
      <c r="AU49" s="751"/>
      <c r="AV49" s="556"/>
      <c r="AW49" s="751"/>
      <c r="AX49" s="556"/>
      <c r="AY49" s="993"/>
      <c r="AZ49" s="994"/>
      <c r="BA49" s="995"/>
      <c r="BB49" s="996"/>
      <c r="BC49" s="927"/>
      <c r="BD49" s="990"/>
      <c r="BE49" s="745" t="s">
        <v>403</v>
      </c>
      <c r="BF49" s="991"/>
      <c r="BG49" s="747"/>
      <c r="BH49" s="748">
        <v>4</v>
      </c>
      <c r="BI49" s="992" t="s">
        <v>404</v>
      </c>
      <c r="BJ49" s="750"/>
      <c r="BK49" s="556"/>
      <c r="BL49" s="751"/>
      <c r="BM49" s="556"/>
      <c r="BN49" s="751"/>
      <c r="BO49" s="556"/>
      <c r="BP49" s="751"/>
      <c r="BQ49" s="556"/>
      <c r="BR49" s="751"/>
      <c r="BS49" s="556"/>
      <c r="BT49" s="751"/>
      <c r="BU49" s="556"/>
      <c r="BV49" s="751"/>
      <c r="BW49" s="556"/>
      <c r="BX49" s="751"/>
      <c r="BY49" s="556"/>
      <c r="BZ49" s="751">
        <v>1</v>
      </c>
      <c r="CA49" s="556">
        <v>212</v>
      </c>
      <c r="CB49" s="751">
        <v>1</v>
      </c>
      <c r="CC49" s="556">
        <v>212</v>
      </c>
      <c r="CD49" s="751">
        <v>1</v>
      </c>
      <c r="CE49" s="556">
        <v>212</v>
      </c>
      <c r="CF49" s="751">
        <v>1</v>
      </c>
      <c r="CG49" s="556">
        <v>212</v>
      </c>
      <c r="CH49" s="751">
        <v>1</v>
      </c>
      <c r="CI49" s="556">
        <v>212</v>
      </c>
      <c r="CJ49" s="751">
        <v>1</v>
      </c>
      <c r="CK49" s="556">
        <v>212</v>
      </c>
      <c r="CL49" s="751">
        <v>1</v>
      </c>
      <c r="CM49" s="556">
        <v>212</v>
      </c>
      <c r="CN49" s="751">
        <v>1</v>
      </c>
      <c r="CO49" s="556">
        <v>212</v>
      </c>
      <c r="CP49" s="751">
        <v>1</v>
      </c>
      <c r="CQ49" s="556">
        <v>212</v>
      </c>
      <c r="CR49" s="751">
        <v>1</v>
      </c>
      <c r="CS49" s="556">
        <v>212</v>
      </c>
      <c r="CT49" s="751"/>
      <c r="CU49" s="556"/>
      <c r="CV49" s="751"/>
      <c r="CW49" s="556"/>
      <c r="CX49" s="751"/>
      <c r="CY49" s="556"/>
      <c r="CZ49" s="751"/>
      <c r="DA49" s="556"/>
      <c r="DB49" s="993"/>
      <c r="DC49" s="994"/>
      <c r="DD49" s="995"/>
      <c r="DE49" s="996"/>
      <c r="DF49" s="927"/>
      <c r="DG49" s="990"/>
      <c r="DH49" s="745" t="s">
        <v>403</v>
      </c>
      <c r="DI49" s="991"/>
      <c r="DJ49" s="747"/>
      <c r="DK49" s="748">
        <v>4</v>
      </c>
      <c r="DL49" s="992" t="s">
        <v>404</v>
      </c>
      <c r="DM49" s="750"/>
      <c r="DN49" s="556"/>
      <c r="DO49" s="751"/>
      <c r="DP49" s="556"/>
      <c r="DQ49" s="751"/>
      <c r="DR49" s="556"/>
      <c r="DS49" s="751"/>
      <c r="DT49" s="556"/>
      <c r="DU49" s="751"/>
      <c r="DV49" s="556"/>
      <c r="DW49" s="751"/>
      <c r="DX49" s="556"/>
      <c r="DY49" s="751"/>
      <c r="DZ49" s="556"/>
      <c r="EA49" s="751"/>
      <c r="EB49" s="556"/>
      <c r="EC49" s="751">
        <v>1</v>
      </c>
      <c r="ED49" s="556">
        <v>212</v>
      </c>
      <c r="EE49" s="751">
        <v>1</v>
      </c>
      <c r="EF49" s="556">
        <v>212</v>
      </c>
      <c r="EG49" s="751">
        <v>1</v>
      </c>
      <c r="EH49" s="556">
        <v>212</v>
      </c>
      <c r="EI49" s="751">
        <v>1</v>
      </c>
      <c r="EJ49" s="556">
        <v>212</v>
      </c>
      <c r="EK49" s="751">
        <v>1</v>
      </c>
      <c r="EL49" s="556">
        <v>212</v>
      </c>
      <c r="EM49" s="751">
        <v>1</v>
      </c>
      <c r="EN49" s="556">
        <v>212</v>
      </c>
      <c r="EO49" s="751">
        <v>1</v>
      </c>
      <c r="EP49" s="556">
        <v>212</v>
      </c>
      <c r="EQ49" s="751">
        <v>1</v>
      </c>
      <c r="ER49" s="556">
        <v>212</v>
      </c>
      <c r="ES49" s="751">
        <v>1</v>
      </c>
      <c r="ET49" s="556">
        <v>212</v>
      </c>
      <c r="EU49" s="751">
        <v>1</v>
      </c>
      <c r="EV49" s="556">
        <v>212</v>
      </c>
      <c r="EW49" s="751"/>
      <c r="EX49" s="556"/>
      <c r="EY49" s="751"/>
      <c r="EZ49" s="556"/>
      <c r="FA49" s="751"/>
      <c r="FB49" s="556"/>
      <c r="FC49" s="751"/>
      <c r="FD49" s="556"/>
      <c r="FE49" s="993"/>
      <c r="FF49" s="994"/>
      <c r="FG49" s="995"/>
      <c r="FH49" s="996"/>
      <c r="FI49" s="927"/>
      <c r="FJ49" s="990"/>
      <c r="FK49" s="745" t="s">
        <v>403</v>
      </c>
      <c r="FL49" s="991"/>
      <c r="FM49" s="752"/>
      <c r="FN49" s="748">
        <v>0</v>
      </c>
      <c r="FO49" s="992"/>
      <c r="FP49" s="678"/>
      <c r="FQ49" s="753"/>
      <c r="FR49" s="584">
        <v>0</v>
      </c>
      <c r="FS49" s="754"/>
      <c r="FT49" s="753"/>
      <c r="FU49" s="564">
        <v>0</v>
      </c>
      <c r="FV49" s="997" t="s">
        <v>332</v>
      </c>
      <c r="FW49" s="998"/>
      <c r="FX49" s="999" t="s">
        <v>333</v>
      </c>
      <c r="FY49" s="1000"/>
      <c r="FZ49" s="1001" t="s">
        <v>334</v>
      </c>
      <c r="GA49" s="1002"/>
      <c r="GB49" s="1003" t="s">
        <v>335</v>
      </c>
      <c r="GC49" s="1004"/>
      <c r="GD49" s="1003" t="s">
        <v>336</v>
      </c>
      <c r="GE49" s="1005"/>
      <c r="GF49" s="681"/>
      <c r="GG49" s="599"/>
      <c r="GH49" s="599"/>
      <c r="GI49" s="599"/>
      <c r="GJ49" s="577"/>
      <c r="GK49" s="414" t="s">
        <v>510</v>
      </c>
      <c r="GL49" s="577"/>
      <c r="GM49" s="414"/>
      <c r="GN49" s="577"/>
      <c r="GO49" s="414"/>
      <c r="GP49" s="414"/>
      <c r="GQ49" s="414"/>
      <c r="GR49" s="577"/>
      <c r="GS49" s="527"/>
      <c r="GT49" s="850"/>
      <c r="GU49" s="527" t="s">
        <v>488</v>
      </c>
      <c r="GV49" s="612"/>
      <c r="GW49" s="527"/>
      <c r="GX49" s="612"/>
      <c r="GY49" s="527"/>
      <c r="GZ49" s="392"/>
      <c r="HA49" s="577"/>
      <c r="HB49" s="392"/>
      <c r="HC49" s="1006"/>
      <c r="HD49" s="416"/>
    </row>
    <row r="50" spans="1:212" ht="20.100000000000001" customHeight="1">
      <c r="A50" s="990"/>
      <c r="B50" s="757" t="s">
        <v>410</v>
      </c>
      <c r="C50" s="1007"/>
      <c r="D50" s="1008">
        <v>0</v>
      </c>
      <c r="E50" s="1009">
        <v>0</v>
      </c>
      <c r="F50" s="1010"/>
      <c r="G50" s="1011"/>
      <c r="H50" s="584">
        <v>0</v>
      </c>
      <c r="I50" s="1012"/>
      <c r="J50" s="584">
        <v>0</v>
      </c>
      <c r="K50" s="1012"/>
      <c r="L50" s="584">
        <v>0</v>
      </c>
      <c r="M50" s="1012"/>
      <c r="N50" s="584">
        <v>0</v>
      </c>
      <c r="O50" s="1012"/>
      <c r="P50" s="584">
        <v>0</v>
      </c>
      <c r="Q50" s="1012"/>
      <c r="R50" s="584">
        <v>0</v>
      </c>
      <c r="S50" s="1012"/>
      <c r="T50" s="584">
        <v>0</v>
      </c>
      <c r="U50" s="1012"/>
      <c r="V50" s="584">
        <v>0</v>
      </c>
      <c r="W50" s="1012"/>
      <c r="X50" s="584">
        <v>0</v>
      </c>
      <c r="Y50" s="1012"/>
      <c r="Z50" s="584">
        <v>0</v>
      </c>
      <c r="AA50" s="1012"/>
      <c r="AB50" s="584">
        <v>0</v>
      </c>
      <c r="AC50" s="1012"/>
      <c r="AD50" s="584">
        <v>0</v>
      </c>
      <c r="AE50" s="1012"/>
      <c r="AF50" s="584">
        <v>0</v>
      </c>
      <c r="AG50" s="1012"/>
      <c r="AH50" s="584">
        <v>0</v>
      </c>
      <c r="AI50" s="1012"/>
      <c r="AJ50" s="584">
        <v>0</v>
      </c>
      <c r="AK50" s="1012"/>
      <c r="AL50" s="584">
        <v>0</v>
      </c>
      <c r="AM50" s="1012"/>
      <c r="AN50" s="584">
        <v>0</v>
      </c>
      <c r="AO50" s="1012"/>
      <c r="AP50" s="584">
        <v>0</v>
      </c>
      <c r="AQ50" s="1012"/>
      <c r="AR50" s="584">
        <v>0</v>
      </c>
      <c r="AS50" s="1012"/>
      <c r="AT50" s="584">
        <v>0</v>
      </c>
      <c r="AU50" s="1012"/>
      <c r="AV50" s="584">
        <v>0</v>
      </c>
      <c r="AW50" s="1012"/>
      <c r="AX50" s="584">
        <v>0</v>
      </c>
      <c r="AY50" s="1013"/>
      <c r="AZ50" s="1014">
        <v>0</v>
      </c>
      <c r="BA50" s="1015"/>
      <c r="BB50" s="1016">
        <v>0</v>
      </c>
      <c r="BC50" s="927"/>
      <c r="BD50" s="990"/>
      <c r="BE50" s="757" t="s">
        <v>410</v>
      </c>
      <c r="BF50" s="1007"/>
      <c r="BG50" s="1008">
        <v>0</v>
      </c>
      <c r="BH50" s="1009">
        <v>0</v>
      </c>
      <c r="BI50" s="1010"/>
      <c r="BJ50" s="1011"/>
      <c r="BK50" s="584">
        <v>0</v>
      </c>
      <c r="BL50" s="1012"/>
      <c r="BM50" s="584">
        <v>0</v>
      </c>
      <c r="BN50" s="1012"/>
      <c r="BO50" s="584">
        <v>0</v>
      </c>
      <c r="BP50" s="1012"/>
      <c r="BQ50" s="584">
        <v>0</v>
      </c>
      <c r="BR50" s="1012"/>
      <c r="BS50" s="584">
        <v>0</v>
      </c>
      <c r="BT50" s="1012"/>
      <c r="BU50" s="584">
        <v>0</v>
      </c>
      <c r="BV50" s="1012"/>
      <c r="BW50" s="584">
        <v>0</v>
      </c>
      <c r="BX50" s="1012"/>
      <c r="BY50" s="584">
        <v>0</v>
      </c>
      <c r="BZ50" s="1012"/>
      <c r="CA50" s="584">
        <v>0</v>
      </c>
      <c r="CB50" s="1012"/>
      <c r="CC50" s="584">
        <v>0</v>
      </c>
      <c r="CD50" s="1012"/>
      <c r="CE50" s="584">
        <v>0</v>
      </c>
      <c r="CF50" s="1012"/>
      <c r="CG50" s="584">
        <v>0</v>
      </c>
      <c r="CH50" s="1012"/>
      <c r="CI50" s="584">
        <v>0</v>
      </c>
      <c r="CJ50" s="1012"/>
      <c r="CK50" s="584">
        <v>0</v>
      </c>
      <c r="CL50" s="1012"/>
      <c r="CM50" s="584">
        <v>0</v>
      </c>
      <c r="CN50" s="1012"/>
      <c r="CO50" s="584">
        <v>0</v>
      </c>
      <c r="CP50" s="1012"/>
      <c r="CQ50" s="584">
        <v>0</v>
      </c>
      <c r="CR50" s="1012"/>
      <c r="CS50" s="584">
        <v>0</v>
      </c>
      <c r="CT50" s="1012"/>
      <c r="CU50" s="584">
        <v>0</v>
      </c>
      <c r="CV50" s="1012"/>
      <c r="CW50" s="584">
        <v>0</v>
      </c>
      <c r="CX50" s="1012"/>
      <c r="CY50" s="584">
        <v>0</v>
      </c>
      <c r="CZ50" s="1012"/>
      <c r="DA50" s="584">
        <v>0</v>
      </c>
      <c r="DB50" s="1013"/>
      <c r="DC50" s="1014">
        <v>0</v>
      </c>
      <c r="DD50" s="1015"/>
      <c r="DE50" s="1016">
        <v>0</v>
      </c>
      <c r="DF50" s="927"/>
      <c r="DG50" s="990"/>
      <c r="DH50" s="757" t="s">
        <v>410</v>
      </c>
      <c r="DI50" s="1007"/>
      <c r="DJ50" s="1008">
        <v>0</v>
      </c>
      <c r="DK50" s="1009">
        <v>0</v>
      </c>
      <c r="DL50" s="1010"/>
      <c r="DM50" s="1011"/>
      <c r="DN50" s="584">
        <v>0</v>
      </c>
      <c r="DO50" s="1012"/>
      <c r="DP50" s="584">
        <v>0</v>
      </c>
      <c r="DQ50" s="1012"/>
      <c r="DR50" s="584">
        <v>0</v>
      </c>
      <c r="DS50" s="1012"/>
      <c r="DT50" s="584">
        <v>0</v>
      </c>
      <c r="DU50" s="1012"/>
      <c r="DV50" s="584">
        <v>0</v>
      </c>
      <c r="DW50" s="1012"/>
      <c r="DX50" s="584">
        <v>0</v>
      </c>
      <c r="DY50" s="1012"/>
      <c r="DZ50" s="584">
        <v>0</v>
      </c>
      <c r="EA50" s="1012"/>
      <c r="EB50" s="584">
        <v>0</v>
      </c>
      <c r="EC50" s="1012"/>
      <c r="ED50" s="584">
        <v>0</v>
      </c>
      <c r="EE50" s="1012"/>
      <c r="EF50" s="584">
        <v>0</v>
      </c>
      <c r="EG50" s="1012"/>
      <c r="EH50" s="584">
        <v>0</v>
      </c>
      <c r="EI50" s="1012"/>
      <c r="EJ50" s="584">
        <v>0</v>
      </c>
      <c r="EK50" s="1012"/>
      <c r="EL50" s="584">
        <v>0</v>
      </c>
      <c r="EM50" s="1012"/>
      <c r="EN50" s="584">
        <v>0</v>
      </c>
      <c r="EO50" s="1012"/>
      <c r="EP50" s="584">
        <v>0</v>
      </c>
      <c r="EQ50" s="1012"/>
      <c r="ER50" s="584">
        <v>0</v>
      </c>
      <c r="ES50" s="1012"/>
      <c r="ET50" s="584">
        <v>0</v>
      </c>
      <c r="EU50" s="1012"/>
      <c r="EV50" s="584">
        <v>0</v>
      </c>
      <c r="EW50" s="1012"/>
      <c r="EX50" s="584">
        <v>0</v>
      </c>
      <c r="EY50" s="1012"/>
      <c r="EZ50" s="584">
        <v>0</v>
      </c>
      <c r="FA50" s="1012"/>
      <c r="FB50" s="584">
        <v>0</v>
      </c>
      <c r="FC50" s="1012"/>
      <c r="FD50" s="584">
        <v>0</v>
      </c>
      <c r="FE50" s="1013"/>
      <c r="FF50" s="1014">
        <v>0</v>
      </c>
      <c r="FG50" s="1015"/>
      <c r="FH50" s="1016">
        <v>0</v>
      </c>
      <c r="FI50" s="927"/>
      <c r="FJ50" s="990"/>
      <c r="FK50" s="757" t="s">
        <v>410</v>
      </c>
      <c r="FL50" s="1007"/>
      <c r="FM50" s="1008">
        <v>0</v>
      </c>
      <c r="FN50" s="1009">
        <v>0</v>
      </c>
      <c r="FO50" s="1010"/>
      <c r="FP50" s="689"/>
      <c r="FQ50" s="1017"/>
      <c r="FR50" s="584">
        <v>0</v>
      </c>
      <c r="FS50" s="766"/>
      <c r="FT50" s="1017"/>
      <c r="FU50" s="589">
        <v>0</v>
      </c>
      <c r="FV50" s="1018"/>
      <c r="FW50" s="1019"/>
      <c r="FX50" s="1020"/>
      <c r="FY50" s="1021"/>
      <c r="FZ50" s="1022"/>
      <c r="GA50" s="1023"/>
      <c r="GB50" s="1024"/>
      <c r="GC50" s="1025"/>
      <c r="GD50" s="1024"/>
      <c r="GE50" s="1026"/>
      <c r="GF50" s="681"/>
      <c r="GG50" s="599"/>
      <c r="GH50" s="599"/>
      <c r="GI50" s="599"/>
      <c r="GJ50" s="577"/>
      <c r="GK50" s="414" t="s">
        <v>511</v>
      </c>
      <c r="GL50" s="577"/>
      <c r="GM50" s="414"/>
      <c r="GN50" s="577"/>
      <c r="GO50" s="414"/>
      <c r="GP50" s="414"/>
      <c r="GQ50" s="414"/>
      <c r="GR50" s="577"/>
      <c r="GS50" s="942"/>
      <c r="GT50" s="926"/>
      <c r="GU50" s="577" t="s">
        <v>552</v>
      </c>
      <c r="GV50" s="577"/>
      <c r="GW50" s="577"/>
      <c r="GX50" s="577"/>
      <c r="GY50" s="612"/>
      <c r="GZ50" s="576"/>
      <c r="HA50" s="612">
        <v>36.6</v>
      </c>
      <c r="HB50" s="576" t="s">
        <v>470</v>
      </c>
      <c r="HC50" s="1027"/>
      <c r="HD50" s="416"/>
    </row>
    <row r="51" spans="1:212" ht="20.100000000000001" customHeight="1" thickBot="1">
      <c r="A51" s="1028"/>
      <c r="B51" s="463" t="s">
        <v>436</v>
      </c>
      <c r="C51" s="1029"/>
      <c r="D51" s="778"/>
      <c r="E51" s="789"/>
      <c r="F51" s="1030"/>
      <c r="G51" s="791"/>
      <c r="H51" s="792">
        <v>0</v>
      </c>
      <c r="I51" s="793"/>
      <c r="J51" s="792">
        <v>0</v>
      </c>
      <c r="K51" s="793"/>
      <c r="L51" s="792">
        <v>0</v>
      </c>
      <c r="M51" s="793"/>
      <c r="N51" s="792">
        <v>0</v>
      </c>
      <c r="O51" s="793"/>
      <c r="P51" s="792">
        <v>0</v>
      </c>
      <c r="Q51" s="793"/>
      <c r="R51" s="792">
        <v>0</v>
      </c>
      <c r="S51" s="793"/>
      <c r="T51" s="792">
        <v>0</v>
      </c>
      <c r="U51" s="793"/>
      <c r="V51" s="792">
        <v>0</v>
      </c>
      <c r="W51" s="793"/>
      <c r="X51" s="792">
        <v>0</v>
      </c>
      <c r="Y51" s="793"/>
      <c r="Z51" s="792">
        <v>0</v>
      </c>
      <c r="AA51" s="793"/>
      <c r="AB51" s="792">
        <v>0</v>
      </c>
      <c r="AC51" s="793"/>
      <c r="AD51" s="792">
        <v>0</v>
      </c>
      <c r="AE51" s="793"/>
      <c r="AF51" s="792">
        <v>0</v>
      </c>
      <c r="AG51" s="793"/>
      <c r="AH51" s="792">
        <v>0</v>
      </c>
      <c r="AI51" s="793"/>
      <c r="AJ51" s="792">
        <v>0</v>
      </c>
      <c r="AK51" s="793"/>
      <c r="AL51" s="792">
        <v>0</v>
      </c>
      <c r="AM51" s="793"/>
      <c r="AN51" s="792">
        <v>0</v>
      </c>
      <c r="AO51" s="793"/>
      <c r="AP51" s="792">
        <v>0</v>
      </c>
      <c r="AQ51" s="793"/>
      <c r="AR51" s="792">
        <v>0</v>
      </c>
      <c r="AS51" s="793"/>
      <c r="AT51" s="792">
        <v>0</v>
      </c>
      <c r="AU51" s="793"/>
      <c r="AV51" s="792">
        <v>0</v>
      </c>
      <c r="AW51" s="793"/>
      <c r="AX51" s="792">
        <v>0</v>
      </c>
      <c r="AY51" s="1031"/>
      <c r="AZ51" s="1032">
        <v>0</v>
      </c>
      <c r="BA51" s="1033"/>
      <c r="BB51" s="1034">
        <v>0</v>
      </c>
      <c r="BC51" s="927"/>
      <c r="BD51" s="1028"/>
      <c r="BE51" s="463" t="s">
        <v>436</v>
      </c>
      <c r="BF51" s="1029"/>
      <c r="BG51" s="778"/>
      <c r="BH51" s="789"/>
      <c r="BI51" s="1030"/>
      <c r="BJ51" s="791"/>
      <c r="BK51" s="792">
        <v>0</v>
      </c>
      <c r="BL51" s="793"/>
      <c r="BM51" s="792">
        <v>0</v>
      </c>
      <c r="BN51" s="793"/>
      <c r="BO51" s="792">
        <v>0</v>
      </c>
      <c r="BP51" s="793"/>
      <c r="BQ51" s="792">
        <v>0</v>
      </c>
      <c r="BR51" s="793"/>
      <c r="BS51" s="792">
        <v>0</v>
      </c>
      <c r="BT51" s="793"/>
      <c r="BU51" s="792">
        <v>0</v>
      </c>
      <c r="BV51" s="793"/>
      <c r="BW51" s="792">
        <v>0</v>
      </c>
      <c r="BX51" s="793"/>
      <c r="BY51" s="792">
        <v>0</v>
      </c>
      <c r="BZ51" s="793"/>
      <c r="CA51" s="792">
        <v>0</v>
      </c>
      <c r="CB51" s="793"/>
      <c r="CC51" s="792">
        <v>0</v>
      </c>
      <c r="CD51" s="793"/>
      <c r="CE51" s="792">
        <v>0</v>
      </c>
      <c r="CF51" s="793"/>
      <c r="CG51" s="792">
        <v>0</v>
      </c>
      <c r="CH51" s="793"/>
      <c r="CI51" s="792">
        <v>0</v>
      </c>
      <c r="CJ51" s="793"/>
      <c r="CK51" s="792">
        <v>0</v>
      </c>
      <c r="CL51" s="793"/>
      <c r="CM51" s="792">
        <v>0</v>
      </c>
      <c r="CN51" s="793"/>
      <c r="CO51" s="792">
        <v>0</v>
      </c>
      <c r="CP51" s="793"/>
      <c r="CQ51" s="792">
        <v>0</v>
      </c>
      <c r="CR51" s="793"/>
      <c r="CS51" s="792">
        <v>0</v>
      </c>
      <c r="CT51" s="793"/>
      <c r="CU51" s="792">
        <v>0</v>
      </c>
      <c r="CV51" s="793"/>
      <c r="CW51" s="792">
        <v>0</v>
      </c>
      <c r="CX51" s="793"/>
      <c r="CY51" s="792">
        <v>0</v>
      </c>
      <c r="CZ51" s="793"/>
      <c r="DA51" s="792">
        <v>0</v>
      </c>
      <c r="DB51" s="1031"/>
      <c r="DC51" s="1032">
        <v>0</v>
      </c>
      <c r="DD51" s="1033"/>
      <c r="DE51" s="1034">
        <v>0</v>
      </c>
      <c r="DF51" s="927"/>
      <c r="DG51" s="1028"/>
      <c r="DH51" s="463" t="s">
        <v>436</v>
      </c>
      <c r="DI51" s="1029"/>
      <c r="DJ51" s="778"/>
      <c r="DK51" s="789"/>
      <c r="DL51" s="1030"/>
      <c r="DM51" s="791"/>
      <c r="DN51" s="792">
        <v>0</v>
      </c>
      <c r="DO51" s="793"/>
      <c r="DP51" s="792">
        <v>0</v>
      </c>
      <c r="DQ51" s="793"/>
      <c r="DR51" s="792">
        <v>0</v>
      </c>
      <c r="DS51" s="793"/>
      <c r="DT51" s="792">
        <v>0</v>
      </c>
      <c r="DU51" s="793"/>
      <c r="DV51" s="792">
        <v>0</v>
      </c>
      <c r="DW51" s="793"/>
      <c r="DX51" s="792">
        <v>0</v>
      </c>
      <c r="DY51" s="793"/>
      <c r="DZ51" s="792">
        <v>0</v>
      </c>
      <c r="EA51" s="793"/>
      <c r="EB51" s="792">
        <v>0</v>
      </c>
      <c r="EC51" s="793"/>
      <c r="ED51" s="792">
        <v>0</v>
      </c>
      <c r="EE51" s="793"/>
      <c r="EF51" s="792">
        <v>0</v>
      </c>
      <c r="EG51" s="793"/>
      <c r="EH51" s="792">
        <v>0</v>
      </c>
      <c r="EI51" s="793"/>
      <c r="EJ51" s="792">
        <v>0</v>
      </c>
      <c r="EK51" s="793"/>
      <c r="EL51" s="792">
        <v>0</v>
      </c>
      <c r="EM51" s="793"/>
      <c r="EN51" s="792">
        <v>0</v>
      </c>
      <c r="EO51" s="793"/>
      <c r="EP51" s="792">
        <v>0</v>
      </c>
      <c r="EQ51" s="793"/>
      <c r="ER51" s="792">
        <v>0</v>
      </c>
      <c r="ES51" s="793"/>
      <c r="ET51" s="792">
        <v>0</v>
      </c>
      <c r="EU51" s="793"/>
      <c r="EV51" s="792">
        <v>0</v>
      </c>
      <c r="EW51" s="793"/>
      <c r="EX51" s="792">
        <v>0</v>
      </c>
      <c r="EY51" s="793"/>
      <c r="EZ51" s="792">
        <v>0</v>
      </c>
      <c r="FA51" s="793"/>
      <c r="FB51" s="792">
        <v>0</v>
      </c>
      <c r="FC51" s="793"/>
      <c r="FD51" s="792">
        <v>0</v>
      </c>
      <c r="FE51" s="1031"/>
      <c r="FF51" s="1032">
        <v>0</v>
      </c>
      <c r="FG51" s="1033"/>
      <c r="FH51" s="1034">
        <v>0</v>
      </c>
      <c r="FI51" s="927"/>
      <c r="FJ51" s="1028"/>
      <c r="FK51" s="463" t="s">
        <v>436</v>
      </c>
      <c r="FL51" s="1029"/>
      <c r="FM51" s="781"/>
      <c r="FN51" s="789">
        <v>0</v>
      </c>
      <c r="FO51" s="1030"/>
      <c r="FP51" s="795"/>
      <c r="FQ51" s="796"/>
      <c r="FR51" s="792">
        <v>0</v>
      </c>
      <c r="FS51" s="797"/>
      <c r="FT51" s="796"/>
      <c r="FU51" s="798">
        <v>0</v>
      </c>
      <c r="FV51" s="1018"/>
      <c r="FW51" s="1019"/>
      <c r="FX51" s="1020"/>
      <c r="FY51" s="1021"/>
      <c r="FZ51" s="1022"/>
      <c r="GA51" s="1023"/>
      <c r="GB51" s="1024"/>
      <c r="GC51" s="1025"/>
      <c r="GD51" s="1024"/>
      <c r="GE51" s="1026"/>
      <c r="GF51" s="681"/>
      <c r="GG51" s="599"/>
      <c r="GH51" s="599"/>
      <c r="GI51" s="599"/>
      <c r="GJ51" s="925"/>
      <c r="GK51" s="726"/>
      <c r="GL51" s="1035" t="s">
        <v>401</v>
      </c>
      <c r="GM51" s="1036" t="s">
        <v>513</v>
      </c>
      <c r="GN51" s="1037" t="s">
        <v>514</v>
      </c>
      <c r="GO51" s="1038" t="s">
        <v>515</v>
      </c>
      <c r="GP51" s="1038" t="s">
        <v>494</v>
      </c>
      <c r="GQ51" s="1039" t="s">
        <v>495</v>
      </c>
      <c r="GR51" s="726"/>
      <c r="GS51" s="942"/>
      <c r="GT51" s="756"/>
      <c r="GU51" s="577" t="s">
        <v>516</v>
      </c>
      <c r="GV51" s="577"/>
      <c r="GW51" s="577"/>
      <c r="GX51" s="577"/>
      <c r="GY51" s="414"/>
      <c r="GZ51" s="1040"/>
      <c r="HA51" s="612">
        <v>36.6</v>
      </c>
      <c r="HB51" s="576" t="s">
        <v>470</v>
      </c>
      <c r="HC51" s="1041"/>
      <c r="HD51" s="416"/>
    </row>
    <row r="52" spans="1:212" ht="20.100000000000001" customHeight="1" thickBot="1">
      <c r="A52" s="1042" t="s">
        <v>437</v>
      </c>
      <c r="B52" s="1043"/>
      <c r="C52" s="1044"/>
      <c r="D52" s="1044"/>
      <c r="E52" s="1045"/>
      <c r="F52" s="1044"/>
      <c r="G52" s="1046"/>
      <c r="H52" s="1047">
        <v>0</v>
      </c>
      <c r="I52" s="1048"/>
      <c r="J52" s="1047">
        <v>0</v>
      </c>
      <c r="K52" s="1048"/>
      <c r="L52" s="1047">
        <v>0</v>
      </c>
      <c r="M52" s="1048"/>
      <c r="N52" s="1047">
        <v>0</v>
      </c>
      <c r="O52" s="1048"/>
      <c r="P52" s="1047">
        <v>0</v>
      </c>
      <c r="Q52" s="1048"/>
      <c r="R52" s="1047">
        <v>0</v>
      </c>
      <c r="S52" s="1048"/>
      <c r="T52" s="1047">
        <v>0</v>
      </c>
      <c r="U52" s="1048"/>
      <c r="V52" s="1047">
        <v>0</v>
      </c>
      <c r="W52" s="1048"/>
      <c r="X52" s="1047">
        <v>212</v>
      </c>
      <c r="Y52" s="1048"/>
      <c r="Z52" s="1047">
        <v>212</v>
      </c>
      <c r="AA52" s="1048"/>
      <c r="AB52" s="1047">
        <v>212</v>
      </c>
      <c r="AC52" s="1048"/>
      <c r="AD52" s="1047">
        <v>212</v>
      </c>
      <c r="AE52" s="1048"/>
      <c r="AF52" s="1047">
        <v>212</v>
      </c>
      <c r="AG52" s="1048"/>
      <c r="AH52" s="1047">
        <v>212</v>
      </c>
      <c r="AI52" s="1048"/>
      <c r="AJ52" s="1047">
        <v>212</v>
      </c>
      <c r="AK52" s="1048"/>
      <c r="AL52" s="1047">
        <v>212</v>
      </c>
      <c r="AM52" s="1048"/>
      <c r="AN52" s="1047">
        <v>212</v>
      </c>
      <c r="AO52" s="1048"/>
      <c r="AP52" s="1047">
        <v>212</v>
      </c>
      <c r="AQ52" s="1048"/>
      <c r="AR52" s="1047">
        <v>0</v>
      </c>
      <c r="AS52" s="1048"/>
      <c r="AT52" s="1047">
        <v>0</v>
      </c>
      <c r="AU52" s="1048"/>
      <c r="AV52" s="1047">
        <v>0</v>
      </c>
      <c r="AW52" s="1048"/>
      <c r="AX52" s="1047">
        <v>0</v>
      </c>
      <c r="AY52" s="1049"/>
      <c r="AZ52" s="1050">
        <v>0</v>
      </c>
      <c r="BA52" s="1051"/>
      <c r="BB52" s="1052">
        <v>0</v>
      </c>
      <c r="BC52" s="970"/>
      <c r="BD52" s="1042" t="s">
        <v>437</v>
      </c>
      <c r="BE52" s="1043"/>
      <c r="BF52" s="1044"/>
      <c r="BG52" s="1044"/>
      <c r="BH52" s="1045"/>
      <c r="BI52" s="1044"/>
      <c r="BJ52" s="1046"/>
      <c r="BK52" s="1047">
        <v>0</v>
      </c>
      <c r="BL52" s="1048"/>
      <c r="BM52" s="1047">
        <v>0</v>
      </c>
      <c r="BN52" s="1048"/>
      <c r="BO52" s="1047">
        <v>0</v>
      </c>
      <c r="BP52" s="1048"/>
      <c r="BQ52" s="1047">
        <v>0</v>
      </c>
      <c r="BR52" s="1048"/>
      <c r="BS52" s="1047">
        <v>0</v>
      </c>
      <c r="BT52" s="1048"/>
      <c r="BU52" s="1047">
        <v>0</v>
      </c>
      <c r="BV52" s="1048"/>
      <c r="BW52" s="1047">
        <v>0</v>
      </c>
      <c r="BX52" s="1048"/>
      <c r="BY52" s="1047">
        <v>0</v>
      </c>
      <c r="BZ52" s="1048"/>
      <c r="CA52" s="1047">
        <v>212</v>
      </c>
      <c r="CB52" s="1048"/>
      <c r="CC52" s="1047">
        <v>212</v>
      </c>
      <c r="CD52" s="1048"/>
      <c r="CE52" s="1047">
        <v>212</v>
      </c>
      <c r="CF52" s="1048"/>
      <c r="CG52" s="1047">
        <v>212</v>
      </c>
      <c r="CH52" s="1048"/>
      <c r="CI52" s="1047">
        <v>212</v>
      </c>
      <c r="CJ52" s="1048"/>
      <c r="CK52" s="1047">
        <v>212</v>
      </c>
      <c r="CL52" s="1048"/>
      <c r="CM52" s="1047">
        <v>212</v>
      </c>
      <c r="CN52" s="1048"/>
      <c r="CO52" s="1047">
        <v>212</v>
      </c>
      <c r="CP52" s="1048"/>
      <c r="CQ52" s="1047">
        <v>212</v>
      </c>
      <c r="CR52" s="1048"/>
      <c r="CS52" s="1047">
        <v>212</v>
      </c>
      <c r="CT52" s="1048"/>
      <c r="CU52" s="1047">
        <v>0</v>
      </c>
      <c r="CV52" s="1048"/>
      <c r="CW52" s="1047">
        <v>0</v>
      </c>
      <c r="CX52" s="1048"/>
      <c r="CY52" s="1047">
        <v>0</v>
      </c>
      <c r="CZ52" s="1048"/>
      <c r="DA52" s="1047">
        <v>0</v>
      </c>
      <c r="DB52" s="1049"/>
      <c r="DC52" s="1050">
        <v>0</v>
      </c>
      <c r="DD52" s="1051"/>
      <c r="DE52" s="1052">
        <v>0</v>
      </c>
      <c r="DF52" s="970"/>
      <c r="DG52" s="1042" t="s">
        <v>437</v>
      </c>
      <c r="DH52" s="1043"/>
      <c r="DI52" s="1044"/>
      <c r="DJ52" s="1044"/>
      <c r="DK52" s="1045"/>
      <c r="DL52" s="1044"/>
      <c r="DM52" s="1046"/>
      <c r="DN52" s="1047">
        <v>0</v>
      </c>
      <c r="DO52" s="1048"/>
      <c r="DP52" s="1047">
        <v>0</v>
      </c>
      <c r="DQ52" s="1048"/>
      <c r="DR52" s="1047">
        <v>0</v>
      </c>
      <c r="DS52" s="1048"/>
      <c r="DT52" s="1047">
        <v>0</v>
      </c>
      <c r="DU52" s="1048"/>
      <c r="DV52" s="1047">
        <v>0</v>
      </c>
      <c r="DW52" s="1048"/>
      <c r="DX52" s="1047">
        <v>0</v>
      </c>
      <c r="DY52" s="1048"/>
      <c r="DZ52" s="1047">
        <v>0</v>
      </c>
      <c r="EA52" s="1048"/>
      <c r="EB52" s="1047">
        <v>0</v>
      </c>
      <c r="EC52" s="1048"/>
      <c r="ED52" s="1047">
        <v>212</v>
      </c>
      <c r="EE52" s="1048"/>
      <c r="EF52" s="1047">
        <v>212</v>
      </c>
      <c r="EG52" s="1048"/>
      <c r="EH52" s="1047">
        <v>212</v>
      </c>
      <c r="EI52" s="1048"/>
      <c r="EJ52" s="1047">
        <v>212</v>
      </c>
      <c r="EK52" s="1048"/>
      <c r="EL52" s="1047">
        <v>212</v>
      </c>
      <c r="EM52" s="1048"/>
      <c r="EN52" s="1047">
        <v>212</v>
      </c>
      <c r="EO52" s="1048"/>
      <c r="EP52" s="1047">
        <v>212</v>
      </c>
      <c r="EQ52" s="1048"/>
      <c r="ER52" s="1047">
        <v>212</v>
      </c>
      <c r="ES52" s="1048"/>
      <c r="ET52" s="1047">
        <v>212</v>
      </c>
      <c r="EU52" s="1048"/>
      <c r="EV52" s="1047">
        <v>212</v>
      </c>
      <c r="EW52" s="1048"/>
      <c r="EX52" s="1047">
        <v>0</v>
      </c>
      <c r="EY52" s="1048"/>
      <c r="EZ52" s="1047">
        <v>0</v>
      </c>
      <c r="FA52" s="1048"/>
      <c r="FB52" s="1047">
        <v>0</v>
      </c>
      <c r="FC52" s="1048"/>
      <c r="FD52" s="1047">
        <v>0</v>
      </c>
      <c r="FE52" s="1049"/>
      <c r="FF52" s="1050">
        <v>0</v>
      </c>
      <c r="FG52" s="1051"/>
      <c r="FH52" s="1052">
        <v>0</v>
      </c>
      <c r="FI52" s="970"/>
      <c r="FJ52" s="1042" t="s">
        <v>437</v>
      </c>
      <c r="FK52" s="1043"/>
      <c r="FL52" s="1044"/>
      <c r="FM52" s="1044"/>
      <c r="FN52" s="1045"/>
      <c r="FO52" s="1044"/>
      <c r="FP52" s="1053"/>
      <c r="FQ52" s="1054"/>
      <c r="FR52" s="1047">
        <v>0</v>
      </c>
      <c r="FS52" s="1055"/>
      <c r="FT52" s="1054"/>
      <c r="FU52" s="1056">
        <v>0</v>
      </c>
      <c r="FV52" s="1057">
        <v>14</v>
      </c>
      <c r="FW52" s="1058">
        <v>212</v>
      </c>
      <c r="FX52" s="1059">
        <v>13</v>
      </c>
      <c r="FY52" s="1058">
        <v>212</v>
      </c>
      <c r="FZ52" s="1059">
        <v>13</v>
      </c>
      <c r="GA52" s="1058">
        <v>212</v>
      </c>
      <c r="GB52" s="1060" t="s">
        <v>536</v>
      </c>
      <c r="GC52" s="1061">
        <v>212</v>
      </c>
      <c r="GD52" s="1060" t="s">
        <v>360</v>
      </c>
      <c r="GE52" s="1062">
        <v>0</v>
      </c>
      <c r="GF52" s="681"/>
      <c r="GG52" s="979"/>
      <c r="GH52" s="979"/>
      <c r="GI52" s="979"/>
      <c r="GJ52" s="925"/>
      <c r="GK52" s="726"/>
      <c r="GL52" s="1063"/>
      <c r="GM52" s="1064"/>
      <c r="GN52" s="1064"/>
      <c r="GO52" s="1065"/>
      <c r="GP52" s="1065"/>
      <c r="GQ52" s="1066"/>
      <c r="GR52" s="942"/>
      <c r="GS52" s="882"/>
      <c r="GT52" s="850"/>
      <c r="GU52" s="527" t="s">
        <v>490</v>
      </c>
      <c r="GV52" s="726"/>
      <c r="GW52" s="925"/>
      <c r="GX52" s="726"/>
      <c r="GY52" s="414"/>
      <c r="GZ52" s="1067"/>
      <c r="HA52" s="942"/>
      <c r="HB52" s="1067"/>
      <c r="HC52" s="559"/>
      <c r="HD52" s="416"/>
    </row>
    <row r="53" spans="1:212" ht="20.100000000000001" customHeight="1" thickTop="1">
      <c r="A53" s="1068" t="s">
        <v>438</v>
      </c>
      <c r="B53" s="1069"/>
      <c r="C53" s="1070"/>
      <c r="D53" s="1070"/>
      <c r="E53" s="1071"/>
      <c r="F53" s="1072"/>
      <c r="G53" s="1073"/>
      <c r="H53" s="1074">
        <v>0</v>
      </c>
      <c r="I53" s="1075"/>
      <c r="J53" s="1074">
        <v>0</v>
      </c>
      <c r="K53" s="1075"/>
      <c r="L53" s="1074">
        <v>0</v>
      </c>
      <c r="M53" s="1075"/>
      <c r="N53" s="1074">
        <v>0</v>
      </c>
      <c r="O53" s="1075"/>
      <c r="P53" s="1074">
        <v>0</v>
      </c>
      <c r="Q53" s="1075"/>
      <c r="R53" s="1074">
        <v>0</v>
      </c>
      <c r="S53" s="1075"/>
      <c r="T53" s="1074">
        <v>0</v>
      </c>
      <c r="U53" s="1075"/>
      <c r="V53" s="1074">
        <v>0</v>
      </c>
      <c r="W53" s="1075"/>
      <c r="X53" s="1074">
        <v>1180</v>
      </c>
      <c r="Y53" s="1075"/>
      <c r="Z53" s="1074">
        <v>1149</v>
      </c>
      <c r="AA53" s="1075"/>
      <c r="AB53" s="1074">
        <v>1170</v>
      </c>
      <c r="AC53" s="1075"/>
      <c r="AD53" s="1074">
        <v>1180</v>
      </c>
      <c r="AE53" s="1075"/>
      <c r="AF53" s="1074">
        <v>1192</v>
      </c>
      <c r="AG53" s="1075"/>
      <c r="AH53" s="1074">
        <v>1192</v>
      </c>
      <c r="AI53" s="1075"/>
      <c r="AJ53" s="1074">
        <v>1169</v>
      </c>
      <c r="AK53" s="1075"/>
      <c r="AL53" s="1074">
        <v>1159</v>
      </c>
      <c r="AM53" s="1075"/>
      <c r="AN53" s="1074">
        <v>1123</v>
      </c>
      <c r="AO53" s="1075"/>
      <c r="AP53" s="1074">
        <v>1100</v>
      </c>
      <c r="AQ53" s="1075"/>
      <c r="AR53" s="1074">
        <v>0</v>
      </c>
      <c r="AS53" s="1075"/>
      <c r="AT53" s="1074">
        <v>0</v>
      </c>
      <c r="AU53" s="1075"/>
      <c r="AV53" s="1074">
        <v>0</v>
      </c>
      <c r="AW53" s="1075"/>
      <c r="AX53" s="1074">
        <v>0</v>
      </c>
      <c r="AY53" s="1076"/>
      <c r="AZ53" s="1077">
        <v>0</v>
      </c>
      <c r="BA53" s="1078"/>
      <c r="BB53" s="1079">
        <v>0</v>
      </c>
      <c r="BC53" s="970"/>
      <c r="BD53" s="1068" t="s">
        <v>438</v>
      </c>
      <c r="BE53" s="1069"/>
      <c r="BF53" s="1070"/>
      <c r="BG53" s="1070"/>
      <c r="BH53" s="1071"/>
      <c r="BI53" s="1072"/>
      <c r="BJ53" s="1073"/>
      <c r="BK53" s="1074">
        <v>0</v>
      </c>
      <c r="BL53" s="1075"/>
      <c r="BM53" s="1074">
        <v>0</v>
      </c>
      <c r="BN53" s="1075"/>
      <c r="BO53" s="1074">
        <v>0</v>
      </c>
      <c r="BP53" s="1075"/>
      <c r="BQ53" s="1074">
        <v>0</v>
      </c>
      <c r="BR53" s="1075"/>
      <c r="BS53" s="1074">
        <v>0</v>
      </c>
      <c r="BT53" s="1075"/>
      <c r="BU53" s="1074">
        <v>0</v>
      </c>
      <c r="BV53" s="1075"/>
      <c r="BW53" s="1074">
        <v>0</v>
      </c>
      <c r="BX53" s="1075"/>
      <c r="BY53" s="1074">
        <v>0</v>
      </c>
      <c r="BZ53" s="1075"/>
      <c r="CA53" s="1074">
        <v>1168</v>
      </c>
      <c r="CB53" s="1075"/>
      <c r="CC53" s="1074">
        <v>1124</v>
      </c>
      <c r="CD53" s="1075"/>
      <c r="CE53" s="1074">
        <v>1158</v>
      </c>
      <c r="CF53" s="1075"/>
      <c r="CG53" s="1074">
        <v>1168</v>
      </c>
      <c r="CH53" s="1075"/>
      <c r="CI53" s="1074">
        <v>1175</v>
      </c>
      <c r="CJ53" s="1075"/>
      <c r="CK53" s="1074">
        <v>1165</v>
      </c>
      <c r="CL53" s="1075"/>
      <c r="CM53" s="1074">
        <v>1155</v>
      </c>
      <c r="CN53" s="1075"/>
      <c r="CO53" s="1074">
        <v>1144</v>
      </c>
      <c r="CP53" s="1075"/>
      <c r="CQ53" s="1074">
        <v>1123</v>
      </c>
      <c r="CR53" s="1075"/>
      <c r="CS53" s="1074">
        <v>1090</v>
      </c>
      <c r="CT53" s="1075"/>
      <c r="CU53" s="1074">
        <v>0</v>
      </c>
      <c r="CV53" s="1075"/>
      <c r="CW53" s="1074">
        <v>0</v>
      </c>
      <c r="CX53" s="1075"/>
      <c r="CY53" s="1074">
        <v>0</v>
      </c>
      <c r="CZ53" s="1075"/>
      <c r="DA53" s="1074">
        <v>0</v>
      </c>
      <c r="DB53" s="1076"/>
      <c r="DC53" s="1077">
        <v>0</v>
      </c>
      <c r="DD53" s="1078"/>
      <c r="DE53" s="1079">
        <v>0</v>
      </c>
      <c r="DF53" s="970"/>
      <c r="DG53" s="1068" t="s">
        <v>438</v>
      </c>
      <c r="DH53" s="1069"/>
      <c r="DI53" s="1070"/>
      <c r="DJ53" s="1070"/>
      <c r="DK53" s="1071"/>
      <c r="DL53" s="1072"/>
      <c r="DM53" s="1073"/>
      <c r="DN53" s="1074">
        <v>0</v>
      </c>
      <c r="DO53" s="1075"/>
      <c r="DP53" s="1074">
        <v>0</v>
      </c>
      <c r="DQ53" s="1075"/>
      <c r="DR53" s="1074">
        <v>0</v>
      </c>
      <c r="DS53" s="1075"/>
      <c r="DT53" s="1074">
        <v>0</v>
      </c>
      <c r="DU53" s="1075"/>
      <c r="DV53" s="1074">
        <v>0</v>
      </c>
      <c r="DW53" s="1075"/>
      <c r="DX53" s="1074">
        <v>0</v>
      </c>
      <c r="DY53" s="1075"/>
      <c r="DZ53" s="1074">
        <v>0</v>
      </c>
      <c r="EA53" s="1075"/>
      <c r="EB53" s="1074">
        <v>0</v>
      </c>
      <c r="EC53" s="1075"/>
      <c r="ED53" s="1074">
        <v>1072</v>
      </c>
      <c r="EE53" s="1075"/>
      <c r="EF53" s="1074">
        <v>1038</v>
      </c>
      <c r="EG53" s="1075"/>
      <c r="EH53" s="1074">
        <v>1071</v>
      </c>
      <c r="EI53" s="1075"/>
      <c r="EJ53" s="1074">
        <v>1092</v>
      </c>
      <c r="EK53" s="1075"/>
      <c r="EL53" s="1074">
        <v>1094</v>
      </c>
      <c r="EM53" s="1075"/>
      <c r="EN53" s="1074">
        <v>1082</v>
      </c>
      <c r="EO53" s="1075"/>
      <c r="EP53" s="1074">
        <v>1074</v>
      </c>
      <c r="EQ53" s="1075"/>
      <c r="ER53" s="1074">
        <v>1070</v>
      </c>
      <c r="ES53" s="1075"/>
      <c r="ET53" s="1074">
        <v>1036</v>
      </c>
      <c r="EU53" s="1075"/>
      <c r="EV53" s="1074">
        <v>1004</v>
      </c>
      <c r="EW53" s="1075"/>
      <c r="EX53" s="1074">
        <v>0</v>
      </c>
      <c r="EY53" s="1075"/>
      <c r="EZ53" s="1074">
        <v>0</v>
      </c>
      <c r="FA53" s="1075"/>
      <c r="FB53" s="1074">
        <v>0</v>
      </c>
      <c r="FC53" s="1075"/>
      <c r="FD53" s="1074">
        <v>0</v>
      </c>
      <c r="FE53" s="1076"/>
      <c r="FF53" s="1077">
        <v>0</v>
      </c>
      <c r="FG53" s="1078"/>
      <c r="FH53" s="1079">
        <v>0</v>
      </c>
      <c r="FI53" s="970"/>
      <c r="FJ53" s="1068" t="s">
        <v>438</v>
      </c>
      <c r="FK53" s="1069"/>
      <c r="FL53" s="1070"/>
      <c r="FM53" s="1070"/>
      <c r="FN53" s="1071"/>
      <c r="FO53" s="1072"/>
      <c r="FP53" s="1080"/>
      <c r="FQ53" s="1081"/>
      <c r="FR53" s="1074">
        <v>1834</v>
      </c>
      <c r="FS53" s="1082"/>
      <c r="FT53" s="1081"/>
      <c r="FU53" s="1083">
        <v>1850</v>
      </c>
      <c r="FV53" s="1084">
        <v>14</v>
      </c>
      <c r="FW53" s="1085">
        <v>1192</v>
      </c>
      <c r="FX53" s="1086">
        <v>13</v>
      </c>
      <c r="FY53" s="1085">
        <v>1175</v>
      </c>
      <c r="FZ53" s="1086">
        <v>13</v>
      </c>
      <c r="GA53" s="1085">
        <v>1094</v>
      </c>
      <c r="GB53" s="1087" t="s">
        <v>536</v>
      </c>
      <c r="GC53" s="1085">
        <v>1192</v>
      </c>
      <c r="GD53" s="1087" t="s">
        <v>360</v>
      </c>
      <c r="GE53" s="1088">
        <v>1850</v>
      </c>
      <c r="GF53" s="681"/>
      <c r="GG53" s="979"/>
      <c r="GH53" s="979"/>
      <c r="GI53" s="979"/>
      <c r="GJ53" s="942"/>
      <c r="GK53" s="414"/>
      <c r="GL53" s="1089">
        <v>10</v>
      </c>
      <c r="GM53" s="1090">
        <v>1</v>
      </c>
      <c r="GN53" s="1091">
        <v>0.92</v>
      </c>
      <c r="GO53" s="1092">
        <v>4.2</v>
      </c>
      <c r="GP53" s="1092">
        <v>7</v>
      </c>
      <c r="GQ53" s="1093">
        <v>11.2</v>
      </c>
      <c r="GR53" s="577"/>
      <c r="GS53" s="480"/>
      <c r="GT53" s="850"/>
      <c r="GU53" s="577" t="s">
        <v>553</v>
      </c>
      <c r="GV53" s="577"/>
      <c r="GW53" s="577"/>
      <c r="GX53" s="577"/>
      <c r="GY53" s="414"/>
      <c r="GZ53" s="410"/>
      <c r="HA53" s="612">
        <v>38.4</v>
      </c>
      <c r="HB53" s="576" t="s">
        <v>470</v>
      </c>
      <c r="HC53" s="792"/>
      <c r="HD53" s="416"/>
    </row>
    <row r="54" spans="1:212" ht="20.100000000000001" customHeight="1">
      <c r="A54" s="1094" t="s">
        <v>439</v>
      </c>
      <c r="B54" s="1095"/>
      <c r="C54" s="1096"/>
      <c r="D54" s="1097"/>
      <c r="E54" s="1098"/>
      <c r="F54" s="1099"/>
      <c r="G54" s="1100"/>
      <c r="H54" s="1101">
        <v>0</v>
      </c>
      <c r="I54" s="1102"/>
      <c r="J54" s="1101">
        <v>0</v>
      </c>
      <c r="K54" s="1102"/>
      <c r="L54" s="1101">
        <v>0</v>
      </c>
      <c r="M54" s="1102"/>
      <c r="N54" s="1101">
        <v>0</v>
      </c>
      <c r="O54" s="1102"/>
      <c r="P54" s="1101">
        <v>0</v>
      </c>
      <c r="Q54" s="1102"/>
      <c r="R54" s="1101">
        <v>0</v>
      </c>
      <c r="S54" s="1102"/>
      <c r="T54" s="1101">
        <v>0</v>
      </c>
      <c r="U54" s="1102"/>
      <c r="V54" s="1101">
        <v>0</v>
      </c>
      <c r="W54" s="1102"/>
      <c r="X54" s="1101">
        <v>89.4</v>
      </c>
      <c r="Y54" s="1102"/>
      <c r="Z54" s="1101">
        <v>87</v>
      </c>
      <c r="AA54" s="1102"/>
      <c r="AB54" s="1101">
        <v>88.6</v>
      </c>
      <c r="AC54" s="1102"/>
      <c r="AD54" s="1101">
        <v>89.4</v>
      </c>
      <c r="AE54" s="1102"/>
      <c r="AF54" s="1101">
        <v>90.3</v>
      </c>
      <c r="AG54" s="1102"/>
      <c r="AH54" s="1101">
        <v>90.3</v>
      </c>
      <c r="AI54" s="1102"/>
      <c r="AJ54" s="1101">
        <v>88.6</v>
      </c>
      <c r="AK54" s="1102"/>
      <c r="AL54" s="1101">
        <v>87.8</v>
      </c>
      <c r="AM54" s="1102"/>
      <c r="AN54" s="1101">
        <v>85.1</v>
      </c>
      <c r="AO54" s="1102"/>
      <c r="AP54" s="1101">
        <v>83.3</v>
      </c>
      <c r="AQ54" s="1102"/>
      <c r="AR54" s="1101">
        <v>0</v>
      </c>
      <c r="AS54" s="1102"/>
      <c r="AT54" s="1101">
        <v>0</v>
      </c>
      <c r="AU54" s="1102"/>
      <c r="AV54" s="1101">
        <v>0</v>
      </c>
      <c r="AW54" s="1102"/>
      <c r="AX54" s="1101">
        <v>0</v>
      </c>
      <c r="AY54" s="1102"/>
      <c r="AZ54" s="1101">
        <v>0</v>
      </c>
      <c r="BA54" s="1102"/>
      <c r="BB54" s="1103">
        <v>0</v>
      </c>
      <c r="BC54" s="1006"/>
      <c r="BD54" s="1094" t="s">
        <v>439</v>
      </c>
      <c r="BE54" s="1095"/>
      <c r="BF54" s="1096"/>
      <c r="BG54" s="1097"/>
      <c r="BH54" s="1098"/>
      <c r="BI54" s="1099"/>
      <c r="BJ54" s="1100"/>
      <c r="BK54" s="1101">
        <v>0</v>
      </c>
      <c r="BL54" s="1102"/>
      <c r="BM54" s="1101">
        <v>0</v>
      </c>
      <c r="BN54" s="1102"/>
      <c r="BO54" s="1101">
        <v>0</v>
      </c>
      <c r="BP54" s="1102"/>
      <c r="BQ54" s="1101">
        <v>0</v>
      </c>
      <c r="BR54" s="1102"/>
      <c r="BS54" s="1101">
        <v>0</v>
      </c>
      <c r="BT54" s="1102"/>
      <c r="BU54" s="1101">
        <v>0</v>
      </c>
      <c r="BV54" s="1102"/>
      <c r="BW54" s="1101">
        <v>0</v>
      </c>
      <c r="BX54" s="1102"/>
      <c r="BY54" s="1101">
        <v>0</v>
      </c>
      <c r="BZ54" s="1102"/>
      <c r="CA54" s="1101">
        <v>88.5</v>
      </c>
      <c r="CB54" s="1102"/>
      <c r="CC54" s="1101">
        <v>85.2</v>
      </c>
      <c r="CD54" s="1102"/>
      <c r="CE54" s="1101">
        <v>87.7</v>
      </c>
      <c r="CF54" s="1102"/>
      <c r="CG54" s="1101">
        <v>88.5</v>
      </c>
      <c r="CH54" s="1102"/>
      <c r="CI54" s="1101">
        <v>89</v>
      </c>
      <c r="CJ54" s="1102"/>
      <c r="CK54" s="1101">
        <v>88.3</v>
      </c>
      <c r="CL54" s="1102"/>
      <c r="CM54" s="1101">
        <v>87.5</v>
      </c>
      <c r="CN54" s="1102"/>
      <c r="CO54" s="1101">
        <v>86.7</v>
      </c>
      <c r="CP54" s="1102"/>
      <c r="CQ54" s="1101">
        <v>85.1</v>
      </c>
      <c r="CR54" s="1102"/>
      <c r="CS54" s="1101">
        <v>82.6</v>
      </c>
      <c r="CT54" s="1102"/>
      <c r="CU54" s="1101">
        <v>0</v>
      </c>
      <c r="CV54" s="1102"/>
      <c r="CW54" s="1101">
        <v>0</v>
      </c>
      <c r="CX54" s="1102"/>
      <c r="CY54" s="1101">
        <v>0</v>
      </c>
      <c r="CZ54" s="1102"/>
      <c r="DA54" s="1101">
        <v>0</v>
      </c>
      <c r="DB54" s="1102"/>
      <c r="DC54" s="1101">
        <v>0</v>
      </c>
      <c r="DD54" s="1102"/>
      <c r="DE54" s="1103">
        <v>0</v>
      </c>
      <c r="DF54" s="1006"/>
      <c r="DG54" s="1094" t="s">
        <v>439</v>
      </c>
      <c r="DH54" s="1095"/>
      <c r="DI54" s="1096"/>
      <c r="DJ54" s="1097"/>
      <c r="DK54" s="1098"/>
      <c r="DL54" s="1099"/>
      <c r="DM54" s="1100"/>
      <c r="DN54" s="1101">
        <v>0</v>
      </c>
      <c r="DO54" s="1102"/>
      <c r="DP54" s="1101">
        <v>0</v>
      </c>
      <c r="DQ54" s="1102"/>
      <c r="DR54" s="1101">
        <v>0</v>
      </c>
      <c r="DS54" s="1102"/>
      <c r="DT54" s="1101">
        <v>0</v>
      </c>
      <c r="DU54" s="1102"/>
      <c r="DV54" s="1101">
        <v>0</v>
      </c>
      <c r="DW54" s="1102"/>
      <c r="DX54" s="1101">
        <v>0</v>
      </c>
      <c r="DY54" s="1102"/>
      <c r="DZ54" s="1101">
        <v>0</v>
      </c>
      <c r="EA54" s="1102"/>
      <c r="EB54" s="1101">
        <v>0</v>
      </c>
      <c r="EC54" s="1102"/>
      <c r="ED54" s="1101">
        <v>81.2</v>
      </c>
      <c r="EE54" s="1102"/>
      <c r="EF54" s="1101">
        <v>78.599999999999994</v>
      </c>
      <c r="EG54" s="1102"/>
      <c r="EH54" s="1101">
        <v>81.099999999999994</v>
      </c>
      <c r="EI54" s="1102"/>
      <c r="EJ54" s="1101">
        <v>82.7</v>
      </c>
      <c r="EK54" s="1102"/>
      <c r="EL54" s="1101">
        <v>82.9</v>
      </c>
      <c r="EM54" s="1102"/>
      <c r="EN54" s="1101">
        <v>82</v>
      </c>
      <c r="EO54" s="1102"/>
      <c r="EP54" s="1101">
        <v>81.400000000000006</v>
      </c>
      <c r="EQ54" s="1102"/>
      <c r="ER54" s="1101">
        <v>81.099999999999994</v>
      </c>
      <c r="ES54" s="1102"/>
      <c r="ET54" s="1101">
        <v>78.5</v>
      </c>
      <c r="EU54" s="1102"/>
      <c r="EV54" s="1101">
        <v>76.099999999999994</v>
      </c>
      <c r="EW54" s="1102"/>
      <c r="EX54" s="1101">
        <v>0</v>
      </c>
      <c r="EY54" s="1102"/>
      <c r="EZ54" s="1101">
        <v>0</v>
      </c>
      <c r="FA54" s="1102"/>
      <c r="FB54" s="1101">
        <v>0</v>
      </c>
      <c r="FC54" s="1102"/>
      <c r="FD54" s="1101">
        <v>0</v>
      </c>
      <c r="FE54" s="1102"/>
      <c r="FF54" s="1101">
        <v>0</v>
      </c>
      <c r="FG54" s="1102"/>
      <c r="FH54" s="1103">
        <v>0</v>
      </c>
      <c r="FI54" s="1006"/>
      <c r="FJ54" s="1094" t="s">
        <v>439</v>
      </c>
      <c r="FK54" s="1095"/>
      <c r="FL54" s="1096"/>
      <c r="FM54" s="1097"/>
      <c r="FN54" s="1098"/>
      <c r="FO54" s="1099"/>
      <c r="FP54" s="1104"/>
      <c r="FQ54" s="1102"/>
      <c r="FR54" s="1101">
        <v>138.9</v>
      </c>
      <c r="FS54" s="1105"/>
      <c r="FT54" s="1102"/>
      <c r="FU54" s="1106">
        <v>140.19999999999999</v>
      </c>
      <c r="FV54" s="1105"/>
      <c r="FW54" s="1101">
        <f>IF(面積=0,0,ROUND(FW53/面積,1))</f>
        <v>90.3</v>
      </c>
      <c r="FX54" s="1105"/>
      <c r="FY54" s="1101">
        <f>IF(面積=0,0,ROUND(FY53/面積,1))</f>
        <v>89</v>
      </c>
      <c r="FZ54" s="1105"/>
      <c r="GA54" s="1101">
        <f>IF(面積=0,0,ROUND(GA53/面積,1))</f>
        <v>82.9</v>
      </c>
      <c r="GB54" s="1105"/>
      <c r="GC54" s="1101">
        <f>IF(面積=0,0,ROUND(GC53/面積,1))</f>
        <v>90.3</v>
      </c>
      <c r="GD54" s="1105"/>
      <c r="GE54" s="1103">
        <f>IF(面積=0,0,ROUND(GE53/面積,1))</f>
        <v>140.19999999999999</v>
      </c>
      <c r="GF54" s="681"/>
      <c r="GG54" s="926"/>
      <c r="GH54" s="926"/>
      <c r="GI54" s="926"/>
      <c r="GJ54" s="577"/>
      <c r="GK54" s="576"/>
      <c r="GL54" s="1089">
        <v>11</v>
      </c>
      <c r="GM54" s="1090">
        <v>2</v>
      </c>
      <c r="GN54" s="1091">
        <v>0.85</v>
      </c>
      <c r="GO54" s="1092">
        <v>3.9</v>
      </c>
      <c r="GP54" s="1092">
        <v>7</v>
      </c>
      <c r="GQ54" s="1093">
        <v>10.9</v>
      </c>
      <c r="GR54" s="527"/>
      <c r="GS54" s="577"/>
      <c r="GT54" s="850"/>
      <c r="GU54" s="1107" t="s">
        <v>518</v>
      </c>
      <c r="GV54" s="1107"/>
      <c r="GW54" s="1107"/>
      <c r="GX54" s="1107"/>
      <c r="GY54" s="768"/>
      <c r="GZ54" s="1108"/>
      <c r="HA54" s="1109">
        <v>75</v>
      </c>
      <c r="HB54" s="1110" t="s">
        <v>470</v>
      </c>
      <c r="HC54" s="526"/>
      <c r="HD54" s="416"/>
    </row>
    <row r="55" spans="1:212" ht="20.100000000000001" customHeight="1" thickBot="1">
      <c r="A55" s="387"/>
      <c r="B55" s="387"/>
      <c r="C55" s="387"/>
      <c r="D55" s="387"/>
      <c r="E55" s="388"/>
      <c r="F55" s="388"/>
      <c r="G55" s="388"/>
      <c r="H55" s="1111"/>
      <c r="I55" s="416"/>
      <c r="J55" s="416"/>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90"/>
      <c r="BD55" s="387"/>
      <c r="BE55" s="387"/>
      <c r="BF55" s="387"/>
      <c r="BG55" s="387"/>
      <c r="BH55" s="388"/>
      <c r="BI55" s="388"/>
      <c r="BJ55" s="388"/>
      <c r="BK55" s="1111"/>
      <c r="BL55" s="416"/>
      <c r="BM55" s="416"/>
      <c r="BN55" s="388"/>
      <c r="BO55" s="388"/>
      <c r="BP55" s="388"/>
      <c r="BQ55" s="388"/>
      <c r="BR55" s="388"/>
      <c r="BS55" s="388"/>
      <c r="BT55" s="388"/>
      <c r="BU55" s="388"/>
      <c r="BV55" s="388"/>
      <c r="BW55" s="388"/>
      <c r="BX55" s="388"/>
      <c r="BY55" s="388"/>
      <c r="BZ55" s="388"/>
      <c r="CA55" s="388"/>
      <c r="CB55" s="388"/>
      <c r="CC55" s="388"/>
      <c r="CD55" s="388"/>
      <c r="CE55" s="388"/>
      <c r="CF55" s="388"/>
      <c r="CG55" s="388"/>
      <c r="CH55" s="388"/>
      <c r="CI55" s="388"/>
      <c r="CJ55" s="388"/>
      <c r="CK55" s="388"/>
      <c r="CL55" s="388"/>
      <c r="CM55" s="388"/>
      <c r="CN55" s="388"/>
      <c r="CO55" s="388"/>
      <c r="CP55" s="388"/>
      <c r="CQ55" s="388"/>
      <c r="CR55" s="388"/>
      <c r="CS55" s="388"/>
      <c r="CT55" s="388"/>
      <c r="CU55" s="388"/>
      <c r="CV55" s="388"/>
      <c r="CW55" s="388"/>
      <c r="CX55" s="388"/>
      <c r="CY55" s="388"/>
      <c r="CZ55" s="388"/>
      <c r="DA55" s="388"/>
      <c r="DB55" s="388"/>
      <c r="DC55" s="388"/>
      <c r="DD55" s="388"/>
      <c r="DE55" s="388"/>
      <c r="DF55" s="390"/>
      <c r="DG55" s="387"/>
      <c r="DH55" s="387"/>
      <c r="DI55" s="387"/>
      <c r="DJ55" s="387"/>
      <c r="DK55" s="388"/>
      <c r="DL55" s="388"/>
      <c r="DM55" s="388"/>
      <c r="DN55" s="1111"/>
      <c r="DO55" s="416"/>
      <c r="DP55" s="416"/>
      <c r="DQ55" s="388"/>
      <c r="DR55" s="388"/>
      <c r="DS55" s="388"/>
      <c r="DT55" s="388"/>
      <c r="DU55" s="388"/>
      <c r="DV55" s="388"/>
      <c r="DW55" s="388"/>
      <c r="DX55" s="388"/>
      <c r="DY55" s="388"/>
      <c r="DZ55" s="388"/>
      <c r="EA55" s="388"/>
      <c r="EB55" s="388"/>
      <c r="EC55" s="388"/>
      <c r="ED55" s="388"/>
      <c r="EE55" s="388"/>
      <c r="EF55" s="388"/>
      <c r="EG55" s="388"/>
      <c r="EH55" s="388"/>
      <c r="EI55" s="388"/>
      <c r="EJ55" s="388"/>
      <c r="EK55" s="388"/>
      <c r="EL55" s="388"/>
      <c r="EM55" s="388"/>
      <c r="EN55" s="388"/>
      <c r="EO55" s="388"/>
      <c r="EP55" s="388"/>
      <c r="EQ55" s="388"/>
      <c r="ER55" s="388"/>
      <c r="ES55" s="388"/>
      <c r="ET55" s="388"/>
      <c r="EU55" s="388"/>
      <c r="EV55" s="388"/>
      <c r="EW55" s="388"/>
      <c r="EX55" s="388"/>
      <c r="EY55" s="388"/>
      <c r="EZ55" s="388"/>
      <c r="FA55" s="388"/>
      <c r="FB55" s="388"/>
      <c r="FC55" s="388"/>
      <c r="FD55" s="388"/>
      <c r="FE55" s="388"/>
      <c r="FF55" s="388"/>
      <c r="FG55" s="388"/>
      <c r="FH55" s="388"/>
      <c r="FI55" s="390"/>
      <c r="FJ55" s="387"/>
      <c r="FK55" s="387"/>
      <c r="FL55" s="387"/>
      <c r="FM55" s="387"/>
      <c r="FN55" s="388"/>
      <c r="FO55" s="388"/>
      <c r="FP55" s="388"/>
      <c r="FQ55" s="416"/>
      <c r="FR55" s="1111"/>
      <c r="FS55" s="416"/>
      <c r="FT55" s="416"/>
      <c r="FU55" s="416"/>
      <c r="FV55" s="387"/>
      <c r="FW55" s="387"/>
      <c r="FX55" s="387"/>
      <c r="FY55" s="387"/>
      <c r="FZ55" s="387"/>
      <c r="GA55" s="387"/>
      <c r="GB55" s="387"/>
      <c r="GC55" s="387"/>
      <c r="GD55" s="387"/>
      <c r="GE55" s="1112"/>
      <c r="GF55" s="681"/>
      <c r="GG55" s="392"/>
      <c r="GH55" s="392"/>
      <c r="GI55" s="392"/>
      <c r="GJ55" s="527"/>
      <c r="GK55" s="414"/>
      <c r="GL55" s="1113">
        <v>12</v>
      </c>
      <c r="GM55" s="1114">
        <v>3</v>
      </c>
      <c r="GN55" s="1091">
        <v>0.78</v>
      </c>
      <c r="GO55" s="1092">
        <v>3.6</v>
      </c>
      <c r="GP55" s="1092">
        <v>7</v>
      </c>
      <c r="GQ55" s="1093">
        <v>10.6</v>
      </c>
      <c r="GR55" s="527"/>
      <c r="GS55" s="527"/>
      <c r="GT55" s="1115"/>
      <c r="GU55" s="1116"/>
      <c r="GV55" s="576"/>
      <c r="GW55" s="527"/>
      <c r="GX55" s="576"/>
      <c r="GY55" s="392"/>
      <c r="GZ55" s="526"/>
      <c r="HA55" s="577"/>
      <c r="HB55" s="526"/>
      <c r="HC55" s="392"/>
      <c r="HD55" s="388"/>
    </row>
    <row r="56" spans="1:212" ht="20.100000000000001" customHeight="1">
      <c r="A56" s="1117" t="s">
        <v>337</v>
      </c>
      <c r="B56" s="1118"/>
      <c r="C56" s="1118"/>
      <c r="D56" s="1118"/>
      <c r="E56" s="1119"/>
      <c r="F56" s="1120"/>
      <c r="G56" s="1121">
        <v>1</v>
      </c>
      <c r="H56" s="1122"/>
      <c r="I56" s="1123">
        <v>2</v>
      </c>
      <c r="J56" s="1122"/>
      <c r="K56" s="1123">
        <v>3</v>
      </c>
      <c r="L56" s="1122"/>
      <c r="M56" s="1123">
        <v>4</v>
      </c>
      <c r="N56" s="1122"/>
      <c r="O56" s="1123">
        <v>5</v>
      </c>
      <c r="P56" s="1122"/>
      <c r="Q56" s="1123">
        <v>6</v>
      </c>
      <c r="R56" s="1122"/>
      <c r="S56" s="1123">
        <v>7</v>
      </c>
      <c r="T56" s="1122"/>
      <c r="U56" s="1123">
        <v>8</v>
      </c>
      <c r="V56" s="1122"/>
      <c r="W56" s="1123">
        <v>9</v>
      </c>
      <c r="X56" s="1122"/>
      <c r="Y56" s="1123">
        <v>10</v>
      </c>
      <c r="Z56" s="1122"/>
      <c r="AA56" s="1123">
        <v>11</v>
      </c>
      <c r="AB56" s="1122"/>
      <c r="AC56" s="1123">
        <v>12</v>
      </c>
      <c r="AD56" s="1122"/>
      <c r="AE56" s="1123">
        <v>13</v>
      </c>
      <c r="AF56" s="1122"/>
      <c r="AG56" s="1123">
        <v>14</v>
      </c>
      <c r="AH56" s="1122"/>
      <c r="AI56" s="1123">
        <v>15</v>
      </c>
      <c r="AJ56" s="1122"/>
      <c r="AK56" s="1123">
        <v>16</v>
      </c>
      <c r="AL56" s="1122"/>
      <c r="AM56" s="1123">
        <v>17</v>
      </c>
      <c r="AN56" s="1122"/>
      <c r="AO56" s="1123">
        <v>18</v>
      </c>
      <c r="AP56" s="1122"/>
      <c r="AQ56" s="1123">
        <v>19</v>
      </c>
      <c r="AR56" s="1122"/>
      <c r="AS56" s="1123">
        <v>20</v>
      </c>
      <c r="AT56" s="1122"/>
      <c r="AU56" s="1123">
        <v>21</v>
      </c>
      <c r="AV56" s="1122"/>
      <c r="AW56" s="1123">
        <v>22</v>
      </c>
      <c r="AX56" s="1122"/>
      <c r="AY56" s="1123">
        <v>23</v>
      </c>
      <c r="AZ56" s="1122"/>
      <c r="BA56" s="1123">
        <v>24</v>
      </c>
      <c r="BB56" s="1124"/>
      <c r="BC56" s="1027"/>
      <c r="BD56" s="1117" t="s">
        <v>337</v>
      </c>
      <c r="BE56" s="1118"/>
      <c r="BF56" s="1118"/>
      <c r="BG56" s="1118"/>
      <c r="BH56" s="1119"/>
      <c r="BI56" s="1120"/>
      <c r="BJ56" s="1121">
        <v>1</v>
      </c>
      <c r="BK56" s="1122"/>
      <c r="BL56" s="1123">
        <v>2</v>
      </c>
      <c r="BM56" s="1122"/>
      <c r="BN56" s="1123">
        <v>3</v>
      </c>
      <c r="BO56" s="1122"/>
      <c r="BP56" s="1123">
        <v>4</v>
      </c>
      <c r="BQ56" s="1122"/>
      <c r="BR56" s="1123">
        <v>5</v>
      </c>
      <c r="BS56" s="1122"/>
      <c r="BT56" s="1123">
        <v>6</v>
      </c>
      <c r="BU56" s="1122"/>
      <c r="BV56" s="1123">
        <v>7</v>
      </c>
      <c r="BW56" s="1122"/>
      <c r="BX56" s="1123">
        <v>8</v>
      </c>
      <c r="BY56" s="1122"/>
      <c r="BZ56" s="1123">
        <v>9</v>
      </c>
      <c r="CA56" s="1122"/>
      <c r="CB56" s="1123">
        <v>10</v>
      </c>
      <c r="CC56" s="1122"/>
      <c r="CD56" s="1123">
        <v>11</v>
      </c>
      <c r="CE56" s="1122"/>
      <c r="CF56" s="1123">
        <v>12</v>
      </c>
      <c r="CG56" s="1122"/>
      <c r="CH56" s="1123">
        <v>13</v>
      </c>
      <c r="CI56" s="1122"/>
      <c r="CJ56" s="1123">
        <v>14</v>
      </c>
      <c r="CK56" s="1122"/>
      <c r="CL56" s="1123">
        <v>15</v>
      </c>
      <c r="CM56" s="1122"/>
      <c r="CN56" s="1123">
        <v>16</v>
      </c>
      <c r="CO56" s="1122"/>
      <c r="CP56" s="1123">
        <v>17</v>
      </c>
      <c r="CQ56" s="1122"/>
      <c r="CR56" s="1123">
        <v>18</v>
      </c>
      <c r="CS56" s="1122"/>
      <c r="CT56" s="1123">
        <v>19</v>
      </c>
      <c r="CU56" s="1122"/>
      <c r="CV56" s="1123">
        <v>20</v>
      </c>
      <c r="CW56" s="1122"/>
      <c r="CX56" s="1123">
        <v>21</v>
      </c>
      <c r="CY56" s="1122"/>
      <c r="CZ56" s="1123">
        <v>22</v>
      </c>
      <c r="DA56" s="1122"/>
      <c r="DB56" s="1123">
        <v>23</v>
      </c>
      <c r="DC56" s="1122"/>
      <c r="DD56" s="1123">
        <v>24</v>
      </c>
      <c r="DE56" s="1124"/>
      <c r="DF56" s="1027"/>
      <c r="DG56" s="1117" t="s">
        <v>337</v>
      </c>
      <c r="DH56" s="1118"/>
      <c r="DI56" s="1118"/>
      <c r="DJ56" s="1118"/>
      <c r="DK56" s="1119"/>
      <c r="DL56" s="1120"/>
      <c r="DM56" s="1121">
        <v>1</v>
      </c>
      <c r="DN56" s="1122"/>
      <c r="DO56" s="1123">
        <v>2</v>
      </c>
      <c r="DP56" s="1122"/>
      <c r="DQ56" s="1123">
        <v>3</v>
      </c>
      <c r="DR56" s="1122"/>
      <c r="DS56" s="1123">
        <v>4</v>
      </c>
      <c r="DT56" s="1122"/>
      <c r="DU56" s="1123">
        <v>5</v>
      </c>
      <c r="DV56" s="1122"/>
      <c r="DW56" s="1123">
        <v>6</v>
      </c>
      <c r="DX56" s="1122"/>
      <c r="DY56" s="1123">
        <v>7</v>
      </c>
      <c r="DZ56" s="1122"/>
      <c r="EA56" s="1123">
        <v>8</v>
      </c>
      <c r="EB56" s="1122"/>
      <c r="EC56" s="1123">
        <v>9</v>
      </c>
      <c r="ED56" s="1122"/>
      <c r="EE56" s="1123">
        <v>10</v>
      </c>
      <c r="EF56" s="1122"/>
      <c r="EG56" s="1123">
        <v>11</v>
      </c>
      <c r="EH56" s="1122"/>
      <c r="EI56" s="1123">
        <v>12</v>
      </c>
      <c r="EJ56" s="1122"/>
      <c r="EK56" s="1123">
        <v>13</v>
      </c>
      <c r="EL56" s="1122"/>
      <c r="EM56" s="1123">
        <v>14</v>
      </c>
      <c r="EN56" s="1122"/>
      <c r="EO56" s="1123">
        <v>15</v>
      </c>
      <c r="EP56" s="1122"/>
      <c r="EQ56" s="1123">
        <v>16</v>
      </c>
      <c r="ER56" s="1122"/>
      <c r="ES56" s="1123">
        <v>17</v>
      </c>
      <c r="ET56" s="1122"/>
      <c r="EU56" s="1123">
        <v>18</v>
      </c>
      <c r="EV56" s="1122"/>
      <c r="EW56" s="1123">
        <v>19</v>
      </c>
      <c r="EX56" s="1122"/>
      <c r="EY56" s="1123">
        <v>20</v>
      </c>
      <c r="EZ56" s="1122"/>
      <c r="FA56" s="1123">
        <v>21</v>
      </c>
      <c r="FB56" s="1122"/>
      <c r="FC56" s="1123">
        <v>22</v>
      </c>
      <c r="FD56" s="1122"/>
      <c r="FE56" s="1123">
        <v>23</v>
      </c>
      <c r="FF56" s="1122"/>
      <c r="FG56" s="1123">
        <v>24</v>
      </c>
      <c r="FH56" s="1124"/>
      <c r="FI56" s="1027"/>
      <c r="FJ56" s="1117" t="s">
        <v>338</v>
      </c>
      <c r="FK56" s="1118"/>
      <c r="FL56" s="1118"/>
      <c r="FM56" s="1118"/>
      <c r="FN56" s="1119"/>
      <c r="FO56" s="1119"/>
      <c r="FP56" s="1125" t="s">
        <v>532</v>
      </c>
      <c r="FQ56" s="1126"/>
      <c r="FR56" s="1127"/>
      <c r="FS56" s="1128" t="s">
        <v>297</v>
      </c>
      <c r="FT56" s="1129"/>
      <c r="FU56" s="1130"/>
      <c r="FV56" s="1131" t="s">
        <v>340</v>
      </c>
      <c r="FW56" s="1132"/>
      <c r="FX56" s="1133" t="s">
        <v>341</v>
      </c>
      <c r="FY56" s="1134"/>
      <c r="FZ56" s="1135" t="s">
        <v>342</v>
      </c>
      <c r="GA56" s="1136"/>
      <c r="GB56" s="1137" t="s">
        <v>343</v>
      </c>
      <c r="GC56" s="1122"/>
      <c r="GD56" s="1137" t="s">
        <v>344</v>
      </c>
      <c r="GE56" s="1124"/>
      <c r="GF56" s="681"/>
      <c r="GG56" s="480"/>
      <c r="GH56" s="480"/>
      <c r="GI56" s="480"/>
      <c r="GJ56" s="527"/>
      <c r="GK56" s="576"/>
      <c r="GL56" s="1089">
        <v>13</v>
      </c>
      <c r="GM56" s="1090">
        <v>4</v>
      </c>
      <c r="GN56" s="1091">
        <v>0.72</v>
      </c>
      <c r="GO56" s="1092">
        <v>3.3</v>
      </c>
      <c r="GP56" s="1092">
        <v>7</v>
      </c>
      <c r="GQ56" s="1093">
        <v>10.3</v>
      </c>
      <c r="GR56" s="527"/>
      <c r="GS56" s="526"/>
      <c r="GT56" s="1253"/>
      <c r="GU56" s="575"/>
      <c r="GV56" s="576"/>
      <c r="GW56" s="575"/>
      <c r="GX56" s="576"/>
      <c r="GY56" s="576"/>
      <c r="GZ56" s="497"/>
      <c r="HA56" s="575"/>
      <c r="HB56" s="497"/>
      <c r="HC56" s="483"/>
    </row>
    <row r="57" spans="1:212" ht="20.100000000000001" customHeight="1">
      <c r="A57" s="1138"/>
      <c r="B57" s="1139"/>
      <c r="C57" s="1139"/>
      <c r="D57" s="1139"/>
      <c r="E57" s="1140"/>
      <c r="F57" s="1141"/>
      <c r="G57" s="1142" t="s">
        <v>345</v>
      </c>
      <c r="H57" s="1143" t="s">
        <v>322</v>
      </c>
      <c r="I57" s="1144" t="s">
        <v>345</v>
      </c>
      <c r="J57" s="1143" t="s">
        <v>322</v>
      </c>
      <c r="K57" s="1144" t="s">
        <v>345</v>
      </c>
      <c r="L57" s="1143" t="s">
        <v>322</v>
      </c>
      <c r="M57" s="1144" t="s">
        <v>345</v>
      </c>
      <c r="N57" s="1143" t="s">
        <v>322</v>
      </c>
      <c r="O57" s="1144" t="s">
        <v>345</v>
      </c>
      <c r="P57" s="1143" t="s">
        <v>322</v>
      </c>
      <c r="Q57" s="1144" t="s">
        <v>345</v>
      </c>
      <c r="R57" s="1143" t="s">
        <v>322</v>
      </c>
      <c r="S57" s="1144" t="s">
        <v>345</v>
      </c>
      <c r="T57" s="1143" t="s">
        <v>322</v>
      </c>
      <c r="U57" s="1144" t="s">
        <v>345</v>
      </c>
      <c r="V57" s="1143" t="s">
        <v>322</v>
      </c>
      <c r="W57" s="1144" t="s">
        <v>345</v>
      </c>
      <c r="X57" s="1143" t="s">
        <v>322</v>
      </c>
      <c r="Y57" s="1144" t="s">
        <v>345</v>
      </c>
      <c r="Z57" s="1143" t="s">
        <v>322</v>
      </c>
      <c r="AA57" s="1144" t="s">
        <v>345</v>
      </c>
      <c r="AB57" s="1143" t="s">
        <v>322</v>
      </c>
      <c r="AC57" s="1144" t="s">
        <v>345</v>
      </c>
      <c r="AD57" s="1143" t="s">
        <v>345</v>
      </c>
      <c r="AE57" s="1144" t="s">
        <v>345</v>
      </c>
      <c r="AF57" s="1143" t="s">
        <v>322</v>
      </c>
      <c r="AG57" s="1144" t="s">
        <v>345</v>
      </c>
      <c r="AH57" s="1143" t="s">
        <v>322</v>
      </c>
      <c r="AI57" s="1144" t="s">
        <v>345</v>
      </c>
      <c r="AJ57" s="1143" t="s">
        <v>322</v>
      </c>
      <c r="AK57" s="1144" t="s">
        <v>345</v>
      </c>
      <c r="AL57" s="1143" t="s">
        <v>322</v>
      </c>
      <c r="AM57" s="1144" t="s">
        <v>345</v>
      </c>
      <c r="AN57" s="1143" t="s">
        <v>322</v>
      </c>
      <c r="AO57" s="1144" t="s">
        <v>345</v>
      </c>
      <c r="AP57" s="1143" t="s">
        <v>322</v>
      </c>
      <c r="AQ57" s="1144" t="s">
        <v>345</v>
      </c>
      <c r="AR57" s="1143" t="s">
        <v>322</v>
      </c>
      <c r="AS57" s="1144" t="s">
        <v>345</v>
      </c>
      <c r="AT57" s="1143" t="s">
        <v>322</v>
      </c>
      <c r="AU57" s="1144" t="s">
        <v>345</v>
      </c>
      <c r="AV57" s="1143" t="s">
        <v>322</v>
      </c>
      <c r="AW57" s="1144" t="s">
        <v>345</v>
      </c>
      <c r="AX57" s="1143" t="s">
        <v>322</v>
      </c>
      <c r="AY57" s="1144" t="s">
        <v>345</v>
      </c>
      <c r="AZ57" s="1143" t="s">
        <v>322</v>
      </c>
      <c r="BA57" s="1145" t="s">
        <v>345</v>
      </c>
      <c r="BB57" s="1146" t="s">
        <v>322</v>
      </c>
      <c r="BC57" s="1041"/>
      <c r="BD57" s="1138"/>
      <c r="BE57" s="1139"/>
      <c r="BF57" s="1139"/>
      <c r="BG57" s="1139"/>
      <c r="BH57" s="1140"/>
      <c r="BI57" s="1141"/>
      <c r="BJ57" s="1142" t="s">
        <v>345</v>
      </c>
      <c r="BK57" s="1143" t="s">
        <v>322</v>
      </c>
      <c r="BL57" s="1144" t="s">
        <v>345</v>
      </c>
      <c r="BM57" s="1143" t="s">
        <v>322</v>
      </c>
      <c r="BN57" s="1144" t="s">
        <v>345</v>
      </c>
      <c r="BO57" s="1143" t="s">
        <v>322</v>
      </c>
      <c r="BP57" s="1144" t="s">
        <v>345</v>
      </c>
      <c r="BQ57" s="1143" t="s">
        <v>322</v>
      </c>
      <c r="BR57" s="1144" t="s">
        <v>345</v>
      </c>
      <c r="BS57" s="1143" t="s">
        <v>322</v>
      </c>
      <c r="BT57" s="1144" t="s">
        <v>345</v>
      </c>
      <c r="BU57" s="1143" t="s">
        <v>322</v>
      </c>
      <c r="BV57" s="1144" t="s">
        <v>345</v>
      </c>
      <c r="BW57" s="1143" t="s">
        <v>322</v>
      </c>
      <c r="BX57" s="1144" t="s">
        <v>345</v>
      </c>
      <c r="BY57" s="1143" t="s">
        <v>322</v>
      </c>
      <c r="BZ57" s="1144" t="s">
        <v>345</v>
      </c>
      <c r="CA57" s="1143" t="s">
        <v>322</v>
      </c>
      <c r="CB57" s="1144" t="s">
        <v>345</v>
      </c>
      <c r="CC57" s="1143" t="s">
        <v>322</v>
      </c>
      <c r="CD57" s="1144" t="s">
        <v>345</v>
      </c>
      <c r="CE57" s="1143" t="s">
        <v>322</v>
      </c>
      <c r="CF57" s="1144" t="s">
        <v>345</v>
      </c>
      <c r="CG57" s="1143" t="s">
        <v>345</v>
      </c>
      <c r="CH57" s="1144" t="s">
        <v>345</v>
      </c>
      <c r="CI57" s="1143" t="s">
        <v>322</v>
      </c>
      <c r="CJ57" s="1144" t="s">
        <v>345</v>
      </c>
      <c r="CK57" s="1143" t="s">
        <v>322</v>
      </c>
      <c r="CL57" s="1144" t="s">
        <v>345</v>
      </c>
      <c r="CM57" s="1143" t="s">
        <v>322</v>
      </c>
      <c r="CN57" s="1144" t="s">
        <v>345</v>
      </c>
      <c r="CO57" s="1143" t="s">
        <v>322</v>
      </c>
      <c r="CP57" s="1144" t="s">
        <v>345</v>
      </c>
      <c r="CQ57" s="1143" t="s">
        <v>322</v>
      </c>
      <c r="CR57" s="1144" t="s">
        <v>345</v>
      </c>
      <c r="CS57" s="1143" t="s">
        <v>322</v>
      </c>
      <c r="CT57" s="1144" t="s">
        <v>345</v>
      </c>
      <c r="CU57" s="1143" t="s">
        <v>322</v>
      </c>
      <c r="CV57" s="1144" t="s">
        <v>345</v>
      </c>
      <c r="CW57" s="1143" t="s">
        <v>322</v>
      </c>
      <c r="CX57" s="1144" t="s">
        <v>345</v>
      </c>
      <c r="CY57" s="1143" t="s">
        <v>322</v>
      </c>
      <c r="CZ57" s="1144" t="s">
        <v>345</v>
      </c>
      <c r="DA57" s="1143" t="s">
        <v>322</v>
      </c>
      <c r="DB57" s="1144" t="s">
        <v>345</v>
      </c>
      <c r="DC57" s="1143" t="s">
        <v>322</v>
      </c>
      <c r="DD57" s="1145" t="s">
        <v>345</v>
      </c>
      <c r="DE57" s="1146" t="s">
        <v>322</v>
      </c>
      <c r="DF57" s="1041"/>
      <c r="DG57" s="1138"/>
      <c r="DH57" s="1139"/>
      <c r="DI57" s="1139"/>
      <c r="DJ57" s="1139"/>
      <c r="DK57" s="1140"/>
      <c r="DL57" s="1141"/>
      <c r="DM57" s="1142" t="s">
        <v>345</v>
      </c>
      <c r="DN57" s="1143" t="s">
        <v>322</v>
      </c>
      <c r="DO57" s="1144" t="s">
        <v>345</v>
      </c>
      <c r="DP57" s="1143" t="s">
        <v>322</v>
      </c>
      <c r="DQ57" s="1144" t="s">
        <v>345</v>
      </c>
      <c r="DR57" s="1143" t="s">
        <v>322</v>
      </c>
      <c r="DS57" s="1144" t="s">
        <v>345</v>
      </c>
      <c r="DT57" s="1143" t="s">
        <v>322</v>
      </c>
      <c r="DU57" s="1144" t="s">
        <v>345</v>
      </c>
      <c r="DV57" s="1143" t="s">
        <v>322</v>
      </c>
      <c r="DW57" s="1144" t="s">
        <v>345</v>
      </c>
      <c r="DX57" s="1143" t="s">
        <v>322</v>
      </c>
      <c r="DY57" s="1144" t="s">
        <v>345</v>
      </c>
      <c r="DZ57" s="1143" t="s">
        <v>322</v>
      </c>
      <c r="EA57" s="1144" t="s">
        <v>345</v>
      </c>
      <c r="EB57" s="1143" t="s">
        <v>322</v>
      </c>
      <c r="EC57" s="1144" t="s">
        <v>345</v>
      </c>
      <c r="ED57" s="1143" t="s">
        <v>322</v>
      </c>
      <c r="EE57" s="1144" t="s">
        <v>345</v>
      </c>
      <c r="EF57" s="1143" t="s">
        <v>322</v>
      </c>
      <c r="EG57" s="1144" t="s">
        <v>345</v>
      </c>
      <c r="EH57" s="1143" t="s">
        <v>322</v>
      </c>
      <c r="EI57" s="1144" t="s">
        <v>345</v>
      </c>
      <c r="EJ57" s="1143" t="s">
        <v>345</v>
      </c>
      <c r="EK57" s="1144" t="s">
        <v>345</v>
      </c>
      <c r="EL57" s="1143" t="s">
        <v>322</v>
      </c>
      <c r="EM57" s="1144" t="s">
        <v>345</v>
      </c>
      <c r="EN57" s="1143" t="s">
        <v>322</v>
      </c>
      <c r="EO57" s="1144" t="s">
        <v>345</v>
      </c>
      <c r="EP57" s="1143" t="s">
        <v>322</v>
      </c>
      <c r="EQ57" s="1144" t="s">
        <v>345</v>
      </c>
      <c r="ER57" s="1143" t="s">
        <v>322</v>
      </c>
      <c r="ES57" s="1144" t="s">
        <v>345</v>
      </c>
      <c r="ET57" s="1143" t="s">
        <v>322</v>
      </c>
      <c r="EU57" s="1144" t="s">
        <v>345</v>
      </c>
      <c r="EV57" s="1143" t="s">
        <v>322</v>
      </c>
      <c r="EW57" s="1144" t="s">
        <v>345</v>
      </c>
      <c r="EX57" s="1143" t="s">
        <v>322</v>
      </c>
      <c r="EY57" s="1144" t="s">
        <v>345</v>
      </c>
      <c r="EZ57" s="1143" t="s">
        <v>322</v>
      </c>
      <c r="FA57" s="1144" t="s">
        <v>345</v>
      </c>
      <c r="FB57" s="1143" t="s">
        <v>322</v>
      </c>
      <c r="FC57" s="1144" t="s">
        <v>345</v>
      </c>
      <c r="FD57" s="1143" t="s">
        <v>322</v>
      </c>
      <c r="FE57" s="1144" t="s">
        <v>345</v>
      </c>
      <c r="FF57" s="1143" t="s">
        <v>322</v>
      </c>
      <c r="FG57" s="1145" t="s">
        <v>345</v>
      </c>
      <c r="FH57" s="1146" t="s">
        <v>322</v>
      </c>
      <c r="FI57" s="1041"/>
      <c r="FJ57" s="1138"/>
      <c r="FK57" s="1139"/>
      <c r="FL57" s="1139"/>
      <c r="FM57" s="1139"/>
      <c r="FN57" s="1140"/>
      <c r="FO57" s="1141"/>
      <c r="FP57" s="1147" t="s">
        <v>45</v>
      </c>
      <c r="FQ57" s="1145" t="s">
        <v>345</v>
      </c>
      <c r="FR57" s="1143" t="s">
        <v>324</v>
      </c>
      <c r="FS57" s="1148" t="s">
        <v>45</v>
      </c>
      <c r="FT57" s="1145" t="s">
        <v>345</v>
      </c>
      <c r="FU57" s="1149" t="s">
        <v>324</v>
      </c>
      <c r="FV57" s="1150" t="s">
        <v>45</v>
      </c>
      <c r="FW57" s="1143" t="s">
        <v>322</v>
      </c>
      <c r="FX57" s="1148" t="s">
        <v>45</v>
      </c>
      <c r="FY57" s="1143" t="s">
        <v>322</v>
      </c>
      <c r="FZ57" s="1148" t="s">
        <v>45</v>
      </c>
      <c r="GA57" s="1143" t="s">
        <v>322</v>
      </c>
      <c r="GB57" s="1148" t="s">
        <v>45</v>
      </c>
      <c r="GC57" s="1143" t="s">
        <v>322</v>
      </c>
      <c r="GD57" s="1148" t="s">
        <v>45</v>
      </c>
      <c r="GE57" s="1146" t="s">
        <v>324</v>
      </c>
      <c r="GF57" s="681"/>
      <c r="GG57" s="652"/>
      <c r="GH57" s="652"/>
      <c r="GI57" s="652"/>
      <c r="GJ57" s="942"/>
      <c r="GK57" s="410"/>
      <c r="GL57" s="1113">
        <v>14</v>
      </c>
      <c r="GM57" s="1114">
        <v>5</v>
      </c>
      <c r="GN57" s="1091">
        <v>0.66</v>
      </c>
      <c r="GO57" s="1092">
        <v>3</v>
      </c>
      <c r="GP57" s="1092">
        <v>7</v>
      </c>
      <c r="GQ57" s="1093">
        <v>10</v>
      </c>
      <c r="GR57" s="942"/>
      <c r="GS57" s="526"/>
      <c r="GT57" s="1253"/>
      <c r="GU57" s="575"/>
      <c r="GV57" s="575"/>
      <c r="GW57" s="497"/>
      <c r="GX57" s="1256"/>
      <c r="GY57" s="576"/>
      <c r="GZ57" s="497"/>
      <c r="HA57" s="575"/>
      <c r="HB57" s="497"/>
      <c r="HC57" s="1041"/>
    </row>
    <row r="58" spans="1:212" ht="20.100000000000001" customHeight="1">
      <c r="A58" s="1151" t="s">
        <v>659</v>
      </c>
      <c r="B58" s="1152"/>
      <c r="C58" s="1152"/>
      <c r="D58" s="1152"/>
      <c r="E58" s="1153"/>
      <c r="F58" s="1154"/>
      <c r="G58" s="1155"/>
      <c r="H58" s="1156"/>
      <c r="I58" s="1157"/>
      <c r="J58" s="1156"/>
      <c r="K58" s="1157"/>
      <c r="L58" s="1156"/>
      <c r="M58" s="1157"/>
      <c r="N58" s="1156"/>
      <c r="O58" s="1157"/>
      <c r="P58" s="1156"/>
      <c r="Q58" s="1157"/>
      <c r="R58" s="1156"/>
      <c r="S58" s="1157"/>
      <c r="T58" s="1156"/>
      <c r="U58" s="1157"/>
      <c r="V58" s="1156"/>
      <c r="W58" s="1157"/>
      <c r="X58" s="1156">
        <v>120</v>
      </c>
      <c r="Y58" s="1157"/>
      <c r="Z58" s="1156">
        <v>120</v>
      </c>
      <c r="AA58" s="1157"/>
      <c r="AB58" s="1156">
        <v>120</v>
      </c>
      <c r="AC58" s="1157"/>
      <c r="AD58" s="1156">
        <v>120</v>
      </c>
      <c r="AE58" s="1157"/>
      <c r="AF58" s="1156">
        <v>120</v>
      </c>
      <c r="AG58" s="1157"/>
      <c r="AH58" s="1156">
        <v>120</v>
      </c>
      <c r="AI58" s="1157"/>
      <c r="AJ58" s="1156">
        <v>120</v>
      </c>
      <c r="AK58" s="1157"/>
      <c r="AL58" s="1156">
        <v>120</v>
      </c>
      <c r="AM58" s="1157"/>
      <c r="AN58" s="1156">
        <v>120</v>
      </c>
      <c r="AO58" s="1157"/>
      <c r="AP58" s="1156">
        <v>120</v>
      </c>
      <c r="AQ58" s="1157"/>
      <c r="AR58" s="1156"/>
      <c r="AS58" s="1157"/>
      <c r="AT58" s="1156"/>
      <c r="AU58" s="1157"/>
      <c r="AV58" s="1156"/>
      <c r="AW58" s="1157"/>
      <c r="AX58" s="1156"/>
      <c r="AY58" s="1157"/>
      <c r="AZ58" s="1156"/>
      <c r="BA58" s="1157"/>
      <c r="BB58" s="558"/>
      <c r="BC58" s="560"/>
      <c r="BD58" s="1151" t="s">
        <v>660</v>
      </c>
      <c r="BE58" s="1152"/>
      <c r="BF58" s="1152"/>
      <c r="BG58" s="1152"/>
      <c r="BH58" s="1153"/>
      <c r="BI58" s="1154"/>
      <c r="BJ58" s="1155"/>
      <c r="BK58" s="1156"/>
      <c r="BL58" s="1157"/>
      <c r="BM58" s="1156"/>
      <c r="BN58" s="1157"/>
      <c r="BO58" s="1156"/>
      <c r="BP58" s="1157"/>
      <c r="BQ58" s="1156"/>
      <c r="BR58" s="1157"/>
      <c r="BS58" s="1156"/>
      <c r="BT58" s="1157"/>
      <c r="BU58" s="1156"/>
      <c r="BV58" s="1157"/>
      <c r="BW58" s="1156"/>
      <c r="BX58" s="1157"/>
      <c r="BY58" s="1156"/>
      <c r="BZ58" s="1157"/>
      <c r="CA58" s="1156">
        <v>120</v>
      </c>
      <c r="CB58" s="1157"/>
      <c r="CC58" s="1156">
        <v>120</v>
      </c>
      <c r="CD58" s="1157"/>
      <c r="CE58" s="1156">
        <v>120</v>
      </c>
      <c r="CF58" s="1157"/>
      <c r="CG58" s="1156">
        <v>120</v>
      </c>
      <c r="CH58" s="1157"/>
      <c r="CI58" s="1156">
        <v>120</v>
      </c>
      <c r="CJ58" s="1157"/>
      <c r="CK58" s="1156">
        <v>120</v>
      </c>
      <c r="CL58" s="1157"/>
      <c r="CM58" s="1156">
        <v>120</v>
      </c>
      <c r="CN58" s="1157"/>
      <c r="CO58" s="1156">
        <v>120</v>
      </c>
      <c r="CP58" s="1157"/>
      <c r="CQ58" s="1156">
        <v>120</v>
      </c>
      <c r="CR58" s="1157"/>
      <c r="CS58" s="1156">
        <v>120</v>
      </c>
      <c r="CT58" s="1157"/>
      <c r="CU58" s="1156"/>
      <c r="CV58" s="1157"/>
      <c r="CW58" s="1156"/>
      <c r="CX58" s="1157"/>
      <c r="CY58" s="1156"/>
      <c r="CZ58" s="1157"/>
      <c r="DA58" s="1156"/>
      <c r="DB58" s="1157"/>
      <c r="DC58" s="1156"/>
      <c r="DD58" s="1157"/>
      <c r="DE58" s="558"/>
      <c r="DF58" s="559"/>
      <c r="DG58" s="1151" t="s">
        <v>660</v>
      </c>
      <c r="DH58" s="1152"/>
      <c r="DI58" s="1152"/>
      <c r="DJ58" s="1152"/>
      <c r="DK58" s="1153"/>
      <c r="DL58" s="1154"/>
      <c r="DM58" s="1155"/>
      <c r="DN58" s="1156"/>
      <c r="DO58" s="1157"/>
      <c r="DP58" s="1156"/>
      <c r="DQ58" s="1157"/>
      <c r="DR58" s="1156"/>
      <c r="DS58" s="1157"/>
      <c r="DT58" s="1156"/>
      <c r="DU58" s="1157"/>
      <c r="DV58" s="1156"/>
      <c r="DW58" s="1157"/>
      <c r="DX58" s="1156"/>
      <c r="DY58" s="1157"/>
      <c r="DZ58" s="1156"/>
      <c r="EA58" s="1157"/>
      <c r="EB58" s="1156"/>
      <c r="EC58" s="1157"/>
      <c r="ED58" s="1156">
        <v>120</v>
      </c>
      <c r="EE58" s="1157"/>
      <c r="EF58" s="1156">
        <v>120</v>
      </c>
      <c r="EG58" s="1157"/>
      <c r="EH58" s="1156">
        <v>120</v>
      </c>
      <c r="EI58" s="1157"/>
      <c r="EJ58" s="1156">
        <v>120</v>
      </c>
      <c r="EK58" s="1157"/>
      <c r="EL58" s="1156">
        <v>120</v>
      </c>
      <c r="EM58" s="1157"/>
      <c r="EN58" s="1156">
        <v>120</v>
      </c>
      <c r="EO58" s="1157"/>
      <c r="EP58" s="1156">
        <v>120</v>
      </c>
      <c r="EQ58" s="1157"/>
      <c r="ER58" s="1156">
        <v>120</v>
      </c>
      <c r="ES58" s="1157"/>
      <c r="ET58" s="1156">
        <v>120</v>
      </c>
      <c r="EU58" s="1157"/>
      <c r="EV58" s="1156">
        <v>120</v>
      </c>
      <c r="EW58" s="1157"/>
      <c r="EX58" s="1156"/>
      <c r="EY58" s="1157"/>
      <c r="EZ58" s="1156"/>
      <c r="FA58" s="1157"/>
      <c r="FB58" s="1156"/>
      <c r="FC58" s="1157"/>
      <c r="FD58" s="1156"/>
      <c r="FE58" s="1157"/>
      <c r="FF58" s="1156"/>
      <c r="FG58" s="1157"/>
      <c r="FH58" s="558"/>
      <c r="FI58" s="560"/>
      <c r="FJ58" s="1151" t="s">
        <v>660</v>
      </c>
      <c r="FK58" s="1152"/>
      <c r="FL58" s="1152"/>
      <c r="FM58" s="1152"/>
      <c r="FN58" s="1153"/>
      <c r="FO58" s="1154"/>
      <c r="FP58" s="1158"/>
      <c r="FQ58" s="1159"/>
      <c r="FR58" s="1156">
        <v>120</v>
      </c>
      <c r="FS58" s="1160"/>
      <c r="FT58" s="1159"/>
      <c r="FU58" s="1161">
        <v>120</v>
      </c>
      <c r="FV58" s="1162"/>
      <c r="FW58" s="1163"/>
      <c r="FX58" s="1164"/>
      <c r="FY58" s="1163"/>
      <c r="FZ58" s="1164"/>
      <c r="GA58" s="1163"/>
      <c r="GB58" s="1164"/>
      <c r="GC58" s="1163"/>
      <c r="GD58" s="1164"/>
      <c r="GE58" s="1165"/>
      <c r="GF58" s="681"/>
      <c r="GG58" s="599"/>
      <c r="GH58" s="599"/>
      <c r="GI58" s="599"/>
      <c r="GJ58" s="942"/>
      <c r="GK58" s="1166"/>
      <c r="GL58" s="1089">
        <v>15</v>
      </c>
      <c r="GM58" s="1090">
        <v>6</v>
      </c>
      <c r="GN58" s="1091">
        <v>0.61</v>
      </c>
      <c r="GO58" s="1092">
        <v>2.8</v>
      </c>
      <c r="GP58" s="1092">
        <v>7</v>
      </c>
      <c r="GQ58" s="1093">
        <v>9.8000000000000007</v>
      </c>
      <c r="GR58" s="942"/>
      <c r="GS58" s="527"/>
      <c r="GT58" s="682"/>
      <c r="GU58" s="497"/>
      <c r="GV58" s="575"/>
      <c r="GW58" s="497"/>
      <c r="GX58" s="1256"/>
      <c r="GY58" s="1254"/>
      <c r="GZ58" s="576"/>
      <c r="HA58" s="575"/>
      <c r="HB58" s="497"/>
      <c r="HC58" s="559"/>
      <c r="HD58" s="1167"/>
    </row>
    <row r="59" spans="1:212" ht="20.100000000000001" customHeight="1">
      <c r="A59" s="1168" t="s">
        <v>661</v>
      </c>
      <c r="B59" s="1169"/>
      <c r="C59" s="1169"/>
      <c r="D59" s="1170" t="s">
        <v>662</v>
      </c>
      <c r="E59" s="1171"/>
      <c r="F59" s="1010"/>
      <c r="G59" s="1172">
        <v>0</v>
      </c>
      <c r="H59" s="582">
        <v>0</v>
      </c>
      <c r="I59" s="1173">
        <v>0</v>
      </c>
      <c r="J59" s="584">
        <v>0</v>
      </c>
      <c r="K59" s="1173">
        <v>0</v>
      </c>
      <c r="L59" s="584">
        <v>0</v>
      </c>
      <c r="M59" s="1173">
        <v>0</v>
      </c>
      <c r="N59" s="584">
        <v>0</v>
      </c>
      <c r="O59" s="1173">
        <v>0</v>
      </c>
      <c r="P59" s="584">
        <v>0</v>
      </c>
      <c r="Q59" s="1173">
        <v>0</v>
      </c>
      <c r="R59" s="584">
        <v>0</v>
      </c>
      <c r="S59" s="1173">
        <v>0</v>
      </c>
      <c r="T59" s="584">
        <v>0</v>
      </c>
      <c r="U59" s="1173">
        <v>0</v>
      </c>
      <c r="V59" s="584">
        <v>0</v>
      </c>
      <c r="W59" s="1173">
        <v>21.4</v>
      </c>
      <c r="X59" s="584">
        <v>856</v>
      </c>
      <c r="Y59" s="1173">
        <v>22.3</v>
      </c>
      <c r="Z59" s="584">
        <v>892</v>
      </c>
      <c r="AA59" s="1173">
        <v>22.6</v>
      </c>
      <c r="AB59" s="584">
        <v>904</v>
      </c>
      <c r="AC59" s="1173">
        <v>23.9</v>
      </c>
      <c r="AD59" s="584">
        <v>956</v>
      </c>
      <c r="AE59" s="1173">
        <v>23.5</v>
      </c>
      <c r="AF59" s="584">
        <v>940</v>
      </c>
      <c r="AG59" s="1173">
        <v>22.8</v>
      </c>
      <c r="AH59" s="584">
        <v>912</v>
      </c>
      <c r="AI59" s="1173">
        <v>22.8</v>
      </c>
      <c r="AJ59" s="584">
        <v>912</v>
      </c>
      <c r="AK59" s="1173">
        <v>22.5</v>
      </c>
      <c r="AL59" s="584">
        <v>900</v>
      </c>
      <c r="AM59" s="1173">
        <v>21.8</v>
      </c>
      <c r="AN59" s="584">
        <v>872</v>
      </c>
      <c r="AO59" s="1173">
        <v>21.1</v>
      </c>
      <c r="AP59" s="584">
        <v>844</v>
      </c>
      <c r="AQ59" s="1173">
        <v>0</v>
      </c>
      <c r="AR59" s="584">
        <v>0</v>
      </c>
      <c r="AS59" s="1173">
        <v>0</v>
      </c>
      <c r="AT59" s="584">
        <v>0</v>
      </c>
      <c r="AU59" s="1173">
        <v>0</v>
      </c>
      <c r="AV59" s="584">
        <v>0</v>
      </c>
      <c r="AW59" s="1173">
        <v>0</v>
      </c>
      <c r="AX59" s="584">
        <v>0</v>
      </c>
      <c r="AY59" s="1173">
        <v>0</v>
      </c>
      <c r="AZ59" s="584">
        <v>0</v>
      </c>
      <c r="BA59" s="1173">
        <v>0</v>
      </c>
      <c r="BB59" s="586">
        <v>0</v>
      </c>
      <c r="BC59" s="560"/>
      <c r="BD59" s="1168" t="s">
        <v>661</v>
      </c>
      <c r="BE59" s="1169"/>
      <c r="BF59" s="1169"/>
      <c r="BG59" s="1170" t="s">
        <v>662</v>
      </c>
      <c r="BH59" s="1171"/>
      <c r="BI59" s="1010"/>
      <c r="BJ59" s="1172">
        <v>0</v>
      </c>
      <c r="BK59" s="582">
        <v>0</v>
      </c>
      <c r="BL59" s="1173">
        <v>0</v>
      </c>
      <c r="BM59" s="584">
        <v>0</v>
      </c>
      <c r="BN59" s="1173">
        <v>0</v>
      </c>
      <c r="BO59" s="584">
        <v>0</v>
      </c>
      <c r="BP59" s="1173">
        <v>0</v>
      </c>
      <c r="BQ59" s="584">
        <v>0</v>
      </c>
      <c r="BR59" s="1173">
        <v>0</v>
      </c>
      <c r="BS59" s="584">
        <v>0</v>
      </c>
      <c r="BT59" s="1173">
        <v>0</v>
      </c>
      <c r="BU59" s="584">
        <v>0</v>
      </c>
      <c r="BV59" s="1173">
        <v>0</v>
      </c>
      <c r="BW59" s="584">
        <v>0</v>
      </c>
      <c r="BX59" s="1173">
        <v>0</v>
      </c>
      <c r="BY59" s="584">
        <v>0</v>
      </c>
      <c r="BZ59" s="1173">
        <v>16.3</v>
      </c>
      <c r="CA59" s="584">
        <v>652</v>
      </c>
      <c r="CB59" s="1173">
        <v>17.100000000000001</v>
      </c>
      <c r="CC59" s="584">
        <v>684</v>
      </c>
      <c r="CD59" s="1173">
        <v>18</v>
      </c>
      <c r="CE59" s="584">
        <v>720</v>
      </c>
      <c r="CF59" s="1173">
        <v>18.7</v>
      </c>
      <c r="CG59" s="584">
        <v>748</v>
      </c>
      <c r="CH59" s="1173">
        <v>19.100000000000001</v>
      </c>
      <c r="CI59" s="584">
        <v>764</v>
      </c>
      <c r="CJ59" s="1173">
        <v>18.399999999999999</v>
      </c>
      <c r="CK59" s="584">
        <v>736</v>
      </c>
      <c r="CL59" s="1173">
        <v>18.2</v>
      </c>
      <c r="CM59" s="584">
        <v>728</v>
      </c>
      <c r="CN59" s="1173">
        <v>18</v>
      </c>
      <c r="CO59" s="584">
        <v>720</v>
      </c>
      <c r="CP59" s="1173">
        <v>18</v>
      </c>
      <c r="CQ59" s="584">
        <v>720</v>
      </c>
      <c r="CR59" s="1173">
        <v>17.3</v>
      </c>
      <c r="CS59" s="584">
        <v>692</v>
      </c>
      <c r="CT59" s="1173">
        <v>0</v>
      </c>
      <c r="CU59" s="584">
        <v>0</v>
      </c>
      <c r="CV59" s="1173">
        <v>0</v>
      </c>
      <c r="CW59" s="584">
        <v>0</v>
      </c>
      <c r="CX59" s="1173">
        <v>0</v>
      </c>
      <c r="CY59" s="584">
        <v>0</v>
      </c>
      <c r="CZ59" s="1173">
        <v>0</v>
      </c>
      <c r="DA59" s="584">
        <v>0</v>
      </c>
      <c r="DB59" s="1173">
        <v>0</v>
      </c>
      <c r="DC59" s="584">
        <v>0</v>
      </c>
      <c r="DD59" s="1173">
        <v>0</v>
      </c>
      <c r="DE59" s="586">
        <v>0</v>
      </c>
      <c r="DF59" s="559"/>
      <c r="DG59" s="1168" t="s">
        <v>661</v>
      </c>
      <c r="DH59" s="1169"/>
      <c r="DI59" s="1169"/>
      <c r="DJ59" s="1170" t="s">
        <v>662</v>
      </c>
      <c r="DK59" s="1171"/>
      <c r="DL59" s="1010"/>
      <c r="DM59" s="1172">
        <v>0</v>
      </c>
      <c r="DN59" s="582">
        <v>0</v>
      </c>
      <c r="DO59" s="1173">
        <v>0</v>
      </c>
      <c r="DP59" s="584">
        <v>0</v>
      </c>
      <c r="DQ59" s="1173">
        <v>0</v>
      </c>
      <c r="DR59" s="584">
        <v>0</v>
      </c>
      <c r="DS59" s="1173">
        <v>0</v>
      </c>
      <c r="DT59" s="584">
        <v>0</v>
      </c>
      <c r="DU59" s="1173">
        <v>0</v>
      </c>
      <c r="DV59" s="584">
        <v>0</v>
      </c>
      <c r="DW59" s="1173">
        <v>0</v>
      </c>
      <c r="DX59" s="584">
        <v>0</v>
      </c>
      <c r="DY59" s="1173">
        <v>0</v>
      </c>
      <c r="DZ59" s="584">
        <v>0</v>
      </c>
      <c r="EA59" s="1173">
        <v>0</v>
      </c>
      <c r="EB59" s="584">
        <v>0</v>
      </c>
      <c r="EC59" s="1173">
        <v>7.5</v>
      </c>
      <c r="ED59" s="584">
        <v>300</v>
      </c>
      <c r="EE59" s="1173">
        <v>8.6</v>
      </c>
      <c r="EF59" s="584">
        <v>344</v>
      </c>
      <c r="EG59" s="1173">
        <v>8.6999999999999993</v>
      </c>
      <c r="EH59" s="584">
        <v>348</v>
      </c>
      <c r="EI59" s="1173">
        <v>9.1</v>
      </c>
      <c r="EJ59" s="584">
        <v>364</v>
      </c>
      <c r="EK59" s="1173">
        <v>8.8000000000000007</v>
      </c>
      <c r="EL59" s="584">
        <v>352</v>
      </c>
      <c r="EM59" s="1173">
        <v>8.3000000000000007</v>
      </c>
      <c r="EN59" s="584">
        <v>332</v>
      </c>
      <c r="EO59" s="1173">
        <v>8.1</v>
      </c>
      <c r="EP59" s="584">
        <v>324</v>
      </c>
      <c r="EQ59" s="1173">
        <v>8.1999999999999993</v>
      </c>
      <c r="ER59" s="584">
        <v>328</v>
      </c>
      <c r="ES59" s="1173">
        <v>7.7</v>
      </c>
      <c r="ET59" s="584">
        <v>308</v>
      </c>
      <c r="EU59" s="1173">
        <v>8.1999999999999993</v>
      </c>
      <c r="EV59" s="584">
        <v>328</v>
      </c>
      <c r="EW59" s="1173">
        <v>0</v>
      </c>
      <c r="EX59" s="584">
        <v>0</v>
      </c>
      <c r="EY59" s="1173">
        <v>0</v>
      </c>
      <c r="EZ59" s="584">
        <v>0</v>
      </c>
      <c r="FA59" s="1173">
        <v>0</v>
      </c>
      <c r="FB59" s="584">
        <v>0</v>
      </c>
      <c r="FC59" s="1173">
        <v>0</v>
      </c>
      <c r="FD59" s="584">
        <v>0</v>
      </c>
      <c r="FE59" s="1173">
        <v>0</v>
      </c>
      <c r="FF59" s="584">
        <v>0</v>
      </c>
      <c r="FG59" s="1173">
        <v>0</v>
      </c>
      <c r="FH59" s="586">
        <v>0</v>
      </c>
      <c r="FI59" s="560"/>
      <c r="FJ59" s="1168" t="s">
        <v>661</v>
      </c>
      <c r="FK59" s="1169"/>
      <c r="FL59" s="1169"/>
      <c r="FM59" s="1170" t="s">
        <v>662</v>
      </c>
      <c r="FN59" s="1171"/>
      <c r="FO59" s="1010"/>
      <c r="FP59" s="622">
        <v>9</v>
      </c>
      <c r="FQ59" s="1174">
        <v>28.7</v>
      </c>
      <c r="FR59" s="1175">
        <v>1148</v>
      </c>
      <c r="FS59" s="1176">
        <v>9</v>
      </c>
      <c r="FT59" s="1174">
        <v>25</v>
      </c>
      <c r="FU59" s="1177">
        <v>1000</v>
      </c>
      <c r="FV59" s="1257" t="s">
        <v>663</v>
      </c>
      <c r="FW59" s="1258"/>
      <c r="FX59" s="1259" t="s">
        <v>663</v>
      </c>
      <c r="FY59" s="1258"/>
      <c r="FZ59" s="1259" t="s">
        <v>663</v>
      </c>
      <c r="GA59" s="1258"/>
      <c r="GB59" s="1259" t="s">
        <v>663</v>
      </c>
      <c r="GC59" s="1258"/>
      <c r="GD59" s="1259" t="s">
        <v>663</v>
      </c>
      <c r="GE59" s="1263"/>
      <c r="GF59" s="681"/>
      <c r="GG59" s="1182"/>
      <c r="GH59" s="1182"/>
      <c r="GI59" s="1182"/>
      <c r="GJ59" s="882"/>
      <c r="GK59" s="410"/>
      <c r="GL59" s="1113">
        <v>16</v>
      </c>
      <c r="GM59" s="1114">
        <v>7</v>
      </c>
      <c r="GN59" s="1091">
        <v>0.56000000000000005</v>
      </c>
      <c r="GO59" s="1092">
        <v>2.6</v>
      </c>
      <c r="GP59" s="1092">
        <v>7</v>
      </c>
      <c r="GQ59" s="1093">
        <v>9.6</v>
      </c>
      <c r="GR59" s="882"/>
      <c r="GS59" s="392"/>
      <c r="GT59" s="1255"/>
      <c r="GU59" s="576"/>
      <c r="GV59" s="497"/>
      <c r="GW59" s="497"/>
      <c r="GX59" s="1256"/>
      <c r="GY59" s="1254"/>
      <c r="GZ59" s="576"/>
      <c r="HA59" s="575"/>
      <c r="HB59" s="497"/>
      <c r="HC59" s="1167"/>
      <c r="HD59" s="1183"/>
    </row>
    <row r="60" spans="1:212" ht="20.100000000000001" customHeight="1">
      <c r="A60" s="1168"/>
      <c r="B60" s="1169"/>
      <c r="C60" s="1169"/>
      <c r="D60" s="1184"/>
      <c r="E60" s="1184"/>
      <c r="F60" s="1185">
        <v>0</v>
      </c>
      <c r="G60" s="581"/>
      <c r="H60" s="582"/>
      <c r="I60" s="585"/>
      <c r="J60" s="584"/>
      <c r="K60" s="585"/>
      <c r="L60" s="584"/>
      <c r="M60" s="585"/>
      <c r="N60" s="584"/>
      <c r="O60" s="585"/>
      <c r="P60" s="584"/>
      <c r="Q60" s="585"/>
      <c r="R60" s="584"/>
      <c r="S60" s="585"/>
      <c r="T60" s="584"/>
      <c r="U60" s="585"/>
      <c r="V60" s="584"/>
      <c r="W60" s="585"/>
      <c r="X60" s="584">
        <v>0</v>
      </c>
      <c r="Y60" s="585"/>
      <c r="Z60" s="584">
        <v>0</v>
      </c>
      <c r="AA60" s="585"/>
      <c r="AB60" s="584">
        <v>0</v>
      </c>
      <c r="AC60" s="585"/>
      <c r="AD60" s="584">
        <v>0</v>
      </c>
      <c r="AE60" s="585"/>
      <c r="AF60" s="584">
        <v>0</v>
      </c>
      <c r="AG60" s="585"/>
      <c r="AH60" s="584">
        <v>0</v>
      </c>
      <c r="AI60" s="585"/>
      <c r="AJ60" s="584">
        <v>0</v>
      </c>
      <c r="AK60" s="585"/>
      <c r="AL60" s="584">
        <v>0</v>
      </c>
      <c r="AM60" s="585"/>
      <c r="AN60" s="584">
        <v>0</v>
      </c>
      <c r="AO60" s="585"/>
      <c r="AP60" s="584">
        <v>0</v>
      </c>
      <c r="AQ60" s="585"/>
      <c r="AR60" s="584"/>
      <c r="AS60" s="585"/>
      <c r="AT60" s="584"/>
      <c r="AU60" s="585"/>
      <c r="AV60" s="584"/>
      <c r="AW60" s="585"/>
      <c r="AX60" s="584"/>
      <c r="AY60" s="585"/>
      <c r="AZ60" s="584"/>
      <c r="BA60" s="585"/>
      <c r="BB60" s="586"/>
      <c r="BC60" s="560"/>
      <c r="BD60" s="1168"/>
      <c r="BE60" s="1169"/>
      <c r="BF60" s="1169"/>
      <c r="BG60" s="1184"/>
      <c r="BH60" s="1184"/>
      <c r="BI60" s="1185"/>
      <c r="BJ60" s="581"/>
      <c r="BK60" s="582"/>
      <c r="BL60" s="585"/>
      <c r="BM60" s="584"/>
      <c r="BN60" s="585"/>
      <c r="BO60" s="584"/>
      <c r="BP60" s="585"/>
      <c r="BQ60" s="584"/>
      <c r="BR60" s="585"/>
      <c r="BS60" s="584"/>
      <c r="BT60" s="585"/>
      <c r="BU60" s="584"/>
      <c r="BV60" s="585"/>
      <c r="BW60" s="584"/>
      <c r="BX60" s="585"/>
      <c r="BY60" s="584"/>
      <c r="BZ60" s="585"/>
      <c r="CA60" s="584">
        <v>0</v>
      </c>
      <c r="CB60" s="585"/>
      <c r="CC60" s="584">
        <v>0</v>
      </c>
      <c r="CD60" s="585"/>
      <c r="CE60" s="584">
        <v>0</v>
      </c>
      <c r="CF60" s="585"/>
      <c r="CG60" s="584">
        <v>0</v>
      </c>
      <c r="CH60" s="585"/>
      <c r="CI60" s="584">
        <v>0</v>
      </c>
      <c r="CJ60" s="585"/>
      <c r="CK60" s="584">
        <v>0</v>
      </c>
      <c r="CL60" s="585"/>
      <c r="CM60" s="584">
        <v>0</v>
      </c>
      <c r="CN60" s="585"/>
      <c r="CO60" s="584">
        <v>0</v>
      </c>
      <c r="CP60" s="585"/>
      <c r="CQ60" s="584">
        <v>0</v>
      </c>
      <c r="CR60" s="585"/>
      <c r="CS60" s="584">
        <v>0</v>
      </c>
      <c r="CT60" s="585"/>
      <c r="CU60" s="584"/>
      <c r="CV60" s="585"/>
      <c r="CW60" s="584"/>
      <c r="CX60" s="585"/>
      <c r="CY60" s="584"/>
      <c r="CZ60" s="585"/>
      <c r="DA60" s="584"/>
      <c r="DB60" s="585"/>
      <c r="DC60" s="584"/>
      <c r="DD60" s="585"/>
      <c r="DE60" s="586"/>
      <c r="DF60" s="559"/>
      <c r="DG60" s="1168"/>
      <c r="DH60" s="1169"/>
      <c r="DI60" s="1169"/>
      <c r="DJ60" s="1184"/>
      <c r="DK60" s="1184"/>
      <c r="DL60" s="1185"/>
      <c r="DM60" s="581"/>
      <c r="DN60" s="582"/>
      <c r="DO60" s="585"/>
      <c r="DP60" s="584"/>
      <c r="DQ60" s="585"/>
      <c r="DR60" s="584"/>
      <c r="DS60" s="585"/>
      <c r="DT60" s="584"/>
      <c r="DU60" s="585"/>
      <c r="DV60" s="584"/>
      <c r="DW60" s="585"/>
      <c r="DX60" s="584"/>
      <c r="DY60" s="585"/>
      <c r="DZ60" s="584"/>
      <c r="EA60" s="585"/>
      <c r="EB60" s="584"/>
      <c r="EC60" s="585"/>
      <c r="ED60" s="584">
        <v>0</v>
      </c>
      <c r="EE60" s="585"/>
      <c r="EF60" s="584">
        <v>0</v>
      </c>
      <c r="EG60" s="585"/>
      <c r="EH60" s="584">
        <v>0</v>
      </c>
      <c r="EI60" s="585"/>
      <c r="EJ60" s="584">
        <v>0</v>
      </c>
      <c r="EK60" s="585"/>
      <c r="EL60" s="584">
        <v>0</v>
      </c>
      <c r="EM60" s="585"/>
      <c r="EN60" s="584">
        <v>0</v>
      </c>
      <c r="EO60" s="585"/>
      <c r="EP60" s="584">
        <v>0</v>
      </c>
      <c r="EQ60" s="585"/>
      <c r="ER60" s="584">
        <v>0</v>
      </c>
      <c r="ES60" s="585"/>
      <c r="ET60" s="584">
        <v>0</v>
      </c>
      <c r="EU60" s="585"/>
      <c r="EV60" s="584">
        <v>0</v>
      </c>
      <c r="EW60" s="585"/>
      <c r="EX60" s="584"/>
      <c r="EY60" s="585"/>
      <c r="EZ60" s="584"/>
      <c r="FA60" s="585"/>
      <c r="FB60" s="584"/>
      <c r="FC60" s="585"/>
      <c r="FD60" s="584"/>
      <c r="FE60" s="585"/>
      <c r="FF60" s="584"/>
      <c r="FG60" s="585"/>
      <c r="FH60" s="586"/>
      <c r="FI60" s="560"/>
      <c r="FJ60" s="1168"/>
      <c r="FK60" s="1169"/>
      <c r="FL60" s="1169"/>
      <c r="FM60" s="1186"/>
      <c r="FN60" s="1187"/>
      <c r="FO60" s="1010"/>
      <c r="FP60" s="622"/>
      <c r="FQ60" s="618"/>
      <c r="FR60" s="1175"/>
      <c r="FS60" s="1176"/>
      <c r="FT60" s="618"/>
      <c r="FU60" s="1177"/>
      <c r="FV60" s="1178"/>
      <c r="FW60" s="1179"/>
      <c r="FX60" s="1180"/>
      <c r="FY60" s="1179"/>
      <c r="FZ60" s="1180"/>
      <c r="GA60" s="1179"/>
      <c r="GB60" s="1180"/>
      <c r="GC60" s="1179"/>
      <c r="GD60" s="1180"/>
      <c r="GE60" s="1181"/>
      <c r="GF60" s="681"/>
      <c r="GG60" s="392"/>
      <c r="GH60" s="392"/>
      <c r="GI60" s="392"/>
      <c r="GJ60" s="392"/>
      <c r="GK60" s="392"/>
      <c r="GL60" s="1089">
        <v>17</v>
      </c>
      <c r="GM60" s="1090">
        <v>8</v>
      </c>
      <c r="GN60" s="1091">
        <v>0.51</v>
      </c>
      <c r="GO60" s="1092">
        <v>2.2999999999999998</v>
      </c>
      <c r="GP60" s="1092">
        <v>7</v>
      </c>
      <c r="GQ60" s="1093">
        <v>9.3000000000000007</v>
      </c>
      <c r="GR60" s="392"/>
      <c r="GS60" s="480"/>
      <c r="GT60" s="1255"/>
      <c r="GU60" s="497"/>
      <c r="GV60" s="576"/>
      <c r="GW60" s="497"/>
      <c r="GX60" s="576"/>
      <c r="GY60" s="497"/>
      <c r="GZ60" s="497"/>
      <c r="HA60" s="575"/>
      <c r="HB60" s="497"/>
      <c r="HC60" s="1188"/>
      <c r="HD60" s="1027"/>
    </row>
    <row r="61" spans="1:212" ht="20.100000000000001" customHeight="1">
      <c r="A61" s="1189" t="s">
        <v>664</v>
      </c>
      <c r="B61" s="1190"/>
      <c r="C61" s="1190"/>
      <c r="D61" s="1190"/>
      <c r="E61" s="1190"/>
      <c r="F61" s="1191"/>
      <c r="G61" s="1192"/>
      <c r="H61" s="1193">
        <v>0</v>
      </c>
      <c r="I61" s="1194"/>
      <c r="J61" s="1195">
        <v>0</v>
      </c>
      <c r="K61" s="1194"/>
      <c r="L61" s="1195">
        <v>0</v>
      </c>
      <c r="M61" s="1194"/>
      <c r="N61" s="1195">
        <v>0</v>
      </c>
      <c r="O61" s="1194"/>
      <c r="P61" s="1195">
        <v>0</v>
      </c>
      <c r="Q61" s="1194"/>
      <c r="R61" s="1195">
        <v>0</v>
      </c>
      <c r="S61" s="1194"/>
      <c r="T61" s="1195">
        <v>0</v>
      </c>
      <c r="U61" s="1194"/>
      <c r="V61" s="1195">
        <v>0</v>
      </c>
      <c r="W61" s="1194"/>
      <c r="X61" s="1195">
        <v>2036</v>
      </c>
      <c r="Y61" s="1194"/>
      <c r="Z61" s="1195">
        <v>2041</v>
      </c>
      <c r="AA61" s="1194"/>
      <c r="AB61" s="1195">
        <v>2074</v>
      </c>
      <c r="AC61" s="1194"/>
      <c r="AD61" s="1195">
        <v>2136</v>
      </c>
      <c r="AE61" s="1194"/>
      <c r="AF61" s="1195">
        <v>2132</v>
      </c>
      <c r="AG61" s="1194"/>
      <c r="AH61" s="1195">
        <v>2104</v>
      </c>
      <c r="AI61" s="1194"/>
      <c r="AJ61" s="1195">
        <v>2081</v>
      </c>
      <c r="AK61" s="1194"/>
      <c r="AL61" s="1195">
        <v>2059</v>
      </c>
      <c r="AM61" s="1194"/>
      <c r="AN61" s="1195">
        <v>1995</v>
      </c>
      <c r="AO61" s="1194"/>
      <c r="AP61" s="1195">
        <v>1944</v>
      </c>
      <c r="AQ61" s="1194"/>
      <c r="AR61" s="1195">
        <v>0</v>
      </c>
      <c r="AS61" s="1194"/>
      <c r="AT61" s="1195">
        <v>0</v>
      </c>
      <c r="AU61" s="1194"/>
      <c r="AV61" s="1195">
        <v>0</v>
      </c>
      <c r="AW61" s="1194"/>
      <c r="AX61" s="1195">
        <v>0</v>
      </c>
      <c r="AY61" s="1194"/>
      <c r="AZ61" s="1195">
        <v>0</v>
      </c>
      <c r="BA61" s="1194"/>
      <c r="BB61" s="1196">
        <v>0</v>
      </c>
      <c r="BC61" s="560"/>
      <c r="BD61" s="1189" t="s">
        <v>664</v>
      </c>
      <c r="BE61" s="1190"/>
      <c r="BF61" s="1190"/>
      <c r="BG61" s="1190"/>
      <c r="BH61" s="1190"/>
      <c r="BI61" s="1191"/>
      <c r="BJ61" s="1192"/>
      <c r="BK61" s="1193">
        <v>0</v>
      </c>
      <c r="BL61" s="1194"/>
      <c r="BM61" s="1195">
        <v>0</v>
      </c>
      <c r="BN61" s="1194"/>
      <c r="BO61" s="1195">
        <v>0</v>
      </c>
      <c r="BP61" s="1194"/>
      <c r="BQ61" s="1195">
        <v>0</v>
      </c>
      <c r="BR61" s="1194"/>
      <c r="BS61" s="1195">
        <v>0</v>
      </c>
      <c r="BT61" s="1194"/>
      <c r="BU61" s="1195">
        <v>0</v>
      </c>
      <c r="BV61" s="1194"/>
      <c r="BW61" s="1195">
        <v>0</v>
      </c>
      <c r="BX61" s="1194"/>
      <c r="BY61" s="1195">
        <v>0</v>
      </c>
      <c r="BZ61" s="1194"/>
      <c r="CA61" s="1195">
        <v>1820</v>
      </c>
      <c r="CB61" s="1194"/>
      <c r="CC61" s="1195">
        <v>1808</v>
      </c>
      <c r="CD61" s="1194"/>
      <c r="CE61" s="1195">
        <v>1878</v>
      </c>
      <c r="CF61" s="1194"/>
      <c r="CG61" s="1195">
        <v>1916</v>
      </c>
      <c r="CH61" s="1194"/>
      <c r="CI61" s="1195">
        <v>1939</v>
      </c>
      <c r="CJ61" s="1194"/>
      <c r="CK61" s="1195">
        <v>1901</v>
      </c>
      <c r="CL61" s="1194"/>
      <c r="CM61" s="1195">
        <v>1883</v>
      </c>
      <c r="CN61" s="1194"/>
      <c r="CO61" s="1195">
        <v>1864</v>
      </c>
      <c r="CP61" s="1194"/>
      <c r="CQ61" s="1195">
        <v>1843</v>
      </c>
      <c r="CR61" s="1194"/>
      <c r="CS61" s="1195">
        <v>1782</v>
      </c>
      <c r="CT61" s="1194"/>
      <c r="CU61" s="1195">
        <v>0</v>
      </c>
      <c r="CV61" s="1194"/>
      <c r="CW61" s="1195">
        <v>0</v>
      </c>
      <c r="CX61" s="1194"/>
      <c r="CY61" s="1195">
        <v>0</v>
      </c>
      <c r="CZ61" s="1194"/>
      <c r="DA61" s="1195">
        <v>0</v>
      </c>
      <c r="DB61" s="1194"/>
      <c r="DC61" s="1195">
        <v>0</v>
      </c>
      <c r="DD61" s="1194"/>
      <c r="DE61" s="1196">
        <v>0</v>
      </c>
      <c r="DF61" s="559"/>
      <c r="DG61" s="1189" t="s">
        <v>664</v>
      </c>
      <c r="DH61" s="1190"/>
      <c r="DI61" s="1190"/>
      <c r="DJ61" s="1190"/>
      <c r="DK61" s="1190"/>
      <c r="DL61" s="1191"/>
      <c r="DM61" s="1192"/>
      <c r="DN61" s="1193">
        <v>0</v>
      </c>
      <c r="DO61" s="1194"/>
      <c r="DP61" s="1195">
        <v>0</v>
      </c>
      <c r="DQ61" s="1194"/>
      <c r="DR61" s="1195">
        <v>0</v>
      </c>
      <c r="DS61" s="1194"/>
      <c r="DT61" s="1195">
        <v>0</v>
      </c>
      <c r="DU61" s="1194"/>
      <c r="DV61" s="1195">
        <v>0</v>
      </c>
      <c r="DW61" s="1194"/>
      <c r="DX61" s="1195">
        <v>0</v>
      </c>
      <c r="DY61" s="1194"/>
      <c r="DZ61" s="1195">
        <v>0</v>
      </c>
      <c r="EA61" s="1194"/>
      <c r="EB61" s="1195">
        <v>0</v>
      </c>
      <c r="EC61" s="1194"/>
      <c r="ED61" s="1195">
        <v>1372</v>
      </c>
      <c r="EE61" s="1194"/>
      <c r="EF61" s="1195">
        <v>1382</v>
      </c>
      <c r="EG61" s="1194"/>
      <c r="EH61" s="1195">
        <v>1419</v>
      </c>
      <c r="EI61" s="1194"/>
      <c r="EJ61" s="1195">
        <v>1456</v>
      </c>
      <c r="EK61" s="1194"/>
      <c r="EL61" s="1195">
        <v>1446</v>
      </c>
      <c r="EM61" s="1194"/>
      <c r="EN61" s="1195">
        <v>1414</v>
      </c>
      <c r="EO61" s="1194"/>
      <c r="EP61" s="1195">
        <v>1398</v>
      </c>
      <c r="EQ61" s="1194"/>
      <c r="ER61" s="1195">
        <v>1398</v>
      </c>
      <c r="ES61" s="1194"/>
      <c r="ET61" s="1195">
        <v>1344</v>
      </c>
      <c r="EU61" s="1194"/>
      <c r="EV61" s="1195">
        <v>1332</v>
      </c>
      <c r="EW61" s="1194"/>
      <c r="EX61" s="1195">
        <v>0</v>
      </c>
      <c r="EY61" s="1194"/>
      <c r="EZ61" s="1195">
        <v>0</v>
      </c>
      <c r="FA61" s="1194"/>
      <c r="FB61" s="1195">
        <v>0</v>
      </c>
      <c r="FC61" s="1194"/>
      <c r="FD61" s="1195">
        <v>0</v>
      </c>
      <c r="FE61" s="1194"/>
      <c r="FF61" s="1195">
        <v>0</v>
      </c>
      <c r="FG61" s="1194"/>
      <c r="FH61" s="1196">
        <v>0</v>
      </c>
      <c r="FI61" s="560"/>
      <c r="FJ61" s="1189" t="s">
        <v>664</v>
      </c>
      <c r="FK61" s="1190"/>
      <c r="FL61" s="1190"/>
      <c r="FM61" s="1190"/>
      <c r="FN61" s="1190"/>
      <c r="FO61" s="1190"/>
      <c r="FP61" s="1197"/>
      <c r="FQ61" s="1198"/>
      <c r="FR61" s="1199">
        <v>2982</v>
      </c>
      <c r="FS61" s="1200"/>
      <c r="FT61" s="1198"/>
      <c r="FU61" s="1201">
        <v>2850</v>
      </c>
      <c r="FV61" s="1260" t="s">
        <v>663</v>
      </c>
      <c r="FW61" s="1261"/>
      <c r="FX61" s="1262" t="s">
        <v>663</v>
      </c>
      <c r="FY61" s="1261"/>
      <c r="FZ61" s="1262" t="s">
        <v>663</v>
      </c>
      <c r="GA61" s="1261"/>
      <c r="GB61" s="1262" t="s">
        <v>663</v>
      </c>
      <c r="GC61" s="1261"/>
      <c r="GD61" s="1262" t="s">
        <v>663</v>
      </c>
      <c r="GE61" s="1264"/>
      <c r="GF61" s="681"/>
      <c r="GG61" s="480"/>
      <c r="GH61" s="480"/>
      <c r="GI61" s="480"/>
      <c r="GJ61" s="480"/>
      <c r="GK61" s="483"/>
      <c r="GL61" s="1113">
        <v>18</v>
      </c>
      <c r="GM61" s="1202">
        <v>9</v>
      </c>
      <c r="GN61" s="1091">
        <v>0.47</v>
      </c>
      <c r="GO61" s="1092">
        <v>2.2000000000000002</v>
      </c>
      <c r="GP61" s="1092">
        <v>7</v>
      </c>
      <c r="GQ61" s="1093">
        <v>9.1999999999999993</v>
      </c>
      <c r="GR61" s="480"/>
      <c r="GS61" s="577"/>
      <c r="GT61" s="1255"/>
      <c r="GU61" s="682"/>
      <c r="GV61" s="682"/>
      <c r="GW61" s="682"/>
      <c r="GX61" s="682"/>
      <c r="GY61" s="576"/>
      <c r="GZ61" s="497"/>
      <c r="HA61" s="576"/>
      <c r="HB61" s="497"/>
    </row>
    <row r="62" spans="1:212" ht="20.100000000000001" customHeight="1" thickBot="1">
      <c r="A62" s="1204"/>
      <c r="B62" s="1204"/>
      <c r="C62" s="1204"/>
      <c r="D62" s="1204"/>
      <c r="E62" s="1204"/>
      <c r="F62" s="1204"/>
      <c r="G62" s="1204"/>
      <c r="H62" s="1204"/>
      <c r="I62" s="1204"/>
      <c r="J62" s="1204"/>
      <c r="K62" s="1204"/>
      <c r="L62" s="1204"/>
      <c r="M62" s="1204"/>
      <c r="N62" s="1204"/>
      <c r="O62" s="1204"/>
      <c r="P62" s="1204"/>
      <c r="Q62" s="1204"/>
      <c r="R62" s="1204"/>
      <c r="S62" s="1204"/>
      <c r="T62" s="1204"/>
      <c r="U62" s="1204"/>
      <c r="V62" s="1204"/>
      <c r="W62" s="1204"/>
      <c r="X62" s="1204"/>
      <c r="Y62" s="1204"/>
      <c r="Z62" s="1204"/>
      <c r="AA62" s="1204"/>
      <c r="AB62" s="1204"/>
      <c r="AC62" s="1204"/>
      <c r="AD62" s="1204"/>
      <c r="AE62" s="1204"/>
      <c r="AF62" s="1204"/>
      <c r="AG62" s="1204"/>
      <c r="AH62" s="1204"/>
      <c r="AI62" s="1204"/>
      <c r="AJ62" s="1204"/>
      <c r="AK62" s="1204"/>
      <c r="AL62" s="1204"/>
      <c r="AM62" s="1204"/>
      <c r="AN62" s="1204"/>
      <c r="AO62" s="1204"/>
      <c r="AP62" s="1204"/>
      <c r="AQ62" s="1204"/>
      <c r="AR62" s="1204"/>
      <c r="AS62" s="1204"/>
      <c r="AT62" s="1204"/>
      <c r="AU62" s="1204"/>
      <c r="AV62" s="1204"/>
      <c r="AW62" s="1204"/>
      <c r="AX62" s="1204"/>
      <c r="AY62" s="1204"/>
      <c r="AZ62" s="1204"/>
      <c r="BA62" s="1204"/>
      <c r="BB62" s="1204"/>
      <c r="BC62" s="390"/>
      <c r="BD62" s="1204"/>
      <c r="BE62" s="1204"/>
      <c r="BF62" s="1204"/>
      <c r="BG62" s="1204"/>
      <c r="BH62" s="1204"/>
      <c r="BI62" s="1204"/>
      <c r="BJ62" s="1204"/>
      <c r="BK62" s="1204"/>
      <c r="BL62" s="1204"/>
      <c r="BM62" s="1204"/>
      <c r="BN62" s="1204"/>
      <c r="BO62" s="1204"/>
      <c r="BP62" s="1204"/>
      <c r="BQ62" s="1204"/>
      <c r="BR62" s="1204"/>
      <c r="BS62" s="1204"/>
      <c r="BT62" s="1204"/>
      <c r="BU62" s="1204"/>
      <c r="BV62" s="1204"/>
      <c r="BW62" s="1204"/>
      <c r="BX62" s="1204"/>
      <c r="BY62" s="1204"/>
      <c r="BZ62" s="1204"/>
      <c r="CA62" s="1204"/>
      <c r="CB62" s="1204"/>
      <c r="CC62" s="1204"/>
      <c r="CD62" s="1204"/>
      <c r="CE62" s="1204"/>
      <c r="CF62" s="1204"/>
      <c r="CG62" s="1204"/>
      <c r="CH62" s="1204"/>
      <c r="CI62" s="1204"/>
      <c r="CJ62" s="1204"/>
      <c r="CK62" s="1204"/>
      <c r="CL62" s="1204"/>
      <c r="CM62" s="1204"/>
      <c r="CN62" s="1204"/>
      <c r="CO62" s="1204"/>
      <c r="CP62" s="1204"/>
      <c r="CQ62" s="1204"/>
      <c r="CR62" s="1204"/>
      <c r="CS62" s="1204"/>
      <c r="CT62" s="1204"/>
      <c r="CU62" s="1204"/>
      <c r="CV62" s="1204"/>
      <c r="CW62" s="1204"/>
      <c r="CX62" s="1204"/>
      <c r="CY62" s="1204"/>
      <c r="CZ62" s="1204"/>
      <c r="DA62" s="1204"/>
      <c r="DB62" s="1204"/>
      <c r="DC62" s="1204"/>
      <c r="DD62" s="1204"/>
      <c r="DE62" s="1204"/>
      <c r="DF62" s="390"/>
      <c r="DG62" s="1204"/>
      <c r="DH62" s="1204"/>
      <c r="DI62" s="1204"/>
      <c r="DJ62" s="1204"/>
      <c r="DK62" s="1204"/>
      <c r="DL62" s="1204"/>
      <c r="DM62" s="1204"/>
      <c r="DN62" s="1204"/>
      <c r="DO62" s="1204"/>
      <c r="DP62" s="1204"/>
      <c r="DQ62" s="1204"/>
      <c r="DR62" s="1204"/>
      <c r="DS62" s="1204"/>
      <c r="DT62" s="1204"/>
      <c r="DU62" s="1204"/>
      <c r="DV62" s="1204"/>
      <c r="DW62" s="1204"/>
      <c r="DX62" s="1204"/>
      <c r="DY62" s="1204"/>
      <c r="DZ62" s="1204"/>
      <c r="EA62" s="1204"/>
      <c r="EB62" s="1204"/>
      <c r="EC62" s="1204"/>
      <c r="ED62" s="1204"/>
      <c r="EE62" s="1204"/>
      <c r="EF62" s="1204"/>
      <c r="EG62" s="1204"/>
      <c r="EH62" s="1204"/>
      <c r="EI62" s="1204"/>
      <c r="EJ62" s="1204"/>
      <c r="EK62" s="1204"/>
      <c r="EL62" s="1204"/>
      <c r="EM62" s="1204"/>
      <c r="EN62" s="1204"/>
      <c r="EO62" s="1204"/>
      <c r="EP62" s="1204"/>
      <c r="EQ62" s="1204"/>
      <c r="ER62" s="1204"/>
      <c r="ES62" s="1204"/>
      <c r="ET62" s="1204"/>
      <c r="EU62" s="1204"/>
      <c r="EV62" s="1204"/>
      <c r="EW62" s="1204"/>
      <c r="EX62" s="1204"/>
      <c r="EY62" s="1204"/>
      <c r="EZ62" s="1204"/>
      <c r="FA62" s="1204"/>
      <c r="FB62" s="1204"/>
      <c r="FC62" s="1204"/>
      <c r="FD62" s="1204"/>
      <c r="FE62" s="1204"/>
      <c r="FF62" s="1204"/>
      <c r="FG62" s="1204"/>
      <c r="FH62" s="1204"/>
      <c r="FI62" s="390"/>
      <c r="FJ62" s="1204"/>
      <c r="FK62" s="1204"/>
      <c r="FL62" s="1204"/>
      <c r="FM62" s="1204"/>
      <c r="FN62" s="1204"/>
      <c r="FO62" s="1204"/>
      <c r="FP62" s="1204"/>
      <c r="FQ62" s="1204"/>
      <c r="FR62" s="1204"/>
      <c r="FS62" s="1204"/>
      <c r="FT62" s="1204"/>
      <c r="FU62" s="1204"/>
      <c r="FV62" s="1204"/>
      <c r="FW62" s="1204"/>
      <c r="FX62" s="1204"/>
      <c r="FY62" s="1204"/>
      <c r="FZ62" s="1204"/>
      <c r="GA62" s="1204"/>
      <c r="GB62" s="1204"/>
      <c r="GC62" s="1204"/>
      <c r="GD62" s="1204"/>
      <c r="GE62" s="1205"/>
      <c r="GF62" s="681"/>
      <c r="GG62" s="652"/>
      <c r="GH62" s="652"/>
      <c r="GI62" s="652"/>
      <c r="GJ62" s="577"/>
      <c r="GK62" s="483"/>
      <c r="GL62" s="480"/>
      <c r="GM62" s="483"/>
      <c r="GN62" s="480"/>
      <c r="GO62" s="483"/>
      <c r="GP62" s="483"/>
      <c r="GQ62" s="483"/>
      <c r="GR62" s="480"/>
      <c r="GS62" s="527"/>
      <c r="GT62" s="576"/>
      <c r="GU62" s="682"/>
      <c r="GV62" s="682"/>
      <c r="GW62" s="682"/>
      <c r="GX62" s="682"/>
      <c r="GY62" s="576"/>
      <c r="GZ62" s="497"/>
      <c r="HA62" s="576"/>
      <c r="HB62" s="497"/>
      <c r="HC62" s="1027"/>
    </row>
    <row r="63" spans="1:212" ht="20.100000000000001" customHeight="1">
      <c r="A63" s="1206" t="s">
        <v>346</v>
      </c>
      <c r="B63" s="1119"/>
      <c r="C63" s="1119"/>
      <c r="D63" s="1119"/>
      <c r="E63" s="1119"/>
      <c r="F63" s="1120"/>
      <c r="G63" s="1121">
        <v>1</v>
      </c>
      <c r="H63" s="1122"/>
      <c r="I63" s="1123">
        <v>2</v>
      </c>
      <c r="J63" s="1122"/>
      <c r="K63" s="1123">
        <v>3</v>
      </c>
      <c r="L63" s="1122"/>
      <c r="M63" s="1123">
        <v>4</v>
      </c>
      <c r="N63" s="1122"/>
      <c r="O63" s="1123">
        <v>5</v>
      </c>
      <c r="P63" s="1122"/>
      <c r="Q63" s="1123">
        <v>6</v>
      </c>
      <c r="R63" s="1122"/>
      <c r="S63" s="1123">
        <v>7</v>
      </c>
      <c r="T63" s="1122"/>
      <c r="U63" s="1123">
        <v>8</v>
      </c>
      <c r="V63" s="1122"/>
      <c r="W63" s="1123">
        <v>9</v>
      </c>
      <c r="X63" s="1122"/>
      <c r="Y63" s="1123">
        <v>10</v>
      </c>
      <c r="Z63" s="1122"/>
      <c r="AA63" s="1123">
        <v>11</v>
      </c>
      <c r="AB63" s="1122"/>
      <c r="AC63" s="1123">
        <v>12</v>
      </c>
      <c r="AD63" s="1122"/>
      <c r="AE63" s="1123">
        <v>13</v>
      </c>
      <c r="AF63" s="1122"/>
      <c r="AG63" s="1123">
        <v>14</v>
      </c>
      <c r="AH63" s="1122"/>
      <c r="AI63" s="1123">
        <v>15</v>
      </c>
      <c r="AJ63" s="1122"/>
      <c r="AK63" s="1123">
        <v>16</v>
      </c>
      <c r="AL63" s="1122"/>
      <c r="AM63" s="1123">
        <v>17</v>
      </c>
      <c r="AN63" s="1122"/>
      <c r="AO63" s="1123">
        <v>18</v>
      </c>
      <c r="AP63" s="1122"/>
      <c r="AQ63" s="1123">
        <v>19</v>
      </c>
      <c r="AR63" s="1122"/>
      <c r="AS63" s="1123">
        <v>20</v>
      </c>
      <c r="AT63" s="1122"/>
      <c r="AU63" s="1123">
        <v>21</v>
      </c>
      <c r="AV63" s="1122"/>
      <c r="AW63" s="1123">
        <v>22</v>
      </c>
      <c r="AX63" s="1122"/>
      <c r="AY63" s="1123">
        <v>23</v>
      </c>
      <c r="AZ63" s="1122"/>
      <c r="BA63" s="1123">
        <v>24</v>
      </c>
      <c r="BB63" s="1124"/>
      <c r="BC63" s="1027"/>
      <c r="BD63" s="1207" t="s">
        <v>347</v>
      </c>
      <c r="BE63" s="1208"/>
      <c r="BF63" s="1208"/>
      <c r="BG63" s="1208"/>
      <c r="BH63" s="1119"/>
      <c r="BI63" s="1120"/>
      <c r="BJ63" s="1121">
        <v>1</v>
      </c>
      <c r="BK63" s="1122"/>
      <c r="BL63" s="1123">
        <v>2</v>
      </c>
      <c r="BM63" s="1122"/>
      <c r="BN63" s="1123">
        <v>3</v>
      </c>
      <c r="BO63" s="1122"/>
      <c r="BP63" s="1123">
        <v>4</v>
      </c>
      <c r="BQ63" s="1122"/>
      <c r="BR63" s="1123">
        <v>5</v>
      </c>
      <c r="BS63" s="1122"/>
      <c r="BT63" s="1123">
        <v>6</v>
      </c>
      <c r="BU63" s="1122"/>
      <c r="BV63" s="1123">
        <v>7</v>
      </c>
      <c r="BW63" s="1122"/>
      <c r="BX63" s="1123">
        <v>8</v>
      </c>
      <c r="BY63" s="1122"/>
      <c r="BZ63" s="1123">
        <v>9</v>
      </c>
      <c r="CA63" s="1122"/>
      <c r="CB63" s="1123">
        <v>10</v>
      </c>
      <c r="CC63" s="1122"/>
      <c r="CD63" s="1123">
        <v>11</v>
      </c>
      <c r="CE63" s="1122"/>
      <c r="CF63" s="1123">
        <v>12</v>
      </c>
      <c r="CG63" s="1122"/>
      <c r="CH63" s="1123">
        <v>13</v>
      </c>
      <c r="CI63" s="1122"/>
      <c r="CJ63" s="1123">
        <v>14</v>
      </c>
      <c r="CK63" s="1122"/>
      <c r="CL63" s="1123">
        <v>15</v>
      </c>
      <c r="CM63" s="1122"/>
      <c r="CN63" s="1123">
        <v>16</v>
      </c>
      <c r="CO63" s="1122"/>
      <c r="CP63" s="1123">
        <v>17</v>
      </c>
      <c r="CQ63" s="1122"/>
      <c r="CR63" s="1123">
        <v>18</v>
      </c>
      <c r="CS63" s="1122"/>
      <c r="CT63" s="1123">
        <v>19</v>
      </c>
      <c r="CU63" s="1122"/>
      <c r="CV63" s="1123">
        <v>20</v>
      </c>
      <c r="CW63" s="1122"/>
      <c r="CX63" s="1123">
        <v>21</v>
      </c>
      <c r="CY63" s="1122"/>
      <c r="CZ63" s="1123">
        <v>22</v>
      </c>
      <c r="DA63" s="1122"/>
      <c r="DB63" s="1123">
        <v>23</v>
      </c>
      <c r="DC63" s="1122"/>
      <c r="DD63" s="1123">
        <v>24</v>
      </c>
      <c r="DE63" s="1124"/>
      <c r="DF63" s="1027"/>
      <c r="DG63" s="1206" t="s">
        <v>346</v>
      </c>
      <c r="DH63" s="1119"/>
      <c r="DI63" s="1119"/>
      <c r="DJ63" s="1119"/>
      <c r="DK63" s="1119"/>
      <c r="DL63" s="1120"/>
      <c r="DM63" s="1121">
        <v>1</v>
      </c>
      <c r="DN63" s="1122"/>
      <c r="DO63" s="1123">
        <v>2</v>
      </c>
      <c r="DP63" s="1122"/>
      <c r="DQ63" s="1123">
        <v>3</v>
      </c>
      <c r="DR63" s="1122"/>
      <c r="DS63" s="1123">
        <v>4</v>
      </c>
      <c r="DT63" s="1122"/>
      <c r="DU63" s="1123">
        <v>5</v>
      </c>
      <c r="DV63" s="1122"/>
      <c r="DW63" s="1123">
        <v>6</v>
      </c>
      <c r="DX63" s="1122"/>
      <c r="DY63" s="1123">
        <v>7</v>
      </c>
      <c r="DZ63" s="1122"/>
      <c r="EA63" s="1123">
        <v>8</v>
      </c>
      <c r="EB63" s="1122"/>
      <c r="EC63" s="1123">
        <v>9</v>
      </c>
      <c r="ED63" s="1122"/>
      <c r="EE63" s="1123">
        <v>10</v>
      </c>
      <c r="EF63" s="1122"/>
      <c r="EG63" s="1123">
        <v>11</v>
      </c>
      <c r="EH63" s="1122"/>
      <c r="EI63" s="1123">
        <v>12</v>
      </c>
      <c r="EJ63" s="1122"/>
      <c r="EK63" s="1123">
        <v>13</v>
      </c>
      <c r="EL63" s="1122"/>
      <c r="EM63" s="1123">
        <v>14</v>
      </c>
      <c r="EN63" s="1122"/>
      <c r="EO63" s="1123">
        <v>15</v>
      </c>
      <c r="EP63" s="1122"/>
      <c r="EQ63" s="1123">
        <v>16</v>
      </c>
      <c r="ER63" s="1122"/>
      <c r="ES63" s="1123">
        <v>17</v>
      </c>
      <c r="ET63" s="1122"/>
      <c r="EU63" s="1123">
        <v>18</v>
      </c>
      <c r="EV63" s="1122"/>
      <c r="EW63" s="1123">
        <v>19</v>
      </c>
      <c r="EX63" s="1122"/>
      <c r="EY63" s="1123">
        <v>20</v>
      </c>
      <c r="EZ63" s="1122"/>
      <c r="FA63" s="1123">
        <v>21</v>
      </c>
      <c r="FB63" s="1122"/>
      <c r="FC63" s="1123">
        <v>22</v>
      </c>
      <c r="FD63" s="1122"/>
      <c r="FE63" s="1123">
        <v>23</v>
      </c>
      <c r="FF63" s="1122"/>
      <c r="FG63" s="1123">
        <v>24</v>
      </c>
      <c r="FH63" s="1124"/>
      <c r="FI63" s="1027"/>
      <c r="FJ63" s="1206" t="s">
        <v>346</v>
      </c>
      <c r="FK63" s="1119"/>
      <c r="FL63" s="1119"/>
      <c r="FM63" s="1119"/>
      <c r="FN63" s="1119"/>
      <c r="FO63" s="1120"/>
      <c r="FP63" s="1125" t="s">
        <v>533</v>
      </c>
      <c r="FQ63" s="1126"/>
      <c r="FR63" s="1127"/>
      <c r="FS63" s="1128" t="s">
        <v>297</v>
      </c>
      <c r="FT63" s="1129"/>
      <c r="FU63" s="1130"/>
      <c r="FV63" s="1131" t="s">
        <v>340</v>
      </c>
      <c r="FW63" s="1132"/>
      <c r="FX63" s="1133" t="s">
        <v>341</v>
      </c>
      <c r="FY63" s="1134"/>
      <c r="FZ63" s="1135" t="s">
        <v>342</v>
      </c>
      <c r="GA63" s="1136"/>
      <c r="GB63" s="1137" t="s">
        <v>343</v>
      </c>
      <c r="GC63" s="1122"/>
      <c r="GD63" s="1137" t="s">
        <v>344</v>
      </c>
      <c r="GE63" s="1124"/>
      <c r="GF63" s="681"/>
      <c r="GG63" s="599"/>
      <c r="GH63" s="599"/>
      <c r="GI63" s="599"/>
      <c r="GJ63" s="1253"/>
      <c r="GK63" s="1253"/>
      <c r="GL63" s="575"/>
      <c r="GM63" s="497"/>
      <c r="GN63" s="575"/>
      <c r="GO63" s="497"/>
      <c r="GP63" s="497"/>
      <c r="GQ63" s="497"/>
      <c r="GR63" s="575"/>
      <c r="GS63" s="527"/>
      <c r="GT63" s="576"/>
      <c r="GU63" s="575"/>
      <c r="GV63" s="497"/>
      <c r="GW63" s="575"/>
      <c r="GX63" s="497"/>
      <c r="GY63" s="497"/>
      <c r="GZ63" s="497"/>
      <c r="HA63" s="576"/>
      <c r="HB63" s="497"/>
      <c r="HC63" s="1041"/>
    </row>
    <row r="64" spans="1:212" ht="20.100000000000001" customHeight="1">
      <c r="A64" s="1209"/>
      <c r="B64" s="1140"/>
      <c r="C64" s="1140"/>
      <c r="D64" s="1140"/>
      <c r="E64" s="1140"/>
      <c r="F64" s="1141"/>
      <c r="G64" s="1142"/>
      <c r="H64" s="1143" t="s">
        <v>348</v>
      </c>
      <c r="I64" s="1144"/>
      <c r="J64" s="1143" t="s">
        <v>348</v>
      </c>
      <c r="K64" s="1144"/>
      <c r="L64" s="1143" t="s">
        <v>348</v>
      </c>
      <c r="M64" s="1144"/>
      <c r="N64" s="1143" t="s">
        <v>348</v>
      </c>
      <c r="O64" s="1144"/>
      <c r="P64" s="1143" t="s">
        <v>348</v>
      </c>
      <c r="Q64" s="1144"/>
      <c r="R64" s="1143" t="s">
        <v>348</v>
      </c>
      <c r="S64" s="1144"/>
      <c r="T64" s="1143" t="s">
        <v>348</v>
      </c>
      <c r="U64" s="1144"/>
      <c r="V64" s="1143" t="s">
        <v>348</v>
      </c>
      <c r="W64" s="1144"/>
      <c r="X64" s="1143" t="s">
        <v>348</v>
      </c>
      <c r="Y64" s="1144"/>
      <c r="Z64" s="1143" t="s">
        <v>348</v>
      </c>
      <c r="AA64" s="1144"/>
      <c r="AB64" s="1143" t="s">
        <v>348</v>
      </c>
      <c r="AC64" s="1144"/>
      <c r="AD64" s="1143" t="s">
        <v>348</v>
      </c>
      <c r="AE64" s="1144"/>
      <c r="AF64" s="1143" t="s">
        <v>348</v>
      </c>
      <c r="AG64" s="1144"/>
      <c r="AH64" s="1143" t="s">
        <v>348</v>
      </c>
      <c r="AI64" s="1144"/>
      <c r="AJ64" s="1143" t="s">
        <v>348</v>
      </c>
      <c r="AK64" s="1144"/>
      <c r="AL64" s="1143" t="s">
        <v>348</v>
      </c>
      <c r="AM64" s="1144"/>
      <c r="AN64" s="1143" t="s">
        <v>348</v>
      </c>
      <c r="AO64" s="1144"/>
      <c r="AP64" s="1143" t="s">
        <v>348</v>
      </c>
      <c r="AQ64" s="1144"/>
      <c r="AR64" s="1143" t="s">
        <v>348</v>
      </c>
      <c r="AS64" s="1144"/>
      <c r="AT64" s="1143" t="s">
        <v>348</v>
      </c>
      <c r="AU64" s="1144"/>
      <c r="AV64" s="1143" t="s">
        <v>348</v>
      </c>
      <c r="AW64" s="1144"/>
      <c r="AX64" s="1143" t="s">
        <v>348</v>
      </c>
      <c r="AY64" s="1144"/>
      <c r="AZ64" s="1143" t="s">
        <v>348</v>
      </c>
      <c r="BA64" s="1144"/>
      <c r="BB64" s="1146" t="s">
        <v>348</v>
      </c>
      <c r="BC64" s="1041"/>
      <c r="BD64" s="1210"/>
      <c r="BE64" s="1211"/>
      <c r="BF64" s="1211"/>
      <c r="BG64" s="1211"/>
      <c r="BH64" s="1140"/>
      <c r="BI64" s="1141"/>
      <c r="BJ64" s="1142"/>
      <c r="BK64" s="1143" t="s">
        <v>348</v>
      </c>
      <c r="BL64" s="1144"/>
      <c r="BM64" s="1143" t="s">
        <v>348</v>
      </c>
      <c r="BN64" s="1144"/>
      <c r="BO64" s="1143" t="s">
        <v>348</v>
      </c>
      <c r="BP64" s="1144"/>
      <c r="BQ64" s="1143" t="s">
        <v>348</v>
      </c>
      <c r="BR64" s="1144"/>
      <c r="BS64" s="1143" t="s">
        <v>348</v>
      </c>
      <c r="BT64" s="1144"/>
      <c r="BU64" s="1143" t="s">
        <v>348</v>
      </c>
      <c r="BV64" s="1144"/>
      <c r="BW64" s="1143" t="s">
        <v>348</v>
      </c>
      <c r="BX64" s="1144"/>
      <c r="BY64" s="1143" t="s">
        <v>348</v>
      </c>
      <c r="BZ64" s="1144"/>
      <c r="CA64" s="1143" t="s">
        <v>348</v>
      </c>
      <c r="CB64" s="1144"/>
      <c r="CC64" s="1143" t="s">
        <v>348</v>
      </c>
      <c r="CD64" s="1144"/>
      <c r="CE64" s="1143" t="s">
        <v>348</v>
      </c>
      <c r="CF64" s="1144"/>
      <c r="CG64" s="1143" t="s">
        <v>348</v>
      </c>
      <c r="CH64" s="1144"/>
      <c r="CI64" s="1143" t="s">
        <v>348</v>
      </c>
      <c r="CJ64" s="1144"/>
      <c r="CK64" s="1143" t="s">
        <v>348</v>
      </c>
      <c r="CL64" s="1144"/>
      <c r="CM64" s="1143" t="s">
        <v>348</v>
      </c>
      <c r="CN64" s="1144"/>
      <c r="CO64" s="1143" t="s">
        <v>348</v>
      </c>
      <c r="CP64" s="1144"/>
      <c r="CQ64" s="1143" t="s">
        <v>348</v>
      </c>
      <c r="CR64" s="1144"/>
      <c r="CS64" s="1143" t="s">
        <v>348</v>
      </c>
      <c r="CT64" s="1144"/>
      <c r="CU64" s="1143" t="s">
        <v>348</v>
      </c>
      <c r="CV64" s="1144"/>
      <c r="CW64" s="1143" t="s">
        <v>348</v>
      </c>
      <c r="CX64" s="1144"/>
      <c r="CY64" s="1143" t="s">
        <v>348</v>
      </c>
      <c r="CZ64" s="1144"/>
      <c r="DA64" s="1143" t="s">
        <v>348</v>
      </c>
      <c r="DB64" s="1144"/>
      <c r="DC64" s="1143" t="s">
        <v>348</v>
      </c>
      <c r="DD64" s="1144"/>
      <c r="DE64" s="1146" t="s">
        <v>348</v>
      </c>
      <c r="DF64" s="1041"/>
      <c r="DG64" s="1209"/>
      <c r="DH64" s="1140"/>
      <c r="DI64" s="1140"/>
      <c r="DJ64" s="1140"/>
      <c r="DK64" s="1140"/>
      <c r="DL64" s="1141"/>
      <c r="DM64" s="1142"/>
      <c r="DN64" s="1143" t="s">
        <v>348</v>
      </c>
      <c r="DO64" s="1144"/>
      <c r="DP64" s="1143" t="s">
        <v>348</v>
      </c>
      <c r="DQ64" s="1144"/>
      <c r="DR64" s="1143" t="s">
        <v>348</v>
      </c>
      <c r="DS64" s="1144"/>
      <c r="DT64" s="1143" t="s">
        <v>348</v>
      </c>
      <c r="DU64" s="1144"/>
      <c r="DV64" s="1143" t="s">
        <v>348</v>
      </c>
      <c r="DW64" s="1144"/>
      <c r="DX64" s="1143" t="s">
        <v>348</v>
      </c>
      <c r="DY64" s="1144"/>
      <c r="DZ64" s="1143" t="s">
        <v>348</v>
      </c>
      <c r="EA64" s="1144"/>
      <c r="EB64" s="1143" t="s">
        <v>348</v>
      </c>
      <c r="EC64" s="1144"/>
      <c r="ED64" s="1143" t="s">
        <v>348</v>
      </c>
      <c r="EE64" s="1144"/>
      <c r="EF64" s="1143" t="s">
        <v>348</v>
      </c>
      <c r="EG64" s="1144"/>
      <c r="EH64" s="1143" t="s">
        <v>348</v>
      </c>
      <c r="EI64" s="1144"/>
      <c r="EJ64" s="1143" t="s">
        <v>348</v>
      </c>
      <c r="EK64" s="1144"/>
      <c r="EL64" s="1143" t="s">
        <v>348</v>
      </c>
      <c r="EM64" s="1144"/>
      <c r="EN64" s="1143" t="s">
        <v>348</v>
      </c>
      <c r="EO64" s="1144"/>
      <c r="EP64" s="1143" t="s">
        <v>348</v>
      </c>
      <c r="EQ64" s="1144"/>
      <c r="ER64" s="1143" t="s">
        <v>348</v>
      </c>
      <c r="ES64" s="1144"/>
      <c r="ET64" s="1143" t="s">
        <v>348</v>
      </c>
      <c r="EU64" s="1144"/>
      <c r="EV64" s="1143" t="s">
        <v>348</v>
      </c>
      <c r="EW64" s="1144"/>
      <c r="EX64" s="1143" t="s">
        <v>348</v>
      </c>
      <c r="EY64" s="1144"/>
      <c r="EZ64" s="1143" t="s">
        <v>348</v>
      </c>
      <c r="FA64" s="1144"/>
      <c r="FB64" s="1143" t="s">
        <v>348</v>
      </c>
      <c r="FC64" s="1144"/>
      <c r="FD64" s="1143" t="s">
        <v>348</v>
      </c>
      <c r="FE64" s="1144"/>
      <c r="FF64" s="1143" t="s">
        <v>348</v>
      </c>
      <c r="FG64" s="1144"/>
      <c r="FH64" s="1146" t="s">
        <v>348</v>
      </c>
      <c r="FI64" s="1041"/>
      <c r="FJ64" s="1209"/>
      <c r="FK64" s="1140"/>
      <c r="FL64" s="1140"/>
      <c r="FM64" s="1140"/>
      <c r="FN64" s="1140"/>
      <c r="FO64" s="1141"/>
      <c r="FP64" s="1147" t="s">
        <v>45</v>
      </c>
      <c r="FQ64" s="1145" t="s">
        <v>349</v>
      </c>
      <c r="FR64" s="1143" t="s">
        <v>348</v>
      </c>
      <c r="FS64" s="1148" t="s">
        <v>45</v>
      </c>
      <c r="FT64" s="1145" t="s">
        <v>349</v>
      </c>
      <c r="FU64" s="1149" t="s">
        <v>348</v>
      </c>
      <c r="FV64" s="1150" t="s">
        <v>45</v>
      </c>
      <c r="FW64" s="1143" t="s">
        <v>348</v>
      </c>
      <c r="FX64" s="1148" t="s">
        <v>45</v>
      </c>
      <c r="FY64" s="1143" t="s">
        <v>348</v>
      </c>
      <c r="FZ64" s="1148" t="s">
        <v>45</v>
      </c>
      <c r="GA64" s="1143" t="s">
        <v>348</v>
      </c>
      <c r="GB64" s="1148" t="s">
        <v>45</v>
      </c>
      <c r="GC64" s="1143" t="s">
        <v>348</v>
      </c>
      <c r="GD64" s="1148" t="s">
        <v>45</v>
      </c>
      <c r="GE64" s="1146" t="s">
        <v>348</v>
      </c>
      <c r="GF64" s="681"/>
      <c r="GG64" s="1182"/>
      <c r="GH64" s="1182"/>
      <c r="GI64" s="1182"/>
      <c r="GJ64" s="497"/>
      <c r="GK64" s="497"/>
      <c r="GL64" s="575"/>
      <c r="GM64" s="497"/>
      <c r="GN64" s="575"/>
      <c r="GO64" s="497"/>
      <c r="GP64" s="497"/>
      <c r="GQ64" s="497"/>
      <c r="GR64" s="575"/>
      <c r="GS64" s="410"/>
      <c r="GT64" s="1255"/>
      <c r="GU64" s="575"/>
      <c r="GV64" s="497"/>
      <c r="GW64" s="575"/>
      <c r="GX64" s="497"/>
      <c r="GY64" s="497"/>
      <c r="GZ64" s="576"/>
      <c r="HA64" s="576"/>
      <c r="HB64" s="576"/>
      <c r="HC64" s="559"/>
    </row>
    <row r="65" spans="1:211" ht="20.100000000000001" customHeight="1">
      <c r="A65" s="1151"/>
      <c r="B65" s="1152"/>
      <c r="C65" s="1152"/>
      <c r="D65" s="1212"/>
      <c r="E65" s="1213"/>
      <c r="F65" s="1214"/>
      <c r="G65" s="1215"/>
      <c r="H65" s="1156"/>
      <c r="I65" s="1216"/>
      <c r="J65" s="1217"/>
      <c r="K65" s="1218"/>
      <c r="L65" s="1217"/>
      <c r="M65" s="1218"/>
      <c r="N65" s="1217"/>
      <c r="O65" s="1218"/>
      <c r="P65" s="1217"/>
      <c r="Q65" s="1218"/>
      <c r="R65" s="1217"/>
      <c r="S65" s="1218"/>
      <c r="T65" s="1217"/>
      <c r="U65" s="1218"/>
      <c r="V65" s="1217"/>
      <c r="W65" s="1218"/>
      <c r="X65" s="1217">
        <v>0</v>
      </c>
      <c r="Y65" s="1218"/>
      <c r="Z65" s="1217">
        <v>0</v>
      </c>
      <c r="AA65" s="1218"/>
      <c r="AB65" s="1217">
        <v>0</v>
      </c>
      <c r="AC65" s="1218"/>
      <c r="AD65" s="1217">
        <v>0</v>
      </c>
      <c r="AE65" s="1218"/>
      <c r="AF65" s="1217">
        <v>0</v>
      </c>
      <c r="AG65" s="1218"/>
      <c r="AH65" s="1217">
        <v>0</v>
      </c>
      <c r="AI65" s="1218"/>
      <c r="AJ65" s="1217">
        <v>0</v>
      </c>
      <c r="AK65" s="1218"/>
      <c r="AL65" s="1217">
        <v>0</v>
      </c>
      <c r="AM65" s="1218"/>
      <c r="AN65" s="1217">
        <v>0</v>
      </c>
      <c r="AO65" s="1218"/>
      <c r="AP65" s="1217">
        <v>0</v>
      </c>
      <c r="AQ65" s="1218"/>
      <c r="AR65" s="1217"/>
      <c r="AS65" s="1218"/>
      <c r="AT65" s="1217"/>
      <c r="AU65" s="1218"/>
      <c r="AV65" s="1217"/>
      <c r="AW65" s="1218"/>
      <c r="AX65" s="1217"/>
      <c r="AY65" s="1218"/>
      <c r="AZ65" s="1217"/>
      <c r="BA65" s="1218"/>
      <c r="BB65" s="558"/>
      <c r="BC65" s="560"/>
      <c r="BD65" s="1151"/>
      <c r="BE65" s="1152"/>
      <c r="BF65" s="1152"/>
      <c r="BG65" s="1212"/>
      <c r="BH65" s="1213"/>
      <c r="BI65" s="1214"/>
      <c r="BJ65" s="1215"/>
      <c r="BK65" s="1156"/>
      <c r="BL65" s="1216"/>
      <c r="BM65" s="1217"/>
      <c r="BN65" s="1218"/>
      <c r="BO65" s="1217"/>
      <c r="BP65" s="1218"/>
      <c r="BQ65" s="1217"/>
      <c r="BR65" s="1218"/>
      <c r="BS65" s="1217"/>
      <c r="BT65" s="1218"/>
      <c r="BU65" s="1217"/>
      <c r="BV65" s="1218"/>
      <c r="BW65" s="1217"/>
      <c r="BX65" s="1218"/>
      <c r="BY65" s="1217"/>
      <c r="BZ65" s="1218"/>
      <c r="CA65" s="1217">
        <v>0</v>
      </c>
      <c r="CB65" s="1218"/>
      <c r="CC65" s="1217">
        <v>0</v>
      </c>
      <c r="CD65" s="1218"/>
      <c r="CE65" s="1217">
        <v>0</v>
      </c>
      <c r="CF65" s="1218"/>
      <c r="CG65" s="1217">
        <v>0</v>
      </c>
      <c r="CH65" s="1218"/>
      <c r="CI65" s="1217">
        <v>0</v>
      </c>
      <c r="CJ65" s="1218"/>
      <c r="CK65" s="1217">
        <v>0</v>
      </c>
      <c r="CL65" s="1218"/>
      <c r="CM65" s="1217">
        <v>0</v>
      </c>
      <c r="CN65" s="1218"/>
      <c r="CO65" s="1217">
        <v>0</v>
      </c>
      <c r="CP65" s="1218"/>
      <c r="CQ65" s="1217">
        <v>0</v>
      </c>
      <c r="CR65" s="1218"/>
      <c r="CS65" s="1217">
        <v>0</v>
      </c>
      <c r="CT65" s="1218"/>
      <c r="CU65" s="1217"/>
      <c r="CV65" s="1218"/>
      <c r="CW65" s="1217"/>
      <c r="CX65" s="1218"/>
      <c r="CY65" s="1217"/>
      <c r="CZ65" s="1218"/>
      <c r="DA65" s="1217"/>
      <c r="DB65" s="1218"/>
      <c r="DC65" s="1217"/>
      <c r="DD65" s="1218"/>
      <c r="DE65" s="558"/>
      <c r="DF65" s="559"/>
      <c r="DG65" s="1151"/>
      <c r="DH65" s="1152"/>
      <c r="DI65" s="1152"/>
      <c r="DJ65" s="1212"/>
      <c r="DK65" s="1213"/>
      <c r="DL65" s="1214"/>
      <c r="DM65" s="1215"/>
      <c r="DN65" s="1156"/>
      <c r="DO65" s="1216"/>
      <c r="DP65" s="1217"/>
      <c r="DQ65" s="1218"/>
      <c r="DR65" s="1217"/>
      <c r="DS65" s="1218"/>
      <c r="DT65" s="1217"/>
      <c r="DU65" s="1218"/>
      <c r="DV65" s="1217"/>
      <c r="DW65" s="1218"/>
      <c r="DX65" s="1217"/>
      <c r="DY65" s="1218"/>
      <c r="DZ65" s="1217"/>
      <c r="EA65" s="1218"/>
      <c r="EB65" s="1217"/>
      <c r="EC65" s="1218"/>
      <c r="ED65" s="1217">
        <v>0</v>
      </c>
      <c r="EE65" s="1218"/>
      <c r="EF65" s="1217">
        <v>0</v>
      </c>
      <c r="EG65" s="1218"/>
      <c r="EH65" s="1217">
        <v>0</v>
      </c>
      <c r="EI65" s="1218"/>
      <c r="EJ65" s="1217">
        <v>0</v>
      </c>
      <c r="EK65" s="1218"/>
      <c r="EL65" s="1217">
        <v>0</v>
      </c>
      <c r="EM65" s="1218"/>
      <c r="EN65" s="1217">
        <v>0</v>
      </c>
      <c r="EO65" s="1218"/>
      <c r="EP65" s="1217">
        <v>0</v>
      </c>
      <c r="EQ65" s="1218"/>
      <c r="ER65" s="1217">
        <v>0</v>
      </c>
      <c r="ES65" s="1218"/>
      <c r="ET65" s="1217">
        <v>0</v>
      </c>
      <c r="EU65" s="1218"/>
      <c r="EV65" s="1217">
        <v>0</v>
      </c>
      <c r="EW65" s="1218"/>
      <c r="EX65" s="1217"/>
      <c r="EY65" s="1218"/>
      <c r="EZ65" s="1217"/>
      <c r="FA65" s="1218"/>
      <c r="FB65" s="1217"/>
      <c r="FC65" s="1218"/>
      <c r="FD65" s="1217"/>
      <c r="FE65" s="1218"/>
      <c r="FF65" s="1217"/>
      <c r="FG65" s="1218"/>
      <c r="FH65" s="558"/>
      <c r="FI65" s="560"/>
      <c r="FJ65" s="1151"/>
      <c r="FK65" s="1152"/>
      <c r="FL65" s="1219"/>
      <c r="FM65" s="1219"/>
      <c r="FN65" s="1219"/>
      <c r="FO65" s="1214"/>
      <c r="FP65" s="1158"/>
      <c r="FQ65" s="1216"/>
      <c r="FR65" s="1156">
        <v>0</v>
      </c>
      <c r="FS65" s="1220"/>
      <c r="FT65" s="1216"/>
      <c r="FU65" s="1161">
        <v>0</v>
      </c>
      <c r="FV65" s="1220"/>
      <c r="FW65" s="1221">
        <v>0</v>
      </c>
      <c r="FX65" s="1160"/>
      <c r="FY65" s="1221">
        <v>0</v>
      </c>
      <c r="FZ65" s="1160"/>
      <c r="GA65" s="1221">
        <v>0</v>
      </c>
      <c r="GB65" s="1160"/>
      <c r="GC65" s="1221">
        <v>0</v>
      </c>
      <c r="GD65" s="1222"/>
      <c r="GE65" s="1223"/>
      <c r="GF65" s="681"/>
      <c r="GG65" s="599"/>
      <c r="GH65" s="599"/>
      <c r="GI65" s="599"/>
      <c r="GJ65" s="392"/>
      <c r="GK65" s="526"/>
      <c r="GL65" s="526"/>
      <c r="GM65" s="526"/>
      <c r="GN65" s="526"/>
      <c r="GO65" s="526"/>
      <c r="GP65" s="526"/>
      <c r="GQ65" s="526"/>
      <c r="GR65" s="526"/>
      <c r="GS65" s="410"/>
      <c r="GT65" s="1255"/>
      <c r="GU65" s="497"/>
      <c r="GV65" s="497"/>
      <c r="GW65" s="497"/>
      <c r="GX65" s="497"/>
      <c r="GY65" s="497"/>
      <c r="GZ65" s="576"/>
      <c r="HA65" s="576"/>
      <c r="HB65" s="576"/>
      <c r="HC65" s="559"/>
    </row>
    <row r="66" spans="1:211" ht="20.100000000000001" customHeight="1">
      <c r="A66" s="1189"/>
      <c r="B66" s="1190"/>
      <c r="C66" s="1190"/>
      <c r="D66" s="1190"/>
      <c r="E66" s="1190"/>
      <c r="F66" s="1191"/>
      <c r="G66" s="1224"/>
      <c r="H66" s="1225"/>
      <c r="I66" s="1198"/>
      <c r="J66" s="1226"/>
      <c r="K66" s="1227"/>
      <c r="L66" s="1226"/>
      <c r="M66" s="1227"/>
      <c r="N66" s="1226"/>
      <c r="O66" s="1227"/>
      <c r="P66" s="1226"/>
      <c r="Q66" s="1227"/>
      <c r="R66" s="1226"/>
      <c r="S66" s="1227"/>
      <c r="T66" s="1226"/>
      <c r="U66" s="1227"/>
      <c r="V66" s="1226"/>
      <c r="W66" s="1227"/>
      <c r="X66" s="1226"/>
      <c r="Y66" s="1227"/>
      <c r="Z66" s="1226"/>
      <c r="AA66" s="1227"/>
      <c r="AB66" s="1226"/>
      <c r="AC66" s="1227"/>
      <c r="AD66" s="1226"/>
      <c r="AE66" s="1227"/>
      <c r="AF66" s="1226"/>
      <c r="AG66" s="1227"/>
      <c r="AH66" s="1226"/>
      <c r="AI66" s="1227"/>
      <c r="AJ66" s="1226"/>
      <c r="AK66" s="1227"/>
      <c r="AL66" s="1226"/>
      <c r="AM66" s="1227"/>
      <c r="AN66" s="1226"/>
      <c r="AO66" s="1227"/>
      <c r="AP66" s="1226"/>
      <c r="AQ66" s="1227"/>
      <c r="AR66" s="1226"/>
      <c r="AS66" s="1227"/>
      <c r="AT66" s="1226"/>
      <c r="AU66" s="1227"/>
      <c r="AV66" s="1226"/>
      <c r="AW66" s="1227"/>
      <c r="AX66" s="1226"/>
      <c r="AY66" s="1227"/>
      <c r="AZ66" s="1226"/>
      <c r="BA66" s="1227"/>
      <c r="BB66" s="1228"/>
      <c r="BC66" s="560"/>
      <c r="BD66" s="1189"/>
      <c r="BE66" s="1190"/>
      <c r="BF66" s="1190"/>
      <c r="BG66" s="1190"/>
      <c r="BH66" s="1190"/>
      <c r="BI66" s="1191"/>
      <c r="BJ66" s="1224"/>
      <c r="BK66" s="1225"/>
      <c r="BL66" s="1198"/>
      <c r="BM66" s="1226"/>
      <c r="BN66" s="1227"/>
      <c r="BO66" s="1226"/>
      <c r="BP66" s="1227"/>
      <c r="BQ66" s="1226"/>
      <c r="BR66" s="1227"/>
      <c r="BS66" s="1226"/>
      <c r="BT66" s="1227"/>
      <c r="BU66" s="1226"/>
      <c r="BV66" s="1227"/>
      <c r="BW66" s="1226"/>
      <c r="BX66" s="1227"/>
      <c r="BY66" s="1226"/>
      <c r="BZ66" s="1227"/>
      <c r="CA66" s="1226"/>
      <c r="CB66" s="1227"/>
      <c r="CC66" s="1226"/>
      <c r="CD66" s="1227"/>
      <c r="CE66" s="1226"/>
      <c r="CF66" s="1227"/>
      <c r="CG66" s="1226"/>
      <c r="CH66" s="1227"/>
      <c r="CI66" s="1226"/>
      <c r="CJ66" s="1227"/>
      <c r="CK66" s="1226"/>
      <c r="CL66" s="1227"/>
      <c r="CM66" s="1226"/>
      <c r="CN66" s="1227"/>
      <c r="CO66" s="1226"/>
      <c r="CP66" s="1227"/>
      <c r="CQ66" s="1226"/>
      <c r="CR66" s="1227"/>
      <c r="CS66" s="1226"/>
      <c r="CT66" s="1227"/>
      <c r="CU66" s="1226"/>
      <c r="CV66" s="1227"/>
      <c r="CW66" s="1226"/>
      <c r="CX66" s="1227"/>
      <c r="CY66" s="1226"/>
      <c r="CZ66" s="1227"/>
      <c r="DA66" s="1226"/>
      <c r="DB66" s="1227"/>
      <c r="DC66" s="1226"/>
      <c r="DD66" s="1227"/>
      <c r="DE66" s="1228"/>
      <c r="DF66" s="559"/>
      <c r="DG66" s="1189"/>
      <c r="DH66" s="1190"/>
      <c r="DI66" s="1190"/>
      <c r="DJ66" s="1190"/>
      <c r="DK66" s="1190"/>
      <c r="DL66" s="1191"/>
      <c r="DM66" s="1224"/>
      <c r="DN66" s="1225"/>
      <c r="DO66" s="1198"/>
      <c r="DP66" s="1226"/>
      <c r="DQ66" s="1227"/>
      <c r="DR66" s="1226"/>
      <c r="DS66" s="1227"/>
      <c r="DT66" s="1226"/>
      <c r="DU66" s="1227"/>
      <c r="DV66" s="1226"/>
      <c r="DW66" s="1227"/>
      <c r="DX66" s="1226"/>
      <c r="DY66" s="1227"/>
      <c r="DZ66" s="1226"/>
      <c r="EA66" s="1227"/>
      <c r="EB66" s="1226"/>
      <c r="EC66" s="1227"/>
      <c r="ED66" s="1226"/>
      <c r="EE66" s="1227"/>
      <c r="EF66" s="1226"/>
      <c r="EG66" s="1227"/>
      <c r="EH66" s="1226"/>
      <c r="EI66" s="1227"/>
      <c r="EJ66" s="1226"/>
      <c r="EK66" s="1227"/>
      <c r="EL66" s="1226"/>
      <c r="EM66" s="1227"/>
      <c r="EN66" s="1226"/>
      <c r="EO66" s="1227"/>
      <c r="EP66" s="1226"/>
      <c r="EQ66" s="1227"/>
      <c r="ER66" s="1226"/>
      <c r="ES66" s="1227"/>
      <c r="ET66" s="1226"/>
      <c r="EU66" s="1227"/>
      <c r="EV66" s="1226"/>
      <c r="EW66" s="1227"/>
      <c r="EX66" s="1226"/>
      <c r="EY66" s="1227"/>
      <c r="EZ66" s="1226"/>
      <c r="FA66" s="1227"/>
      <c r="FB66" s="1226"/>
      <c r="FC66" s="1227"/>
      <c r="FD66" s="1226"/>
      <c r="FE66" s="1227"/>
      <c r="FF66" s="1226"/>
      <c r="FG66" s="1227"/>
      <c r="FH66" s="1228"/>
      <c r="FI66" s="560"/>
      <c r="FJ66" s="1189" t="s">
        <v>665</v>
      </c>
      <c r="FK66" s="1190"/>
      <c r="FL66" s="1229"/>
      <c r="FM66" s="1230" t="s">
        <v>666</v>
      </c>
      <c r="FN66" s="1231"/>
      <c r="FO66" s="1191"/>
      <c r="FP66" s="1197">
        <v>9</v>
      </c>
      <c r="FQ66" s="1232">
        <v>5.2</v>
      </c>
      <c r="FR66" s="1233">
        <v>0.7</v>
      </c>
      <c r="FS66" s="1200">
        <v>9</v>
      </c>
      <c r="FT66" s="1232">
        <v>3.5</v>
      </c>
      <c r="FU66" s="1234">
        <v>0.5</v>
      </c>
      <c r="FV66" s="1235"/>
      <c r="FW66" s="1236"/>
      <c r="FX66" s="1236"/>
      <c r="FY66" s="1236"/>
      <c r="FZ66" s="1236"/>
      <c r="GA66" s="1236"/>
      <c r="GB66" s="1236"/>
      <c r="GC66" s="1237"/>
      <c r="GD66" s="1200"/>
      <c r="GE66" s="1238">
        <v>0.7</v>
      </c>
      <c r="GF66" s="681"/>
      <c r="GG66" s="392"/>
      <c r="GH66" s="392"/>
      <c r="GI66" s="392"/>
      <c r="GJ66" s="480"/>
      <c r="GK66" s="526"/>
      <c r="GL66" s="527"/>
      <c r="GM66" s="526"/>
      <c r="GN66" s="527"/>
      <c r="GO66" s="526"/>
      <c r="GP66" s="526"/>
      <c r="GQ66" s="526"/>
      <c r="GR66" s="527"/>
      <c r="GT66" s="1255"/>
      <c r="GU66" s="576"/>
      <c r="GV66" s="576"/>
      <c r="GW66" s="576"/>
      <c r="GX66" s="576"/>
      <c r="GY66" s="576"/>
      <c r="GZ66" s="497"/>
      <c r="HA66" s="497"/>
      <c r="HB66" s="497"/>
      <c r="HC66" s="407"/>
    </row>
    <row r="67" spans="1:211" ht="20.100000000000001" customHeight="1" thickBot="1">
      <c r="BC67" s="390"/>
      <c r="DF67" s="390"/>
      <c r="FI67" s="390"/>
      <c r="GD67" s="681"/>
      <c r="GE67" s="792"/>
      <c r="GF67" s="681"/>
      <c r="GG67" s="480"/>
      <c r="GH67" s="480"/>
      <c r="GI67" s="480"/>
      <c r="GJ67" s="392"/>
      <c r="GT67" s="682"/>
      <c r="GU67" s="497"/>
      <c r="GV67" s="497"/>
      <c r="GW67" s="497"/>
      <c r="GX67" s="497"/>
      <c r="GY67" s="497"/>
      <c r="GZ67" s="576"/>
      <c r="HA67" s="575"/>
      <c r="HB67" s="576"/>
      <c r="HC67" s="407"/>
    </row>
    <row r="68" spans="1:211" ht="20.100000000000001" customHeight="1">
      <c r="A68" s="1240" t="s">
        <v>350</v>
      </c>
      <c r="B68" s="1241"/>
      <c r="C68" s="1241"/>
      <c r="D68" s="1241"/>
      <c r="E68" s="814"/>
      <c r="F68" s="814"/>
      <c r="G68" s="1242" t="s">
        <v>355</v>
      </c>
      <c r="H68" s="1243"/>
      <c r="I68" s="1243"/>
      <c r="J68" s="1243"/>
      <c r="K68" s="1243"/>
      <c r="L68" s="1243"/>
      <c r="M68" s="1243"/>
      <c r="N68" s="1243"/>
      <c r="O68" s="1243"/>
      <c r="P68" s="1243"/>
      <c r="Q68" s="1243"/>
      <c r="R68" s="1243"/>
      <c r="S68" s="1243"/>
      <c r="T68" s="1243"/>
      <c r="U68" s="1243"/>
      <c r="V68" s="1243"/>
      <c r="W68" s="1243"/>
      <c r="X68" s="1243"/>
      <c r="Y68" s="1243"/>
      <c r="Z68" s="1243"/>
      <c r="AA68" s="1243"/>
      <c r="AB68" s="1243"/>
      <c r="AC68" s="1243"/>
      <c r="AD68" s="1243"/>
      <c r="AE68" s="1243"/>
      <c r="AF68" s="1243"/>
      <c r="AG68" s="1243"/>
      <c r="AH68" s="1243"/>
      <c r="AI68" s="1243"/>
      <c r="AJ68" s="1243"/>
      <c r="AK68" s="1243"/>
      <c r="AL68" s="1243"/>
      <c r="AM68" s="1243"/>
      <c r="AN68" s="1243"/>
      <c r="AO68" s="1243"/>
      <c r="AP68" s="1243"/>
      <c r="AQ68" s="1243"/>
      <c r="AR68" s="1243"/>
      <c r="AS68" s="1243"/>
      <c r="AT68" s="1243"/>
      <c r="AU68" s="1243"/>
      <c r="AV68" s="1243"/>
      <c r="AW68" s="1243"/>
      <c r="AX68" s="1243"/>
      <c r="AY68" s="1243"/>
      <c r="AZ68" s="1243"/>
      <c r="BA68" s="1243"/>
      <c r="BB68" s="1244"/>
      <c r="BC68" s="1245"/>
      <c r="BD68" s="1240" t="s">
        <v>350</v>
      </c>
      <c r="BE68" s="1241"/>
      <c r="BF68" s="1241"/>
      <c r="BG68" s="1241"/>
      <c r="BH68" s="814"/>
      <c r="BI68" s="814"/>
      <c r="BJ68" s="1246" t="str">
        <f>$G68</f>
        <v>(C)室内全熱負荷以降の外気負荷等は、熱源容量計算用の基準別、時刻別の値です。外気負荷を含めた空調機の容量の計算等は別紙「AC-2系統 空調機容量の計算」をご参照ください。</v>
      </c>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7"/>
      <c r="DD68" s="1247"/>
      <c r="DE68" s="1248"/>
      <c r="DF68" s="1245"/>
      <c r="DG68" s="1240" t="s">
        <v>350</v>
      </c>
      <c r="DH68" s="1241"/>
      <c r="DI68" s="1241"/>
      <c r="DJ68" s="1241"/>
      <c r="DK68" s="814"/>
      <c r="DL68" s="814"/>
      <c r="DM68" s="1246" t="str">
        <f>$G68</f>
        <v>(C)室内全熱負荷以降の外気負荷等は、熱源容量計算用の基準別、時刻別の値です。外気負荷を含めた空調機の容量の計算等は別紙「AC-2系統 空調機容量の計算」をご参照ください。</v>
      </c>
      <c r="DN68" s="1247"/>
      <c r="DO68" s="1247"/>
      <c r="DP68" s="1247"/>
      <c r="DQ68" s="1247"/>
      <c r="DR68" s="1247"/>
      <c r="DS68" s="1247"/>
      <c r="DT68" s="1247"/>
      <c r="DU68" s="1247"/>
      <c r="DV68" s="1247"/>
      <c r="DW68" s="1247"/>
      <c r="DX68" s="1247"/>
      <c r="DY68" s="1247"/>
      <c r="DZ68" s="1247"/>
      <c r="EA68" s="1247"/>
      <c r="EB68" s="1247"/>
      <c r="EC68" s="1247"/>
      <c r="ED68" s="1247"/>
      <c r="EE68" s="1247"/>
      <c r="EF68" s="1247"/>
      <c r="EG68" s="1247"/>
      <c r="EH68" s="1247"/>
      <c r="EI68" s="1247"/>
      <c r="EJ68" s="1247"/>
      <c r="EK68" s="1247"/>
      <c r="EL68" s="1247"/>
      <c r="EM68" s="1247"/>
      <c r="EN68" s="1247"/>
      <c r="EO68" s="1247"/>
      <c r="EP68" s="1247"/>
      <c r="EQ68" s="1247"/>
      <c r="ER68" s="1247"/>
      <c r="ES68" s="1247"/>
      <c r="ET68" s="1247"/>
      <c r="EU68" s="1247"/>
      <c r="EV68" s="1247"/>
      <c r="EW68" s="1247"/>
      <c r="EX68" s="1247"/>
      <c r="EY68" s="1247"/>
      <c r="EZ68" s="1247"/>
      <c r="FA68" s="1247"/>
      <c r="FB68" s="1247"/>
      <c r="FC68" s="1247"/>
      <c r="FD68" s="1247"/>
      <c r="FE68" s="1247"/>
      <c r="FF68" s="1247"/>
      <c r="FG68" s="1247"/>
      <c r="FH68" s="1248"/>
      <c r="FI68" s="1245"/>
      <c r="FJ68" s="1240" t="s">
        <v>350</v>
      </c>
      <c r="FK68" s="1241"/>
      <c r="FL68" s="1241"/>
      <c r="FM68" s="1241"/>
      <c r="FN68" s="814"/>
      <c r="FO68" s="814"/>
      <c r="FP68" s="1242"/>
      <c r="FQ68" s="1243"/>
      <c r="FR68" s="1243"/>
      <c r="FS68" s="1243"/>
      <c r="FT68" s="1243"/>
      <c r="FU68" s="1249"/>
      <c r="FV68" s="1250"/>
      <c r="FW68" s="1243"/>
      <c r="FX68" s="1243"/>
      <c r="FY68" s="1243"/>
      <c r="FZ68" s="1243"/>
      <c r="GA68" s="1243"/>
      <c r="GB68" s="1243"/>
      <c r="GC68" s="1251"/>
      <c r="GD68" s="1243"/>
      <c r="GE68" s="1244"/>
      <c r="GF68" s="681"/>
      <c r="GG68" s="599"/>
      <c r="GH68" s="599"/>
      <c r="GI68" s="599"/>
      <c r="GJ68" s="480"/>
      <c r="GK68" s="526"/>
      <c r="GL68" s="527"/>
      <c r="GM68" s="526"/>
      <c r="GN68" s="527"/>
      <c r="GO68" s="526"/>
      <c r="GP68" s="526"/>
      <c r="GQ68" s="526"/>
      <c r="GR68" s="527"/>
      <c r="GT68" s="576"/>
      <c r="GU68" s="1253"/>
      <c r="GV68" s="1253"/>
      <c r="GW68" s="1253"/>
      <c r="GX68" s="1253"/>
      <c r="GY68" s="1110"/>
      <c r="GZ68" s="1254"/>
      <c r="HA68" s="1254"/>
      <c r="HB68" s="1254"/>
    </row>
    <row r="69" spans="1:211" ht="20.100000000000001" customHeight="1">
      <c r="BC69" s="390"/>
      <c r="DF69" s="390"/>
      <c r="FI69" s="390"/>
      <c r="GF69" s="496"/>
      <c r="GG69" s="599"/>
      <c r="GH69" s="599"/>
      <c r="GI69" s="599"/>
      <c r="GJ69" s="527"/>
      <c r="GT69" s="1182"/>
      <c r="GU69" s="527"/>
      <c r="GV69" s="526"/>
      <c r="GW69" s="527"/>
      <c r="GX69" s="526"/>
      <c r="GY69" s="526"/>
      <c r="HA69" s="392"/>
    </row>
    <row r="70" spans="1:211" ht="20.100000000000001" customHeight="1">
      <c r="BC70" s="390"/>
      <c r="DF70" s="390"/>
      <c r="FI70" s="390"/>
      <c r="GJ70" s="392"/>
      <c r="GT70" s="682"/>
      <c r="GU70" s="526"/>
      <c r="GV70" s="526"/>
      <c r="GW70" s="526"/>
      <c r="GX70" s="526"/>
      <c r="GY70" s="526"/>
      <c r="HA70" s="527"/>
    </row>
    <row r="71" spans="1:211" ht="20.100000000000001" customHeight="1">
      <c r="BC71" s="390"/>
      <c r="DF71" s="390"/>
      <c r="FI71" s="390"/>
      <c r="GJ71" s="577"/>
      <c r="GS71" s="392"/>
      <c r="GT71" s="1252"/>
      <c r="GU71" s="527"/>
      <c r="GV71" s="392"/>
      <c r="GW71" s="527"/>
      <c r="GX71" s="392"/>
      <c r="GY71" s="576"/>
      <c r="GZ71" s="414"/>
      <c r="HA71" s="527"/>
      <c r="HB71" s="414"/>
    </row>
    <row r="72" spans="1:211" ht="20.100000000000001" customHeight="1">
      <c r="BC72" s="390"/>
      <c r="DF72" s="390"/>
      <c r="FI72" s="390"/>
      <c r="GJ72" s="527"/>
      <c r="GT72" s="1182"/>
      <c r="GU72" s="527"/>
      <c r="GV72" s="526"/>
      <c r="GW72" s="527"/>
      <c r="GX72" s="526"/>
      <c r="GY72" s="526"/>
      <c r="HA72" s="392"/>
    </row>
    <row r="73" spans="1:211" ht="20.100000000000001" customHeight="1">
      <c r="BC73" s="390"/>
      <c r="DF73" s="390"/>
      <c r="FI73" s="390"/>
      <c r="GJ73" s="527"/>
      <c r="GT73" s="1182"/>
      <c r="GU73" s="392"/>
      <c r="GV73" s="392"/>
      <c r="GW73" s="392"/>
      <c r="GX73" s="392"/>
      <c r="GY73" s="526"/>
      <c r="HA73" s="480"/>
    </row>
    <row r="74" spans="1:211" ht="20.100000000000001" customHeight="1">
      <c r="BC74" s="390"/>
      <c r="DF74" s="390"/>
      <c r="FI74" s="390"/>
      <c r="GT74" s="1182"/>
      <c r="GU74" s="480"/>
      <c r="GV74" s="483"/>
      <c r="GW74" s="480"/>
      <c r="GX74" s="483"/>
      <c r="GY74" s="392"/>
      <c r="HA74" s="577"/>
    </row>
    <row r="75" spans="1:211" ht="20.100000000000001" customHeight="1">
      <c r="BC75" s="390"/>
      <c r="DF75" s="390"/>
      <c r="FI75" s="390"/>
      <c r="GT75" s="392"/>
      <c r="GU75" s="577"/>
      <c r="GV75" s="414"/>
      <c r="GW75" s="577"/>
      <c r="GX75" s="414"/>
      <c r="GY75" s="483"/>
      <c r="HA75" s="527"/>
    </row>
    <row r="76" spans="1:211" ht="20.100000000000001" customHeight="1">
      <c r="BC76" s="390"/>
      <c r="DF76" s="390"/>
      <c r="FI76" s="390"/>
      <c r="GT76" s="483"/>
      <c r="GU76" s="527"/>
      <c r="GV76" s="526"/>
      <c r="GW76" s="527"/>
      <c r="GX76" s="526"/>
      <c r="GY76" s="414"/>
      <c r="HA76" s="527"/>
    </row>
    <row r="77" spans="1:211" ht="20.100000000000001" customHeight="1">
      <c r="BC77" s="390"/>
      <c r="DF77" s="390"/>
      <c r="FI77" s="390"/>
      <c r="GT77" s="850"/>
      <c r="GU77" s="527"/>
      <c r="GV77" s="526"/>
      <c r="GW77" s="527"/>
      <c r="GX77" s="526"/>
      <c r="GZ77" s="526"/>
    </row>
    <row r="78" spans="1:211" ht="20.100000000000001" customHeight="1">
      <c r="BC78" s="390"/>
      <c r="DF78" s="390"/>
      <c r="FI78" s="390"/>
      <c r="GT78" s="1182"/>
      <c r="GZ78" s="526"/>
    </row>
    <row r="79" spans="1:211" ht="20.100000000000001" customHeight="1">
      <c r="BC79" s="390"/>
      <c r="DF79" s="390"/>
      <c r="FI79" s="390"/>
      <c r="GT79" s="1182"/>
    </row>
    <row r="80" spans="1:211" ht="20.100000000000001" customHeight="1">
      <c r="BC80" s="390"/>
      <c r="DF80" s="390"/>
      <c r="FI80" s="390"/>
    </row>
    <row r="81" spans="55:165" ht="20.100000000000001" customHeight="1">
      <c r="BC81" s="390"/>
      <c r="DF81" s="390"/>
      <c r="FI81" s="390"/>
    </row>
    <row r="82" spans="55:165" ht="20.100000000000001" customHeight="1">
      <c r="BC82" s="390"/>
      <c r="DF82" s="390"/>
      <c r="FI82" s="390"/>
    </row>
    <row r="83" spans="55:165" ht="20.100000000000001" customHeight="1">
      <c r="BC83" s="390"/>
      <c r="DF83" s="390"/>
      <c r="FI83" s="390"/>
    </row>
    <row r="84" spans="55:165" ht="20.100000000000001" customHeight="1">
      <c r="BC84" s="390"/>
      <c r="DF84" s="390"/>
      <c r="FI84" s="390"/>
    </row>
    <row r="85" spans="55:165" ht="20.100000000000001" customHeight="1">
      <c r="BC85" s="390"/>
      <c r="DF85" s="390"/>
      <c r="FI85" s="390"/>
    </row>
    <row r="86" spans="55:165" ht="20.100000000000001" customHeight="1">
      <c r="BC86" s="390"/>
      <c r="DF86" s="390"/>
    </row>
    <row r="87" spans="55:165" ht="20.100000000000001" customHeight="1">
      <c r="BC87" s="390"/>
      <c r="DF87" s="390"/>
    </row>
    <row r="88" spans="55:165" ht="20.100000000000001" customHeight="1">
      <c r="BC88" s="390"/>
      <c r="DF88" s="390"/>
    </row>
    <row r="89" spans="55:165" ht="20.100000000000001" customHeight="1">
      <c r="BC89" s="390"/>
      <c r="DF89" s="390"/>
    </row>
  </sheetData>
  <dataConsolidate/>
  <mergeCells count="329">
    <mergeCell ref="GB59:GC59"/>
    <mergeCell ref="GB61:GC61"/>
    <mergeCell ref="GD59:GE59"/>
    <mergeCell ref="GD61:GE61"/>
    <mergeCell ref="FV59:FW59"/>
    <mergeCell ref="FX59:FY59"/>
    <mergeCell ref="FZ59:GA59"/>
    <mergeCell ref="FV61:FW61"/>
    <mergeCell ref="FX61:FY61"/>
    <mergeCell ref="FZ61:GA61"/>
    <mergeCell ref="DM68:FH68"/>
    <mergeCell ref="FJ68:FM68"/>
    <mergeCell ref="FP68:FU68"/>
    <mergeCell ref="FV68:GC68"/>
    <mergeCell ref="GD68:GE68"/>
    <mergeCell ref="DK63:DL64"/>
    <mergeCell ref="FJ63:FM64"/>
    <mergeCell ref="FN63:FO64"/>
    <mergeCell ref="GD65:GE65"/>
    <mergeCell ref="FV66:GC66"/>
    <mergeCell ref="A68:D68"/>
    <mergeCell ref="G68:BB68"/>
    <mergeCell ref="BD68:BG68"/>
    <mergeCell ref="BJ68:DE68"/>
    <mergeCell ref="DG68:DJ68"/>
    <mergeCell ref="DK56:DL57"/>
    <mergeCell ref="FJ56:FM57"/>
    <mergeCell ref="FN56:FO57"/>
    <mergeCell ref="A63:D64"/>
    <mergeCell ref="E63:F64"/>
    <mergeCell ref="BD63:BG64"/>
    <mergeCell ref="BH63:BI64"/>
    <mergeCell ref="DG63:DJ64"/>
    <mergeCell ref="GN51:GN52"/>
    <mergeCell ref="GO51:GO52"/>
    <mergeCell ref="GP51:GP52"/>
    <mergeCell ref="GQ51:GQ52"/>
    <mergeCell ref="GU54:GX54"/>
    <mergeCell ref="A56:D57"/>
    <mergeCell ref="E56:F57"/>
    <mergeCell ref="BD56:BG57"/>
    <mergeCell ref="BH56:BI57"/>
    <mergeCell ref="DG56:DJ57"/>
    <mergeCell ref="FX49:FY51"/>
    <mergeCell ref="FZ49:GA51"/>
    <mergeCell ref="GB49:GC51"/>
    <mergeCell ref="GD49:GE51"/>
    <mergeCell ref="GL51:GL52"/>
    <mergeCell ref="GM51:GM52"/>
    <mergeCell ref="GQ44:GR44"/>
    <mergeCell ref="BA46:BB46"/>
    <mergeCell ref="DD46:DE46"/>
    <mergeCell ref="FG46:FH46"/>
    <mergeCell ref="FT46:FU46"/>
    <mergeCell ref="A48:A51"/>
    <mergeCell ref="BD48:BD51"/>
    <mergeCell ref="DG48:DG51"/>
    <mergeCell ref="FJ48:FJ51"/>
    <mergeCell ref="FV49:FW51"/>
    <mergeCell ref="FV44:FW46"/>
    <mergeCell ref="FX44:FY46"/>
    <mergeCell ref="FZ44:GA46"/>
    <mergeCell ref="GB44:GC46"/>
    <mergeCell ref="GD44:GE46"/>
    <mergeCell ref="GM44:GN44"/>
    <mergeCell ref="GO41:GP41"/>
    <mergeCell ref="GQ41:GR41"/>
    <mergeCell ref="GM42:GN42"/>
    <mergeCell ref="GO42:GP42"/>
    <mergeCell ref="GQ42:GR42"/>
    <mergeCell ref="GK43:GL44"/>
    <mergeCell ref="GM43:GN43"/>
    <mergeCell ref="GO43:GP43"/>
    <mergeCell ref="GQ43:GR43"/>
    <mergeCell ref="GO44:GP44"/>
    <mergeCell ref="GK39:GL40"/>
    <mergeCell ref="GM39:GN40"/>
    <mergeCell ref="GO39:GP40"/>
    <mergeCell ref="GQ39:GR40"/>
    <mergeCell ref="A41:A44"/>
    <mergeCell ref="BD41:BD44"/>
    <mergeCell ref="DG41:DG44"/>
    <mergeCell ref="FJ41:FJ44"/>
    <mergeCell ref="GK41:GL42"/>
    <mergeCell ref="GM41:GN41"/>
    <mergeCell ref="GU37:GV37"/>
    <mergeCell ref="C38:D38"/>
    <mergeCell ref="E38:F38"/>
    <mergeCell ref="BF38:BG38"/>
    <mergeCell ref="BH38:BI38"/>
    <mergeCell ref="DI38:DJ38"/>
    <mergeCell ref="DK38:DL38"/>
    <mergeCell ref="FL38:FM38"/>
    <mergeCell ref="FN38:FO38"/>
    <mergeCell ref="GU38:GZ38"/>
    <mergeCell ref="DG37:DG40"/>
    <mergeCell ref="DI37:DJ37"/>
    <mergeCell ref="DK37:DL37"/>
    <mergeCell ref="FJ37:FJ40"/>
    <mergeCell ref="FL37:FM37"/>
    <mergeCell ref="FN37:FO37"/>
    <mergeCell ref="DI39:DJ39"/>
    <mergeCell ref="DK39:DL39"/>
    <mergeCell ref="FL39:FM39"/>
    <mergeCell ref="FN39:FO39"/>
    <mergeCell ref="A37:A40"/>
    <mergeCell ref="C37:D37"/>
    <mergeCell ref="E37:F37"/>
    <mergeCell ref="BD37:BD40"/>
    <mergeCell ref="BF37:BG37"/>
    <mergeCell ref="BH37:BI37"/>
    <mergeCell ref="C39:D39"/>
    <mergeCell ref="E39:F39"/>
    <mergeCell ref="BF39:BG39"/>
    <mergeCell ref="BH39:BI39"/>
    <mergeCell ref="GU33:GV33"/>
    <mergeCell ref="A34:A36"/>
    <mergeCell ref="BD34:BD36"/>
    <mergeCell ref="DG34:DG36"/>
    <mergeCell ref="FJ34:FJ36"/>
    <mergeCell ref="GK34:GP34"/>
    <mergeCell ref="GU34:GV34"/>
    <mergeCell ref="GU35:GV35"/>
    <mergeCell ref="GK36:GP36"/>
    <mergeCell ref="GU36:GV36"/>
    <mergeCell ref="GY31:GY32"/>
    <mergeCell ref="GZ31:GZ32"/>
    <mergeCell ref="HA31:HA32"/>
    <mergeCell ref="B32:C32"/>
    <mergeCell ref="BE32:BF32"/>
    <mergeCell ref="DH32:DI32"/>
    <mergeCell ref="FK32:FL32"/>
    <mergeCell ref="B31:C31"/>
    <mergeCell ref="BE31:BF31"/>
    <mergeCell ref="DH31:DI31"/>
    <mergeCell ref="FK31:FL31"/>
    <mergeCell ref="GW31:GW32"/>
    <mergeCell ref="GX31:GX32"/>
    <mergeCell ref="GK22:GN22"/>
    <mergeCell ref="GU22:GY22"/>
    <mergeCell ref="HA22:HB22"/>
    <mergeCell ref="A27:A33"/>
    <mergeCell ref="BD27:BD33"/>
    <mergeCell ref="DG27:DG33"/>
    <mergeCell ref="FJ27:FJ33"/>
    <mergeCell ref="GU30:GV32"/>
    <mergeCell ref="GW30:HA30"/>
    <mergeCell ref="HB30:HB32"/>
    <mergeCell ref="GK20:GL20"/>
    <mergeCell ref="GU20:GV20"/>
    <mergeCell ref="GX20:GY20"/>
    <mergeCell ref="HA20:HB20"/>
    <mergeCell ref="GK21:GM21"/>
    <mergeCell ref="GU21:GW21"/>
    <mergeCell ref="GX21:GY21"/>
    <mergeCell ref="HA21:HB21"/>
    <mergeCell ref="GK18:GL18"/>
    <mergeCell ref="GU18:GV18"/>
    <mergeCell ref="GX18:GY18"/>
    <mergeCell ref="HA18:HB18"/>
    <mergeCell ref="GK19:GL19"/>
    <mergeCell ref="GU19:GV19"/>
    <mergeCell ref="GX19:GY19"/>
    <mergeCell ref="HA19:HB19"/>
    <mergeCell ref="HA15:HB15"/>
    <mergeCell ref="GK16:GL16"/>
    <mergeCell ref="GU16:GV16"/>
    <mergeCell ref="GX16:GY16"/>
    <mergeCell ref="HA16:HB16"/>
    <mergeCell ref="GK17:GL17"/>
    <mergeCell ref="GU17:GV17"/>
    <mergeCell ref="GX17:GY17"/>
    <mergeCell ref="HA17:HB17"/>
    <mergeCell ref="GU14:GV14"/>
    <mergeCell ref="GX14:GY14"/>
    <mergeCell ref="HA14:HB14"/>
    <mergeCell ref="A15:A26"/>
    <mergeCell ref="BD15:BD26"/>
    <mergeCell ref="DG15:DG26"/>
    <mergeCell ref="FJ15:FJ26"/>
    <mergeCell ref="GK15:GL15"/>
    <mergeCell ref="GU15:GV15"/>
    <mergeCell ref="GX15:GY15"/>
    <mergeCell ref="GD10:GE43"/>
    <mergeCell ref="GK12:GL12"/>
    <mergeCell ref="GU12:GV12"/>
    <mergeCell ref="GX12:GY12"/>
    <mergeCell ref="HA12:HB12"/>
    <mergeCell ref="GK13:GL13"/>
    <mergeCell ref="GU13:GV13"/>
    <mergeCell ref="GX13:GY13"/>
    <mergeCell ref="HA13:HB13"/>
    <mergeCell ref="GK14:GL14"/>
    <mergeCell ref="FJ7:FO8"/>
    <mergeCell ref="FV7:GE9"/>
    <mergeCell ref="A9:A14"/>
    <mergeCell ref="BD9:BD14"/>
    <mergeCell ref="DG9:DG14"/>
    <mergeCell ref="FJ9:FJ14"/>
    <mergeCell ref="FV10:FW43"/>
    <mergeCell ref="FX10:FY43"/>
    <mergeCell ref="FZ10:GA43"/>
    <mergeCell ref="GB10:GC43"/>
    <mergeCell ref="GA6:GB6"/>
    <mergeCell ref="GE6:GF6"/>
    <mergeCell ref="GK6:GM6"/>
    <mergeCell ref="GU6:GW6"/>
    <mergeCell ref="A7:F8"/>
    <mergeCell ref="G7:BB7"/>
    <mergeCell ref="BD7:BI8"/>
    <mergeCell ref="BJ7:DE7"/>
    <mergeCell ref="DG7:DL8"/>
    <mergeCell ref="DM7:FH7"/>
    <mergeCell ref="DX6:DY6"/>
    <mergeCell ref="EB6:EC6"/>
    <mergeCell ref="FL6:FN6"/>
    <mergeCell ref="FO6:FP6"/>
    <mergeCell ref="FQ6:FU6"/>
    <mergeCell ref="FV6:FW6"/>
    <mergeCell ref="BY6:BZ6"/>
    <mergeCell ref="CE6:CF6"/>
    <mergeCell ref="DI6:DK6"/>
    <mergeCell ref="DL6:DM6"/>
    <mergeCell ref="DN6:DR6"/>
    <mergeCell ref="DS6:DT6"/>
    <mergeCell ref="AB6:AC6"/>
    <mergeCell ref="BF6:BH6"/>
    <mergeCell ref="BI6:BJ6"/>
    <mergeCell ref="BK6:BO6"/>
    <mergeCell ref="BP6:BQ6"/>
    <mergeCell ref="BU6:BV6"/>
    <mergeCell ref="C6:E6"/>
    <mergeCell ref="F6:G6"/>
    <mergeCell ref="H6:L6"/>
    <mergeCell ref="M6:N6"/>
    <mergeCell ref="R6:S6"/>
    <mergeCell ref="V6:W6"/>
    <mergeCell ref="FX5:FY5"/>
    <mergeCell ref="FZ5:GA5"/>
    <mergeCell ref="GB5:GC5"/>
    <mergeCell ref="GD5:GE5"/>
    <mergeCell ref="GK5:GM5"/>
    <mergeCell ref="GU5:GW5"/>
    <mergeCell ref="DQ5:DR5"/>
    <mergeCell ref="DS5:DT5"/>
    <mergeCell ref="DU5:DV5"/>
    <mergeCell ref="DW5:DX5"/>
    <mergeCell ref="DY5:DZ5"/>
    <mergeCell ref="EA5:EB5"/>
    <mergeCell ref="BR5:BS5"/>
    <mergeCell ref="BT5:BU5"/>
    <mergeCell ref="BV5:BW5"/>
    <mergeCell ref="BX5:BY5"/>
    <mergeCell ref="DM5:DN5"/>
    <mergeCell ref="DO5:DP5"/>
    <mergeCell ref="S5:T5"/>
    <mergeCell ref="U5:V5"/>
    <mergeCell ref="BJ5:BK5"/>
    <mergeCell ref="BL5:BM5"/>
    <mergeCell ref="BN5:BO5"/>
    <mergeCell ref="BP5:BQ5"/>
    <mergeCell ref="G5:H5"/>
    <mergeCell ref="I5:J5"/>
    <mergeCell ref="K5:L5"/>
    <mergeCell ref="M5:N5"/>
    <mergeCell ref="O5:P5"/>
    <mergeCell ref="Q5:R5"/>
    <mergeCell ref="EC4:EE5"/>
    <mergeCell ref="FX4:FY4"/>
    <mergeCell ref="FZ4:GA4"/>
    <mergeCell ref="GB4:GC4"/>
    <mergeCell ref="GD4:GE4"/>
    <mergeCell ref="GF4:GH5"/>
    <mergeCell ref="FP5:FQ5"/>
    <mergeCell ref="FR5:FS5"/>
    <mergeCell ref="FT5:FU5"/>
    <mergeCell ref="FV5:FW5"/>
    <mergeCell ref="FX3:GE3"/>
    <mergeCell ref="GF3:GH3"/>
    <mergeCell ref="GJ3:GR3"/>
    <mergeCell ref="GT3:HB3"/>
    <mergeCell ref="O4:P4"/>
    <mergeCell ref="Q4:R4"/>
    <mergeCell ref="S4:T4"/>
    <mergeCell ref="U4:V4"/>
    <mergeCell ref="W4:Y5"/>
    <mergeCell ref="BR4:BS4"/>
    <mergeCell ref="FJ3:FJ4"/>
    <mergeCell ref="FK3:FK4"/>
    <mergeCell ref="FL3:FL4"/>
    <mergeCell ref="FM3:FS4"/>
    <mergeCell ref="FT3:FU4"/>
    <mergeCell ref="FV3:FW4"/>
    <mergeCell ref="DI3:DI4"/>
    <mergeCell ref="DJ3:DP4"/>
    <mergeCell ref="DQ3:DR4"/>
    <mergeCell ref="DS3:DT4"/>
    <mergeCell ref="DU3:EB3"/>
    <mergeCell ref="EC3:EE3"/>
    <mergeCell ref="DU4:DV4"/>
    <mergeCell ref="DW4:DX4"/>
    <mergeCell ref="DY4:DZ4"/>
    <mergeCell ref="EA4:EB4"/>
    <mergeCell ref="BN3:BO4"/>
    <mergeCell ref="BP3:BQ4"/>
    <mergeCell ref="BR3:BY3"/>
    <mergeCell ref="BZ3:CB3"/>
    <mergeCell ref="DG3:DG4"/>
    <mergeCell ref="DH3:DH4"/>
    <mergeCell ref="BT4:BU4"/>
    <mergeCell ref="BV4:BW4"/>
    <mergeCell ref="BX4:BY4"/>
    <mergeCell ref="BZ4:CB5"/>
    <mergeCell ref="O3:V3"/>
    <mergeCell ref="W3:Y3"/>
    <mergeCell ref="BD3:BD4"/>
    <mergeCell ref="BE3:BE4"/>
    <mergeCell ref="BF3:BF4"/>
    <mergeCell ref="BG3:BM4"/>
    <mergeCell ref="H1:I1"/>
    <mergeCell ref="BK1:BL1"/>
    <mergeCell ref="DN1:DO1"/>
    <mergeCell ref="FQ1:FR1"/>
    <mergeCell ref="A3:A4"/>
    <mergeCell ref="B3:B4"/>
    <mergeCell ref="C3:C4"/>
    <mergeCell ref="D3:J4"/>
    <mergeCell ref="K3:L4"/>
    <mergeCell ref="M3:N4"/>
  </mergeCells>
  <phoneticPr fontId="3"/>
  <printOptions horizontalCentered="1" gridLinesSet="0"/>
  <pageMargins left="0.39370078740157483" right="0.19685039370078741" top="0.62992125984251968" bottom="0.47244094488188981" header="0.15748031496062992" footer="0.31496062992125984"/>
  <pageSetup paperSize="9" scale="38" fitToWidth="0" orientation="landscape" horizontalDpi="4294967292" verticalDpi="400" r:id="rId1"/>
  <headerFooter scaleWithDoc="0">
    <oddFooter>&amp;C&amp;"ＭＳ Ｐゴシック,標準"&amp;9( &amp;P / &amp;N )</oddFooter>
  </headerFooter>
  <rowBreaks count="1" manualBreakCount="1">
    <brk id="1" max="210" man="1"/>
  </rowBreaks>
  <colBreaks count="3" manualBreakCount="3">
    <brk id="55" max="68" man="1"/>
    <brk id="110" max="68" man="1"/>
    <brk id="165" max="68"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MO89"/>
  <sheetViews>
    <sheetView showGridLines="0" zoomScale="80" zoomScaleNormal="80" workbookViewId="0">
      <pane ySplit="8" topLeftCell="A42" activePane="bottomLeft" state="frozenSplit"/>
      <selection pane="bottomLeft"/>
    </sheetView>
  </sheetViews>
  <sheetFormatPr defaultColWidth="7.42578125" defaultRowHeight="20.100000000000001" customHeight="1"/>
  <cols>
    <col min="1" max="1" width="5" style="393" customWidth="1"/>
    <col min="2" max="6" width="9.5703125" style="393" customWidth="1"/>
    <col min="7" max="7" width="4.7109375" style="393" customWidth="1"/>
    <col min="8" max="8" width="7.7109375" style="393" customWidth="1"/>
    <col min="9" max="9" width="4.7109375" style="393" customWidth="1"/>
    <col min="10" max="10" width="7.7109375" style="393" customWidth="1"/>
    <col min="11" max="11" width="4.7109375" style="393" customWidth="1"/>
    <col min="12" max="12" width="7.7109375" style="393" customWidth="1"/>
    <col min="13" max="13" width="4.7109375" style="393" customWidth="1"/>
    <col min="14" max="14" width="7.7109375" style="393" customWidth="1"/>
    <col min="15" max="15" width="4.7109375" style="393" customWidth="1"/>
    <col min="16" max="16" width="7.7109375" style="393" customWidth="1"/>
    <col min="17" max="17" width="4.7109375" style="393" customWidth="1"/>
    <col min="18" max="18" width="7.7109375" style="393" customWidth="1"/>
    <col min="19" max="19" width="4.7109375" style="393" customWidth="1"/>
    <col min="20" max="20" width="7.7109375" style="393" customWidth="1"/>
    <col min="21" max="21" width="4.7109375" style="393" customWidth="1"/>
    <col min="22" max="22" width="7.7109375" style="393" customWidth="1"/>
    <col min="23" max="23" width="4.7109375" style="393" customWidth="1"/>
    <col min="24" max="24" width="7.7109375" style="393" customWidth="1"/>
    <col min="25" max="25" width="4.7109375" style="393" customWidth="1"/>
    <col min="26" max="26" width="7.7109375" style="393" customWidth="1"/>
    <col min="27" max="27" width="4.7109375" style="393" customWidth="1"/>
    <col min="28" max="28" width="7.7109375" style="393" customWidth="1"/>
    <col min="29" max="29" width="4.7109375" style="393" customWidth="1"/>
    <col min="30" max="30" width="7.7109375" style="393" customWidth="1"/>
    <col min="31" max="31" width="4.7109375" style="393" customWidth="1"/>
    <col min="32" max="32" width="7.7109375" style="393" customWidth="1"/>
    <col min="33" max="33" width="4.7109375" style="393" customWidth="1"/>
    <col min="34" max="34" width="7.7109375" style="393" customWidth="1"/>
    <col min="35" max="35" width="4.7109375" style="393" customWidth="1"/>
    <col min="36" max="36" width="7.7109375" style="393" customWidth="1"/>
    <col min="37" max="37" width="4.7109375" style="393" customWidth="1"/>
    <col min="38" max="38" width="7.7109375" style="393" customWidth="1"/>
    <col min="39" max="39" width="4.7109375" style="393" customWidth="1"/>
    <col min="40" max="40" width="7.7109375" style="393" customWidth="1"/>
    <col min="41" max="41" width="4.7109375" style="393" customWidth="1"/>
    <col min="42" max="42" width="7.7109375" style="393" customWidth="1"/>
    <col min="43" max="43" width="4.7109375" style="393" customWidth="1"/>
    <col min="44" max="44" width="7.7109375" style="393" customWidth="1"/>
    <col min="45" max="45" width="4.7109375" style="393" customWidth="1"/>
    <col min="46" max="46" width="7.7109375" style="393" customWidth="1"/>
    <col min="47" max="47" width="4.7109375" style="393" customWidth="1"/>
    <col min="48" max="48" width="7.7109375" style="393" customWidth="1"/>
    <col min="49" max="49" width="4.7109375" style="393" customWidth="1"/>
    <col min="50" max="50" width="7.7109375" style="393" customWidth="1"/>
    <col min="51" max="51" width="4.7109375" style="393" customWidth="1"/>
    <col min="52" max="52" width="7.7109375" style="393" customWidth="1"/>
    <col min="53" max="53" width="4.7109375" style="393" customWidth="1"/>
    <col min="54" max="54" width="7.7109375" style="393" customWidth="1"/>
    <col min="55" max="55" width="4.28515625" style="1203" customWidth="1"/>
    <col min="56" max="56" width="5" style="393" customWidth="1"/>
    <col min="57" max="61" width="9.5703125" style="393" customWidth="1"/>
    <col min="62" max="62" width="4.7109375" style="393" customWidth="1"/>
    <col min="63" max="63" width="7.7109375" style="393" customWidth="1"/>
    <col min="64" max="64" width="4.7109375" style="393" customWidth="1"/>
    <col min="65" max="65" width="7.7109375" style="393" customWidth="1"/>
    <col min="66" max="66" width="4.7109375" style="393" customWidth="1"/>
    <col min="67" max="67" width="7.7109375" style="393" customWidth="1"/>
    <col min="68" max="68" width="4.7109375" style="393" customWidth="1"/>
    <col min="69" max="69" width="7.7109375" style="393" customWidth="1"/>
    <col min="70" max="70" width="4.7109375" style="393" customWidth="1"/>
    <col min="71" max="71" width="7.7109375" style="393" customWidth="1"/>
    <col min="72" max="72" width="4.7109375" style="393" customWidth="1"/>
    <col min="73" max="73" width="7.7109375" style="393" customWidth="1"/>
    <col min="74" max="74" width="4.7109375" style="393" customWidth="1"/>
    <col min="75" max="75" width="7.7109375" style="393" customWidth="1"/>
    <col min="76" max="76" width="4.7109375" style="393" customWidth="1"/>
    <col min="77" max="77" width="7.7109375" style="393" customWidth="1"/>
    <col min="78" max="78" width="4.7109375" style="393" customWidth="1"/>
    <col min="79" max="79" width="7.7109375" style="393" customWidth="1"/>
    <col min="80" max="80" width="4.7109375" style="393" customWidth="1"/>
    <col min="81" max="81" width="7.7109375" style="393" customWidth="1"/>
    <col min="82" max="82" width="4.7109375" style="393" customWidth="1"/>
    <col min="83" max="83" width="7.7109375" style="393" customWidth="1"/>
    <col min="84" max="84" width="4.7109375" style="393" customWidth="1"/>
    <col min="85" max="85" width="7.7109375" style="393" customWidth="1"/>
    <col min="86" max="86" width="4.7109375" style="393" customWidth="1"/>
    <col min="87" max="87" width="7.7109375" style="393" customWidth="1"/>
    <col min="88" max="88" width="4.7109375" style="393" customWidth="1"/>
    <col min="89" max="89" width="7.7109375" style="393" customWidth="1"/>
    <col min="90" max="90" width="4.7109375" style="393" customWidth="1"/>
    <col min="91" max="91" width="7.7109375" style="393" customWidth="1"/>
    <col min="92" max="92" width="4.7109375" style="393" customWidth="1"/>
    <col min="93" max="93" width="7.7109375" style="393" customWidth="1"/>
    <col min="94" max="94" width="4.7109375" style="393" customWidth="1"/>
    <col min="95" max="95" width="7.7109375" style="393" customWidth="1"/>
    <col min="96" max="96" width="4.7109375" style="393" customWidth="1"/>
    <col min="97" max="97" width="7.7109375" style="393" customWidth="1"/>
    <col min="98" max="98" width="4.7109375" style="393" customWidth="1"/>
    <col min="99" max="99" width="7.7109375" style="393" customWidth="1"/>
    <col min="100" max="100" width="4.7109375" style="393" customWidth="1"/>
    <col min="101" max="101" width="7.7109375" style="393" customWidth="1"/>
    <col min="102" max="102" width="4.7109375" style="393" customWidth="1"/>
    <col min="103" max="103" width="7.7109375" style="393" customWidth="1"/>
    <col min="104" max="104" width="4.7109375" style="393" customWidth="1"/>
    <col min="105" max="105" width="7.7109375" style="393" customWidth="1"/>
    <col min="106" max="106" width="4.7109375" style="393" customWidth="1"/>
    <col min="107" max="107" width="7.7109375" style="393" customWidth="1"/>
    <col min="108" max="108" width="4.7109375" style="393" customWidth="1"/>
    <col min="109" max="109" width="7.7109375" style="393" customWidth="1"/>
    <col min="110" max="110" width="4.7109375" style="1203" customWidth="1"/>
    <col min="111" max="111" width="5" style="393" customWidth="1"/>
    <col min="112" max="116" width="9.5703125" style="393" customWidth="1"/>
    <col min="117" max="117" width="4.7109375" style="393" customWidth="1"/>
    <col min="118" max="118" width="7.7109375" style="393" customWidth="1"/>
    <col min="119" max="119" width="4.7109375" style="393" customWidth="1"/>
    <col min="120" max="120" width="7.7109375" style="393" customWidth="1"/>
    <col min="121" max="121" width="4.7109375" style="393" customWidth="1"/>
    <col min="122" max="122" width="7.7109375" style="393" customWidth="1"/>
    <col min="123" max="123" width="4.7109375" style="393" customWidth="1"/>
    <col min="124" max="124" width="7.7109375" style="393" customWidth="1"/>
    <col min="125" max="125" width="4.7109375" style="393" customWidth="1"/>
    <col min="126" max="126" width="7.7109375" style="393" customWidth="1"/>
    <col min="127" max="127" width="4.7109375" style="393" customWidth="1"/>
    <col min="128" max="128" width="7.7109375" style="393" customWidth="1"/>
    <col min="129" max="129" width="4.7109375" style="393" customWidth="1"/>
    <col min="130" max="130" width="7.7109375" style="393" customWidth="1"/>
    <col min="131" max="131" width="4.7109375" style="393" customWidth="1"/>
    <col min="132" max="132" width="7.7109375" style="393" customWidth="1"/>
    <col min="133" max="133" width="4.7109375" style="393" customWidth="1"/>
    <col min="134" max="134" width="7.7109375" style="393" customWidth="1"/>
    <col min="135" max="135" width="4.7109375" style="393" customWidth="1"/>
    <col min="136" max="136" width="7.7109375" style="393" customWidth="1"/>
    <col min="137" max="137" width="4.7109375" style="393" customWidth="1"/>
    <col min="138" max="138" width="7.7109375" style="393" customWidth="1"/>
    <col min="139" max="139" width="4.7109375" style="393" customWidth="1"/>
    <col min="140" max="140" width="7.7109375" style="393" customWidth="1"/>
    <col min="141" max="141" width="4.7109375" style="393" customWidth="1"/>
    <col min="142" max="142" width="7.7109375" style="393" customWidth="1"/>
    <col min="143" max="143" width="4.7109375" style="393" customWidth="1"/>
    <col min="144" max="144" width="7.7109375" style="393" customWidth="1"/>
    <col min="145" max="145" width="4.7109375" style="393" customWidth="1"/>
    <col min="146" max="146" width="7.7109375" style="393" customWidth="1"/>
    <col min="147" max="147" width="4.7109375" style="393" customWidth="1"/>
    <col min="148" max="148" width="7.7109375" style="393" customWidth="1"/>
    <col min="149" max="149" width="4.7109375" style="393" customWidth="1"/>
    <col min="150" max="150" width="7.7109375" style="393" customWidth="1"/>
    <col min="151" max="151" width="4.7109375" style="393" customWidth="1"/>
    <col min="152" max="152" width="7.7109375" style="393" customWidth="1"/>
    <col min="153" max="153" width="4.7109375" style="393" customWidth="1"/>
    <col min="154" max="154" width="7.7109375" style="393" customWidth="1"/>
    <col min="155" max="155" width="4.7109375" style="393" customWidth="1"/>
    <col min="156" max="156" width="7.7109375" style="393" customWidth="1"/>
    <col min="157" max="157" width="4.7109375" style="393" customWidth="1"/>
    <col min="158" max="158" width="7.7109375" style="393" customWidth="1"/>
    <col min="159" max="159" width="4.7109375" style="393" customWidth="1"/>
    <col min="160" max="160" width="7.7109375" style="393" customWidth="1"/>
    <col min="161" max="161" width="4.7109375" style="393" customWidth="1"/>
    <col min="162" max="162" width="7.7109375" style="393" customWidth="1"/>
    <col min="163" max="163" width="4.7109375" style="393" customWidth="1"/>
    <col min="164" max="164" width="7.7109375" style="393" customWidth="1"/>
    <col min="165" max="165" width="4.7109375" style="1203" customWidth="1"/>
    <col min="166" max="166" width="5" style="393" customWidth="1"/>
    <col min="167" max="171" width="9.5703125" style="393" customWidth="1"/>
    <col min="172" max="173" width="4.7109375" style="393" customWidth="1"/>
    <col min="174" max="174" width="7.7109375" style="393" customWidth="1"/>
    <col min="175" max="176" width="4.7109375" style="393" customWidth="1"/>
    <col min="177" max="177" width="7.7109375" style="393" customWidth="1"/>
    <col min="178" max="178" width="4.7109375" style="393" customWidth="1"/>
    <col min="179" max="179" width="7.7109375" style="393" customWidth="1"/>
    <col min="180" max="180" width="4.7109375" style="393" customWidth="1"/>
    <col min="181" max="181" width="7.7109375" style="393" customWidth="1"/>
    <col min="182" max="182" width="4.7109375" style="393" customWidth="1"/>
    <col min="183" max="183" width="7.7109375" style="393" customWidth="1"/>
    <col min="184" max="184" width="4.7109375" style="393" customWidth="1"/>
    <col min="185" max="185" width="7.7109375" style="393" customWidth="1"/>
    <col min="186" max="186" width="4.7109375" style="393" customWidth="1"/>
    <col min="187" max="187" width="7.7109375" style="393" customWidth="1"/>
    <col min="188" max="188" width="4.7109375" style="393" customWidth="1"/>
    <col min="189" max="191" width="7.7109375" style="1239" customWidth="1"/>
    <col min="192" max="192" width="4.7109375" style="1239" customWidth="1"/>
    <col min="193" max="193" width="6.7109375" style="1239" customWidth="1"/>
    <col min="194" max="199" width="8.7109375" style="1239" customWidth="1"/>
    <col min="200" max="200" width="12.5703125" style="1239" customWidth="1"/>
    <col min="201" max="201" width="7.140625" style="1239" customWidth="1"/>
    <col min="202" max="202" width="4.7109375" style="1239" customWidth="1"/>
    <col min="203" max="203" width="6.7109375" style="1239" customWidth="1"/>
    <col min="204" max="210" width="8.7109375" style="1239" customWidth="1"/>
    <col min="211" max="211" width="4.28515625" style="1203" customWidth="1"/>
    <col min="212" max="212" width="7.42578125" style="393" customWidth="1"/>
    <col min="213" max="213" width="24.5703125" style="393" customWidth="1"/>
    <col min="214" max="214" width="8.85546875" style="393" customWidth="1"/>
    <col min="215" max="16384" width="7.42578125" style="393"/>
  </cols>
  <sheetData>
    <row r="1" spans="1:353" s="386" customFormat="1" ht="42" customHeight="1">
      <c r="A1" s="375" t="s">
        <v>282</v>
      </c>
      <c r="B1" s="376"/>
      <c r="C1" s="376"/>
      <c r="D1" s="376"/>
      <c r="E1" s="376"/>
      <c r="F1" s="376"/>
      <c r="G1" s="376"/>
      <c r="H1" s="377"/>
      <c r="I1" s="377"/>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8" t="s">
        <v>284</v>
      </c>
      <c r="AY1" s="376" t="s">
        <v>559</v>
      </c>
      <c r="AZ1" s="376"/>
      <c r="BA1" s="376"/>
      <c r="BB1" s="379"/>
      <c r="BC1" s="380"/>
      <c r="BD1" s="375" t="s">
        <v>282</v>
      </c>
      <c r="BE1" s="376"/>
      <c r="BF1" s="376"/>
      <c r="BG1" s="376"/>
      <c r="BH1" s="376"/>
      <c r="BI1" s="376"/>
      <c r="BJ1" s="376"/>
      <c r="BK1" s="377"/>
      <c r="BL1" s="377"/>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8" t="s">
        <v>284</v>
      </c>
      <c r="DB1" s="376" t="str">
        <f>$AY1</f>
        <v>9時-18時</v>
      </c>
      <c r="DC1" s="378"/>
      <c r="DD1" s="376"/>
      <c r="DE1" s="379"/>
      <c r="DF1" s="380"/>
      <c r="DG1" s="375" t="s">
        <v>282</v>
      </c>
      <c r="DH1" s="376"/>
      <c r="DI1" s="376"/>
      <c r="DJ1" s="376"/>
      <c r="DK1" s="376"/>
      <c r="DL1" s="376"/>
      <c r="DM1" s="376"/>
      <c r="DN1" s="377"/>
      <c r="DO1" s="377"/>
      <c r="DP1" s="376"/>
      <c r="DQ1" s="376"/>
      <c r="DR1" s="376"/>
      <c r="DS1" s="376"/>
      <c r="DT1" s="376"/>
      <c r="DU1" s="376"/>
      <c r="DV1" s="376"/>
      <c r="DW1" s="376"/>
      <c r="DX1" s="376"/>
      <c r="DY1" s="376"/>
      <c r="DZ1" s="376"/>
      <c r="EA1" s="376"/>
      <c r="EB1" s="376"/>
      <c r="EC1" s="376"/>
      <c r="ED1" s="376"/>
      <c r="EE1" s="376"/>
      <c r="EF1" s="376"/>
      <c r="EG1" s="376"/>
      <c r="EH1" s="376"/>
      <c r="EI1" s="376"/>
      <c r="EJ1" s="376"/>
      <c r="EK1" s="376"/>
      <c r="EL1" s="376"/>
      <c r="EM1" s="376"/>
      <c r="EN1" s="376"/>
      <c r="EO1" s="376"/>
      <c r="EP1" s="376"/>
      <c r="EQ1" s="376"/>
      <c r="ER1" s="376"/>
      <c r="ES1" s="376"/>
      <c r="ET1" s="376"/>
      <c r="EU1" s="376"/>
      <c r="EV1" s="376"/>
      <c r="EW1" s="376"/>
      <c r="EX1" s="376"/>
      <c r="EY1" s="376"/>
      <c r="EZ1" s="376"/>
      <c r="FA1" s="376"/>
      <c r="FB1" s="376"/>
      <c r="FC1" s="376"/>
      <c r="FD1" s="378" t="s">
        <v>284</v>
      </c>
      <c r="FE1" s="376" t="str">
        <f>$AY1</f>
        <v>9時-18時</v>
      </c>
      <c r="FF1" s="378"/>
      <c r="FG1" s="376"/>
      <c r="FH1" s="379"/>
      <c r="FI1" s="381"/>
      <c r="FJ1" s="375" t="s">
        <v>282</v>
      </c>
      <c r="FK1" s="376"/>
      <c r="FL1" s="376"/>
      <c r="FM1" s="376"/>
      <c r="FN1" s="376"/>
      <c r="FO1" s="376"/>
      <c r="FP1" s="376"/>
      <c r="FQ1" s="377"/>
      <c r="FR1" s="377"/>
      <c r="FS1" s="376"/>
      <c r="FT1" s="376"/>
      <c r="FU1" s="376"/>
      <c r="FV1" s="376"/>
      <c r="FW1" s="376"/>
      <c r="FX1" s="376"/>
      <c r="FY1" s="376"/>
      <c r="FZ1" s="376"/>
      <c r="GA1" s="376"/>
      <c r="GB1" s="376"/>
      <c r="GC1" s="376"/>
      <c r="GD1" s="376"/>
      <c r="GE1" s="376"/>
      <c r="GF1" s="376"/>
      <c r="GG1" s="376"/>
      <c r="GH1" s="376"/>
      <c r="GI1" s="376"/>
      <c r="GJ1" s="376"/>
      <c r="GK1" s="376"/>
      <c r="GL1" s="376"/>
      <c r="GM1" s="376"/>
      <c r="GN1" s="376"/>
      <c r="GO1" s="376"/>
      <c r="GP1" s="376"/>
      <c r="GQ1" s="376"/>
      <c r="GR1" s="376"/>
      <c r="GS1" s="376"/>
      <c r="GT1" s="376"/>
      <c r="GU1" s="378"/>
      <c r="GV1" s="376"/>
      <c r="GW1" s="376"/>
      <c r="GX1" s="376"/>
      <c r="GY1" s="378" t="s">
        <v>440</v>
      </c>
      <c r="GZ1" s="376" t="s">
        <v>356</v>
      </c>
      <c r="HA1" s="376"/>
      <c r="HB1" s="379"/>
      <c r="HC1" s="1444" t="s">
        <v>441</v>
      </c>
      <c r="HD1" s="382"/>
      <c r="HE1" s="383"/>
      <c r="HF1" s="382"/>
      <c r="HG1" s="1442"/>
      <c r="HH1" s="384" t="s">
        <v>285</v>
      </c>
      <c r="HI1" s="385"/>
    </row>
    <row r="2" spans="1:353" ht="20.100000000000001" customHeight="1" thickBot="1">
      <c r="A2" s="387"/>
      <c r="B2" s="387"/>
      <c r="C2" s="387"/>
      <c r="D2" s="387"/>
      <c r="E2" s="387"/>
      <c r="F2" s="387"/>
      <c r="G2" s="387"/>
      <c r="H2" s="387"/>
      <c r="I2" s="387"/>
      <c r="J2" s="387"/>
      <c r="K2" s="387"/>
      <c r="L2" s="387"/>
      <c r="M2" s="387"/>
      <c r="N2" s="387"/>
      <c r="O2" s="387"/>
      <c r="P2" s="387"/>
      <c r="Q2" s="387"/>
      <c r="R2" s="387"/>
      <c r="S2" s="387"/>
      <c r="T2" s="387"/>
      <c r="U2" s="387"/>
      <c r="V2" s="387"/>
      <c r="W2" s="387"/>
      <c r="X2" s="388"/>
      <c r="Y2" s="387"/>
      <c r="Z2" s="387"/>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9"/>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8"/>
      <c r="CB2" s="387"/>
      <c r="CC2" s="387"/>
      <c r="CD2" s="388"/>
      <c r="CE2" s="388"/>
      <c r="CF2" s="388"/>
      <c r="CG2" s="388"/>
      <c r="CH2" s="388"/>
      <c r="CI2" s="388"/>
      <c r="CJ2" s="388"/>
      <c r="CK2" s="388"/>
      <c r="CL2" s="388"/>
      <c r="CM2" s="388"/>
      <c r="CN2" s="388"/>
      <c r="CO2" s="388"/>
      <c r="CP2" s="388"/>
      <c r="CQ2" s="388"/>
      <c r="CR2" s="388"/>
      <c r="CS2" s="388"/>
      <c r="CT2" s="388"/>
      <c r="CU2" s="388"/>
      <c r="CV2" s="388"/>
      <c r="CW2" s="388"/>
      <c r="CX2" s="388"/>
      <c r="CY2" s="388"/>
      <c r="CZ2" s="388"/>
      <c r="DA2" s="388"/>
      <c r="DB2" s="388"/>
      <c r="DC2" s="388"/>
      <c r="DD2" s="388"/>
      <c r="DE2" s="388"/>
      <c r="DF2" s="390"/>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8"/>
      <c r="EE2" s="387"/>
      <c r="EF2" s="387"/>
      <c r="EG2" s="388"/>
      <c r="EH2" s="388"/>
      <c r="EI2" s="388"/>
      <c r="EJ2" s="388"/>
      <c r="EK2" s="388"/>
      <c r="EL2" s="388"/>
      <c r="EM2" s="388"/>
      <c r="EN2" s="388"/>
      <c r="EO2" s="388"/>
      <c r="EP2" s="388"/>
      <c r="EQ2" s="388"/>
      <c r="ER2" s="388"/>
      <c r="ES2" s="388"/>
      <c r="ET2" s="388"/>
      <c r="EU2" s="388"/>
      <c r="EV2" s="388"/>
      <c r="EW2" s="388"/>
      <c r="EX2" s="388"/>
      <c r="EY2" s="388"/>
      <c r="EZ2" s="388"/>
      <c r="FA2" s="388"/>
      <c r="FB2" s="388"/>
      <c r="FC2" s="388"/>
      <c r="FD2" s="388"/>
      <c r="FE2" s="388"/>
      <c r="FF2" s="388"/>
      <c r="FG2" s="388"/>
      <c r="FH2" s="388"/>
      <c r="FI2" s="390"/>
      <c r="FJ2" s="387"/>
      <c r="FK2" s="387"/>
      <c r="FL2" s="387"/>
      <c r="FM2" s="387"/>
      <c r="FN2" s="387"/>
      <c r="FO2" s="387"/>
      <c r="FP2" s="387"/>
      <c r="FQ2" s="387"/>
      <c r="FR2" s="387"/>
      <c r="FS2" s="387"/>
      <c r="FT2" s="387"/>
      <c r="FU2" s="387"/>
      <c r="FV2" s="387"/>
      <c r="FW2" s="387"/>
      <c r="FX2" s="387"/>
      <c r="FY2" s="387"/>
      <c r="FZ2" s="387"/>
      <c r="GA2" s="387"/>
      <c r="GB2" s="387"/>
      <c r="GC2" s="387"/>
      <c r="GD2" s="387"/>
      <c r="GE2" s="387"/>
      <c r="GF2" s="387"/>
      <c r="GG2" s="391"/>
      <c r="GH2" s="391"/>
      <c r="GI2" s="391"/>
      <c r="GJ2" s="391"/>
      <c r="GK2" s="391"/>
      <c r="GL2" s="391"/>
      <c r="GM2" s="391"/>
      <c r="GN2" s="391"/>
      <c r="GO2" s="391"/>
      <c r="GP2" s="391"/>
      <c r="GQ2" s="391"/>
      <c r="GR2" s="391"/>
      <c r="GS2" s="391"/>
      <c r="GT2" s="392"/>
      <c r="GU2" s="392"/>
      <c r="GV2" s="391"/>
      <c r="GW2" s="391"/>
      <c r="GX2" s="391"/>
      <c r="GY2" s="391"/>
      <c r="GZ2" s="391"/>
      <c r="HA2" s="391"/>
      <c r="HB2" s="391"/>
      <c r="HC2" s="389"/>
      <c r="HD2" s="387"/>
      <c r="HE2" s="387"/>
      <c r="HF2" s="387"/>
      <c r="HG2" s="387"/>
    </row>
    <row r="3" spans="1:353" ht="20.100000000000001" customHeight="1">
      <c r="A3" s="394" t="s">
        <v>562</v>
      </c>
      <c r="B3" s="395">
        <v>205</v>
      </c>
      <c r="C3" s="396" t="s">
        <v>540</v>
      </c>
      <c r="D3" s="397" t="s">
        <v>563</v>
      </c>
      <c r="E3" s="397"/>
      <c r="F3" s="397"/>
      <c r="G3" s="397"/>
      <c r="H3" s="397"/>
      <c r="I3" s="397"/>
      <c r="J3" s="398"/>
      <c r="K3" s="399" t="s">
        <v>367</v>
      </c>
      <c r="L3" s="400"/>
      <c r="M3" s="399" t="s">
        <v>368</v>
      </c>
      <c r="N3" s="400"/>
      <c r="O3" s="401" t="s">
        <v>671</v>
      </c>
      <c r="P3" s="402"/>
      <c r="Q3" s="402"/>
      <c r="R3" s="402"/>
      <c r="S3" s="402"/>
      <c r="T3" s="402"/>
      <c r="U3" s="402"/>
      <c r="V3" s="403"/>
      <c r="W3" s="404" t="s">
        <v>369</v>
      </c>
      <c r="X3" s="405"/>
      <c r="Y3" s="406"/>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394" t="s">
        <v>370</v>
      </c>
      <c r="BE3" s="395">
        <v>205</v>
      </c>
      <c r="BF3" s="396" t="s">
        <v>364</v>
      </c>
      <c r="BG3" s="408" t="s">
        <v>558</v>
      </c>
      <c r="BH3" s="408"/>
      <c r="BI3" s="408"/>
      <c r="BJ3" s="408"/>
      <c r="BK3" s="408"/>
      <c r="BL3" s="408"/>
      <c r="BM3" s="409"/>
      <c r="BN3" s="399" t="s">
        <v>367</v>
      </c>
      <c r="BO3" s="400"/>
      <c r="BP3" s="399" t="s">
        <v>368</v>
      </c>
      <c r="BQ3" s="400"/>
      <c r="BR3" s="401" t="s">
        <v>650</v>
      </c>
      <c r="BS3" s="402"/>
      <c r="BT3" s="402"/>
      <c r="BU3" s="402"/>
      <c r="BV3" s="402"/>
      <c r="BW3" s="402"/>
      <c r="BX3" s="402"/>
      <c r="BY3" s="403"/>
      <c r="BZ3" s="404" t="s">
        <v>369</v>
      </c>
      <c r="CA3" s="405"/>
      <c r="CB3" s="406"/>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394" t="s">
        <v>370</v>
      </c>
      <c r="DH3" s="395">
        <v>205</v>
      </c>
      <c r="DI3" s="396" t="s">
        <v>364</v>
      </c>
      <c r="DJ3" s="408" t="s">
        <v>558</v>
      </c>
      <c r="DK3" s="408"/>
      <c r="DL3" s="408"/>
      <c r="DM3" s="408"/>
      <c r="DN3" s="408"/>
      <c r="DO3" s="408"/>
      <c r="DP3" s="409"/>
      <c r="DQ3" s="399" t="s">
        <v>367</v>
      </c>
      <c r="DR3" s="400"/>
      <c r="DS3" s="399" t="s">
        <v>368</v>
      </c>
      <c r="DT3" s="400"/>
      <c r="DU3" s="401" t="s">
        <v>650</v>
      </c>
      <c r="DV3" s="402"/>
      <c r="DW3" s="402"/>
      <c r="DX3" s="402"/>
      <c r="DY3" s="402"/>
      <c r="DZ3" s="402"/>
      <c r="EA3" s="402"/>
      <c r="EB3" s="403"/>
      <c r="EC3" s="404" t="s">
        <v>369</v>
      </c>
      <c r="ED3" s="405"/>
      <c r="EE3" s="406"/>
      <c r="EF3" s="407"/>
      <c r="EG3" s="407"/>
      <c r="EH3" s="407"/>
      <c r="EI3" s="407"/>
      <c r="EJ3" s="407"/>
      <c r="EK3" s="407"/>
      <c r="EL3" s="407"/>
      <c r="EM3" s="407"/>
      <c r="EN3" s="407"/>
      <c r="EO3" s="407"/>
      <c r="EP3" s="407"/>
      <c r="EQ3" s="407"/>
      <c r="ER3" s="407"/>
      <c r="ES3" s="407"/>
      <c r="ET3" s="407"/>
      <c r="EU3" s="407"/>
      <c r="EV3" s="407"/>
      <c r="EW3" s="407"/>
      <c r="EX3" s="407"/>
      <c r="EY3" s="407"/>
      <c r="EZ3" s="407"/>
      <c r="FA3" s="407"/>
      <c r="FB3" s="407"/>
      <c r="FC3" s="407"/>
      <c r="FD3" s="407"/>
      <c r="FE3" s="407"/>
      <c r="FF3" s="407"/>
      <c r="FG3" s="407"/>
      <c r="FH3" s="407"/>
      <c r="FI3" s="407"/>
      <c r="FJ3" s="394" t="s">
        <v>370</v>
      </c>
      <c r="FK3" s="395">
        <v>205</v>
      </c>
      <c r="FL3" s="396" t="s">
        <v>364</v>
      </c>
      <c r="FM3" s="408" t="s">
        <v>558</v>
      </c>
      <c r="FN3" s="408"/>
      <c r="FO3" s="408"/>
      <c r="FP3" s="408"/>
      <c r="FQ3" s="408"/>
      <c r="FR3" s="408"/>
      <c r="FS3" s="409"/>
      <c r="FT3" s="399" t="s">
        <v>367</v>
      </c>
      <c r="FU3" s="400"/>
      <c r="FV3" s="399" t="s">
        <v>368</v>
      </c>
      <c r="FW3" s="400"/>
      <c r="FX3" s="401" t="s">
        <v>694</v>
      </c>
      <c r="FY3" s="402"/>
      <c r="FZ3" s="402"/>
      <c r="GA3" s="402"/>
      <c r="GB3" s="402"/>
      <c r="GC3" s="402"/>
      <c r="GD3" s="402"/>
      <c r="GE3" s="403"/>
      <c r="GF3" s="404" t="s">
        <v>369</v>
      </c>
      <c r="GG3" s="405"/>
      <c r="GH3" s="406"/>
      <c r="GI3" s="410"/>
      <c r="GJ3" s="411" t="s">
        <v>442</v>
      </c>
      <c r="GK3" s="412"/>
      <c r="GL3" s="412"/>
      <c r="GM3" s="412"/>
      <c r="GN3" s="412"/>
      <c r="GO3" s="412"/>
      <c r="GP3" s="412"/>
      <c r="GQ3" s="412"/>
      <c r="GR3" s="413"/>
      <c r="GS3" s="414"/>
      <c r="GT3" s="411" t="s">
        <v>443</v>
      </c>
      <c r="GU3" s="412"/>
      <c r="GV3" s="412"/>
      <c r="GW3" s="412"/>
      <c r="GX3" s="412"/>
      <c r="GY3" s="412"/>
      <c r="GZ3" s="412"/>
      <c r="HA3" s="412"/>
      <c r="HB3" s="413"/>
      <c r="HC3" s="415"/>
      <c r="HD3" s="438"/>
      <c r="HE3" s="417"/>
      <c r="HF3" s="417"/>
      <c r="HG3" s="387"/>
    </row>
    <row r="4" spans="1:353" ht="20.100000000000001" customHeight="1">
      <c r="A4" s="418"/>
      <c r="B4" s="419"/>
      <c r="C4" s="420"/>
      <c r="D4" s="421"/>
      <c r="E4" s="421"/>
      <c r="F4" s="421"/>
      <c r="G4" s="421"/>
      <c r="H4" s="421"/>
      <c r="I4" s="421"/>
      <c r="J4" s="422"/>
      <c r="K4" s="423"/>
      <c r="L4" s="424"/>
      <c r="M4" s="423"/>
      <c r="N4" s="424"/>
      <c r="O4" s="425" t="s">
        <v>371</v>
      </c>
      <c r="P4" s="426"/>
      <c r="Q4" s="427" t="s">
        <v>372</v>
      </c>
      <c r="R4" s="426"/>
      <c r="S4" s="428" t="s">
        <v>373</v>
      </c>
      <c r="T4" s="429"/>
      <c r="U4" s="430" t="s">
        <v>374</v>
      </c>
      <c r="V4" s="431"/>
      <c r="W4" s="432" t="s">
        <v>375</v>
      </c>
      <c r="X4" s="433"/>
      <c r="Y4" s="434"/>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18"/>
      <c r="BE4" s="419"/>
      <c r="BF4" s="420"/>
      <c r="BG4" s="435"/>
      <c r="BH4" s="435"/>
      <c r="BI4" s="435"/>
      <c r="BJ4" s="435"/>
      <c r="BK4" s="435"/>
      <c r="BL4" s="435"/>
      <c r="BM4" s="436"/>
      <c r="BN4" s="423"/>
      <c r="BO4" s="424"/>
      <c r="BP4" s="423"/>
      <c r="BQ4" s="424"/>
      <c r="BR4" s="425" t="s">
        <v>371</v>
      </c>
      <c r="BS4" s="426"/>
      <c r="BT4" s="427" t="s">
        <v>372</v>
      </c>
      <c r="BU4" s="426"/>
      <c r="BV4" s="428" t="s">
        <v>373</v>
      </c>
      <c r="BW4" s="429"/>
      <c r="BX4" s="430" t="s">
        <v>374</v>
      </c>
      <c r="BY4" s="431"/>
      <c r="BZ4" s="432" t="s">
        <v>375</v>
      </c>
      <c r="CA4" s="433"/>
      <c r="CB4" s="434"/>
      <c r="CC4" s="407"/>
      <c r="CD4" s="407"/>
      <c r="CE4" s="407"/>
      <c r="CF4" s="407"/>
      <c r="CG4" s="407"/>
      <c r="CH4" s="407"/>
      <c r="CI4" s="407"/>
      <c r="CJ4" s="407"/>
      <c r="CK4" s="407"/>
      <c r="CL4" s="407"/>
      <c r="CM4" s="407"/>
      <c r="CN4" s="407"/>
      <c r="CO4" s="407"/>
      <c r="CP4" s="407"/>
      <c r="CQ4" s="407"/>
      <c r="CR4" s="407"/>
      <c r="CS4" s="407"/>
      <c r="CT4" s="407"/>
      <c r="CU4" s="407"/>
      <c r="CV4" s="407"/>
      <c r="CW4" s="407"/>
      <c r="CX4" s="407"/>
      <c r="CY4" s="407"/>
      <c r="CZ4" s="407"/>
      <c r="DA4" s="407"/>
      <c r="DB4" s="407"/>
      <c r="DC4" s="407"/>
      <c r="DD4" s="407"/>
      <c r="DE4" s="407"/>
      <c r="DF4" s="407"/>
      <c r="DG4" s="418"/>
      <c r="DH4" s="419"/>
      <c r="DI4" s="420"/>
      <c r="DJ4" s="435"/>
      <c r="DK4" s="435"/>
      <c r="DL4" s="435"/>
      <c r="DM4" s="435"/>
      <c r="DN4" s="435"/>
      <c r="DO4" s="435"/>
      <c r="DP4" s="436"/>
      <c r="DQ4" s="423"/>
      <c r="DR4" s="424"/>
      <c r="DS4" s="423"/>
      <c r="DT4" s="424"/>
      <c r="DU4" s="425" t="s">
        <v>371</v>
      </c>
      <c r="DV4" s="426"/>
      <c r="DW4" s="427" t="s">
        <v>372</v>
      </c>
      <c r="DX4" s="426"/>
      <c r="DY4" s="428" t="s">
        <v>373</v>
      </c>
      <c r="DZ4" s="429"/>
      <c r="EA4" s="430" t="s">
        <v>374</v>
      </c>
      <c r="EB4" s="431"/>
      <c r="EC4" s="432" t="s">
        <v>375</v>
      </c>
      <c r="ED4" s="433"/>
      <c r="EE4" s="434"/>
      <c r="EF4" s="407"/>
      <c r="EG4" s="407"/>
      <c r="EH4" s="407"/>
      <c r="EI4" s="407"/>
      <c r="EJ4" s="407"/>
      <c r="EK4" s="407"/>
      <c r="EL4" s="407"/>
      <c r="EM4" s="407"/>
      <c r="EN4" s="407"/>
      <c r="EO4" s="407"/>
      <c r="EP4" s="407"/>
      <c r="EQ4" s="407"/>
      <c r="ER4" s="407"/>
      <c r="ES4" s="407"/>
      <c r="ET4" s="407"/>
      <c r="EU4" s="407"/>
      <c r="EV4" s="407"/>
      <c r="EW4" s="407"/>
      <c r="EX4" s="407"/>
      <c r="EY4" s="407"/>
      <c r="EZ4" s="407"/>
      <c r="FA4" s="407"/>
      <c r="FB4" s="407"/>
      <c r="FC4" s="407"/>
      <c r="FD4" s="407"/>
      <c r="FE4" s="407"/>
      <c r="FF4" s="407"/>
      <c r="FG4" s="407"/>
      <c r="FH4" s="407"/>
      <c r="FI4" s="407"/>
      <c r="FJ4" s="418"/>
      <c r="FK4" s="419"/>
      <c r="FL4" s="420"/>
      <c r="FM4" s="435"/>
      <c r="FN4" s="435"/>
      <c r="FO4" s="435"/>
      <c r="FP4" s="435"/>
      <c r="FQ4" s="435"/>
      <c r="FR4" s="435"/>
      <c r="FS4" s="436"/>
      <c r="FT4" s="423"/>
      <c r="FU4" s="424"/>
      <c r="FV4" s="423"/>
      <c r="FW4" s="424"/>
      <c r="FX4" s="425" t="s">
        <v>371</v>
      </c>
      <c r="FY4" s="426"/>
      <c r="FZ4" s="427" t="s">
        <v>372</v>
      </c>
      <c r="GA4" s="426"/>
      <c r="GB4" s="428" t="s">
        <v>373</v>
      </c>
      <c r="GC4" s="429"/>
      <c r="GD4" s="430" t="s">
        <v>374</v>
      </c>
      <c r="GE4" s="431"/>
      <c r="GF4" s="432" t="s">
        <v>352</v>
      </c>
      <c r="GG4" s="433"/>
      <c r="GH4" s="434"/>
      <c r="GI4" s="410"/>
      <c r="GJ4" s="437"/>
      <c r="GK4" s="437"/>
      <c r="GL4" s="437"/>
      <c r="GM4" s="437"/>
      <c r="GN4" s="437"/>
      <c r="GO4" s="437"/>
      <c r="GP4" s="437"/>
      <c r="GQ4" s="437"/>
      <c r="GR4" s="437"/>
      <c r="GS4" s="414"/>
      <c r="GT4" s="437"/>
      <c r="GU4" s="437"/>
      <c r="GV4" s="437"/>
      <c r="GW4" s="437"/>
      <c r="GX4" s="437"/>
      <c r="GY4" s="437"/>
      <c r="GZ4" s="437"/>
      <c r="HA4" s="437"/>
      <c r="HB4" s="437"/>
      <c r="HC4" s="1445"/>
      <c r="HD4" s="438"/>
      <c r="HE4" s="438"/>
      <c r="HF4" s="501"/>
      <c r="HG4" s="387"/>
      <c r="MO4" s="393" t="s">
        <v>352</v>
      </c>
    </row>
    <row r="5" spans="1:353" ht="24.95" customHeight="1" thickBot="1">
      <c r="A5" s="439" t="s">
        <v>378</v>
      </c>
      <c r="B5" s="440">
        <v>2</v>
      </c>
      <c r="C5" s="441" t="s">
        <v>379</v>
      </c>
      <c r="D5" s="442">
        <v>13.2</v>
      </c>
      <c r="E5" s="443" t="s">
        <v>380</v>
      </c>
      <c r="F5" s="444">
        <v>2.8</v>
      </c>
      <c r="G5" s="445" t="s">
        <v>381</v>
      </c>
      <c r="H5" s="446"/>
      <c r="I5" s="447">
        <v>37</v>
      </c>
      <c r="J5" s="448"/>
      <c r="K5" s="449">
        <v>120</v>
      </c>
      <c r="L5" s="450"/>
      <c r="M5" s="449">
        <v>20</v>
      </c>
      <c r="N5" s="450"/>
      <c r="O5" s="1438" t="s">
        <v>683</v>
      </c>
      <c r="P5" s="451"/>
      <c r="Q5" s="1439" t="s">
        <v>684</v>
      </c>
      <c r="R5" s="452"/>
      <c r="S5" s="1440" t="s">
        <v>685</v>
      </c>
      <c r="T5" s="453"/>
      <c r="U5" s="1441" t="s">
        <v>686</v>
      </c>
      <c r="V5" s="454"/>
      <c r="W5" s="455"/>
      <c r="X5" s="456"/>
      <c r="Y5" s="457"/>
      <c r="Z5" s="415"/>
      <c r="AA5" s="458"/>
      <c r="AB5" s="415"/>
      <c r="AC5" s="458"/>
      <c r="AD5" s="415"/>
      <c r="AE5" s="458"/>
      <c r="AF5" s="415"/>
      <c r="AG5" s="458"/>
      <c r="AH5" s="415"/>
      <c r="AI5" s="458"/>
      <c r="AJ5" s="415"/>
      <c r="AK5" s="458"/>
      <c r="AL5" s="415"/>
      <c r="AM5" s="458"/>
      <c r="AN5" s="415"/>
      <c r="AO5" s="458"/>
      <c r="AP5" s="415"/>
      <c r="AQ5" s="458"/>
      <c r="AR5" s="415"/>
      <c r="AS5" s="458"/>
      <c r="AT5" s="415"/>
      <c r="AU5" s="458"/>
      <c r="AV5" s="415"/>
      <c r="AW5" s="458"/>
      <c r="AX5" s="415"/>
      <c r="AY5" s="458"/>
      <c r="AZ5" s="415"/>
      <c r="BA5" s="458"/>
      <c r="BB5" s="415"/>
      <c r="BC5" s="415"/>
      <c r="BD5" s="439" t="s">
        <v>378</v>
      </c>
      <c r="BE5" s="440">
        <v>2</v>
      </c>
      <c r="BF5" s="441" t="s">
        <v>287</v>
      </c>
      <c r="BG5" s="442">
        <v>13.2</v>
      </c>
      <c r="BH5" s="443" t="s">
        <v>380</v>
      </c>
      <c r="BI5" s="444">
        <v>2.8</v>
      </c>
      <c r="BJ5" s="445" t="s">
        <v>381</v>
      </c>
      <c r="BK5" s="446"/>
      <c r="BL5" s="447">
        <v>37</v>
      </c>
      <c r="BM5" s="448"/>
      <c r="BN5" s="449">
        <v>120</v>
      </c>
      <c r="BO5" s="450"/>
      <c r="BP5" s="449">
        <v>20</v>
      </c>
      <c r="BQ5" s="450"/>
      <c r="BR5" s="1438" t="s">
        <v>641</v>
      </c>
      <c r="BS5" s="451"/>
      <c r="BT5" s="1439" t="s">
        <v>687</v>
      </c>
      <c r="BU5" s="452"/>
      <c r="BV5" s="1440" t="s">
        <v>685</v>
      </c>
      <c r="BW5" s="453"/>
      <c r="BX5" s="1441" t="s">
        <v>688</v>
      </c>
      <c r="BY5" s="454"/>
      <c r="BZ5" s="455"/>
      <c r="CA5" s="456"/>
      <c r="CB5" s="457"/>
      <c r="CC5" s="415"/>
      <c r="CD5" s="458"/>
      <c r="CE5" s="415"/>
      <c r="CF5" s="458"/>
      <c r="CG5" s="415"/>
      <c r="CH5" s="458"/>
      <c r="CI5" s="415"/>
      <c r="CJ5" s="458"/>
      <c r="CK5" s="415"/>
      <c r="CL5" s="458"/>
      <c r="CM5" s="415"/>
      <c r="CN5" s="458"/>
      <c r="CO5" s="415"/>
      <c r="CP5" s="458"/>
      <c r="CQ5" s="415"/>
      <c r="CR5" s="458"/>
      <c r="CS5" s="415"/>
      <c r="CT5" s="458"/>
      <c r="CU5" s="415"/>
      <c r="CV5" s="458"/>
      <c r="CW5" s="415"/>
      <c r="CX5" s="458"/>
      <c r="CY5" s="415"/>
      <c r="CZ5" s="458"/>
      <c r="DA5" s="415"/>
      <c r="DB5" s="458"/>
      <c r="DC5" s="415"/>
      <c r="DD5" s="458"/>
      <c r="DE5" s="415"/>
      <c r="DF5" s="415"/>
      <c r="DG5" s="439" t="s">
        <v>378</v>
      </c>
      <c r="DH5" s="440">
        <v>2</v>
      </c>
      <c r="DI5" s="441" t="s">
        <v>287</v>
      </c>
      <c r="DJ5" s="442">
        <v>13.2</v>
      </c>
      <c r="DK5" s="443" t="s">
        <v>380</v>
      </c>
      <c r="DL5" s="444">
        <v>2.8</v>
      </c>
      <c r="DM5" s="445" t="s">
        <v>381</v>
      </c>
      <c r="DN5" s="446"/>
      <c r="DO5" s="447">
        <v>37</v>
      </c>
      <c r="DP5" s="448"/>
      <c r="DQ5" s="449">
        <v>120</v>
      </c>
      <c r="DR5" s="450"/>
      <c r="DS5" s="449">
        <v>20</v>
      </c>
      <c r="DT5" s="450"/>
      <c r="DU5" s="1438" t="s">
        <v>646</v>
      </c>
      <c r="DV5" s="451"/>
      <c r="DW5" s="1439" t="s">
        <v>689</v>
      </c>
      <c r="DX5" s="452"/>
      <c r="DY5" s="1440" t="s">
        <v>685</v>
      </c>
      <c r="DZ5" s="453"/>
      <c r="EA5" s="1441" t="s">
        <v>688</v>
      </c>
      <c r="EB5" s="454"/>
      <c r="EC5" s="455"/>
      <c r="ED5" s="456"/>
      <c r="EE5" s="457"/>
      <c r="EF5" s="415"/>
      <c r="EG5" s="458"/>
      <c r="EH5" s="415"/>
      <c r="EI5" s="458"/>
      <c r="EJ5" s="415"/>
      <c r="EK5" s="458"/>
      <c r="EL5" s="415"/>
      <c r="EM5" s="458"/>
      <c r="EN5" s="415"/>
      <c r="EO5" s="458"/>
      <c r="EP5" s="415"/>
      <c r="EQ5" s="458"/>
      <c r="ER5" s="415"/>
      <c r="ES5" s="458"/>
      <c r="ET5" s="415"/>
      <c r="EU5" s="458"/>
      <c r="EV5" s="415"/>
      <c r="EW5" s="458"/>
      <c r="EX5" s="415"/>
      <c r="EY5" s="458"/>
      <c r="EZ5" s="415"/>
      <c r="FA5" s="458"/>
      <c r="FB5" s="415"/>
      <c r="FC5" s="458"/>
      <c r="FD5" s="415"/>
      <c r="FE5" s="458"/>
      <c r="FF5" s="415"/>
      <c r="FG5" s="458"/>
      <c r="FH5" s="415"/>
      <c r="FI5" s="415"/>
      <c r="FJ5" s="439" t="s">
        <v>378</v>
      </c>
      <c r="FK5" s="440">
        <v>2</v>
      </c>
      <c r="FL5" s="441" t="s">
        <v>287</v>
      </c>
      <c r="FM5" s="442">
        <v>13.2</v>
      </c>
      <c r="FN5" s="443" t="s">
        <v>380</v>
      </c>
      <c r="FO5" s="444">
        <v>2.8</v>
      </c>
      <c r="FP5" s="445" t="s">
        <v>381</v>
      </c>
      <c r="FQ5" s="446"/>
      <c r="FR5" s="447">
        <v>37</v>
      </c>
      <c r="FS5" s="448"/>
      <c r="FT5" s="449">
        <v>120</v>
      </c>
      <c r="FU5" s="450"/>
      <c r="FV5" s="449">
        <v>20</v>
      </c>
      <c r="FW5" s="450"/>
      <c r="FX5" s="1438" t="s">
        <v>690</v>
      </c>
      <c r="FY5" s="451"/>
      <c r="FZ5" s="1439" t="s">
        <v>691</v>
      </c>
      <c r="GA5" s="452"/>
      <c r="GB5" s="1440" t="s">
        <v>692</v>
      </c>
      <c r="GC5" s="453"/>
      <c r="GD5" s="1441" t="s">
        <v>693</v>
      </c>
      <c r="GE5" s="454"/>
      <c r="GF5" s="455"/>
      <c r="GG5" s="456"/>
      <c r="GH5" s="457"/>
      <c r="GI5" s="459"/>
      <c r="GJ5" s="410"/>
      <c r="GK5" s="460" t="s">
        <v>444</v>
      </c>
      <c r="GL5" s="460"/>
      <c r="GM5" s="460"/>
      <c r="GN5" s="410" t="s">
        <v>445</v>
      </c>
      <c r="GO5" s="461"/>
      <c r="GP5" s="461"/>
      <c r="GQ5" s="461"/>
      <c r="GR5" s="410"/>
      <c r="GS5" s="410"/>
      <c r="GT5" s="414"/>
      <c r="GU5" s="460" t="s">
        <v>446</v>
      </c>
      <c r="GV5" s="460"/>
      <c r="GW5" s="460"/>
      <c r="GX5" s="410" t="s">
        <v>445</v>
      </c>
      <c r="GY5" s="461"/>
      <c r="GZ5" s="461"/>
      <c r="HA5" s="461"/>
      <c r="HB5" s="410"/>
      <c r="HC5" s="462"/>
      <c r="HD5" s="438"/>
      <c r="HE5" s="438"/>
      <c r="HF5" s="501"/>
      <c r="HG5" s="387"/>
    </row>
    <row r="6" spans="1:353" ht="20.100000000000001" customHeight="1" thickBot="1">
      <c r="A6" s="463" t="s">
        <v>382</v>
      </c>
      <c r="B6" s="464"/>
      <c r="C6" s="465" t="s">
        <v>383</v>
      </c>
      <c r="D6" s="465"/>
      <c r="E6" s="465"/>
      <c r="F6" s="466">
        <v>0</v>
      </c>
      <c r="G6" s="466"/>
      <c r="H6" s="465" t="s">
        <v>384</v>
      </c>
      <c r="I6" s="465"/>
      <c r="J6" s="465"/>
      <c r="K6" s="465"/>
      <c r="L6" s="465"/>
      <c r="M6" s="467">
        <v>0</v>
      </c>
      <c r="N6" s="467"/>
      <c r="O6" s="468"/>
      <c r="P6" s="469"/>
      <c r="Q6" s="469" t="s">
        <v>385</v>
      </c>
      <c r="R6" s="470">
        <v>0</v>
      </c>
      <c r="S6" s="470"/>
      <c r="T6" s="471"/>
      <c r="U6" s="472" t="s">
        <v>386</v>
      </c>
      <c r="V6" s="473">
        <v>0</v>
      </c>
      <c r="W6" s="473"/>
      <c r="X6" s="474"/>
      <c r="Y6" s="469"/>
      <c r="Z6" s="469"/>
      <c r="AA6" s="469"/>
      <c r="AB6" s="467"/>
      <c r="AC6" s="467"/>
      <c r="AD6" s="469"/>
      <c r="AE6" s="468"/>
      <c r="AF6" s="464"/>
      <c r="AG6" s="469"/>
      <c r="AH6" s="469"/>
      <c r="AI6" s="474"/>
      <c r="AJ6" s="469"/>
      <c r="AK6" s="474"/>
      <c r="AL6" s="469"/>
      <c r="AM6" s="474"/>
      <c r="AN6" s="469"/>
      <c r="AO6" s="474"/>
      <c r="AP6" s="469"/>
      <c r="AQ6" s="474"/>
      <c r="AR6" s="469"/>
      <c r="AS6" s="474"/>
      <c r="AT6" s="469"/>
      <c r="AU6" s="474"/>
      <c r="AV6" s="469"/>
      <c r="AW6" s="474"/>
      <c r="AX6" s="475"/>
      <c r="AY6" s="474"/>
      <c r="AZ6" s="469"/>
      <c r="BA6" s="474"/>
      <c r="BB6" s="37" t="s">
        <v>388</v>
      </c>
      <c r="BC6" s="476"/>
      <c r="BD6" s="463" t="s">
        <v>382</v>
      </c>
      <c r="BE6" s="464"/>
      <c r="BF6" s="465" t="s">
        <v>383</v>
      </c>
      <c r="BG6" s="465"/>
      <c r="BH6" s="465"/>
      <c r="BI6" s="466">
        <v>0</v>
      </c>
      <c r="BJ6" s="466"/>
      <c r="BK6" s="465" t="s">
        <v>384</v>
      </c>
      <c r="BL6" s="465"/>
      <c r="BM6" s="465"/>
      <c r="BN6" s="465"/>
      <c r="BO6" s="465"/>
      <c r="BP6" s="467">
        <v>0</v>
      </c>
      <c r="BQ6" s="467"/>
      <c r="BR6" s="468"/>
      <c r="BS6" s="469"/>
      <c r="BT6" s="469" t="s">
        <v>288</v>
      </c>
      <c r="BU6" s="470">
        <v>0</v>
      </c>
      <c r="BV6" s="470"/>
      <c r="BW6" s="471"/>
      <c r="BX6" s="472" t="s">
        <v>289</v>
      </c>
      <c r="BY6" s="473">
        <v>0</v>
      </c>
      <c r="BZ6" s="473"/>
      <c r="CA6" s="474"/>
      <c r="CB6" s="469"/>
      <c r="CC6" s="469"/>
      <c r="CD6" s="474"/>
      <c r="CE6" s="467"/>
      <c r="CF6" s="467"/>
      <c r="CG6" s="469"/>
      <c r="CH6" s="468"/>
      <c r="CI6" s="464"/>
      <c r="CJ6" s="469"/>
      <c r="CK6" s="469"/>
      <c r="CL6" s="474"/>
      <c r="CM6" s="469"/>
      <c r="CN6" s="474"/>
      <c r="CO6" s="469"/>
      <c r="CP6" s="474"/>
      <c r="CQ6" s="469"/>
      <c r="CR6" s="474"/>
      <c r="CS6" s="469"/>
      <c r="CT6" s="474"/>
      <c r="CU6" s="469"/>
      <c r="CV6" s="474"/>
      <c r="CW6" s="469"/>
      <c r="CX6" s="474"/>
      <c r="CY6" s="469"/>
      <c r="CZ6" s="474"/>
      <c r="DA6" s="469"/>
      <c r="DB6" s="474"/>
      <c r="DC6" s="469"/>
      <c r="DD6" s="474"/>
      <c r="DE6" s="477" t="s">
        <v>390</v>
      </c>
      <c r="DF6" s="478"/>
      <c r="DG6" s="463" t="s">
        <v>382</v>
      </c>
      <c r="DH6" s="464"/>
      <c r="DI6" s="465" t="s">
        <v>383</v>
      </c>
      <c r="DJ6" s="465"/>
      <c r="DK6" s="465"/>
      <c r="DL6" s="466">
        <v>0</v>
      </c>
      <c r="DM6" s="466"/>
      <c r="DN6" s="465" t="s">
        <v>384</v>
      </c>
      <c r="DO6" s="465"/>
      <c r="DP6" s="465"/>
      <c r="DQ6" s="465"/>
      <c r="DR6" s="465"/>
      <c r="DS6" s="467">
        <v>0</v>
      </c>
      <c r="DT6" s="467"/>
      <c r="DU6" s="468"/>
      <c r="DV6" s="469"/>
      <c r="DW6" s="469" t="s">
        <v>288</v>
      </c>
      <c r="DX6" s="470">
        <v>0</v>
      </c>
      <c r="DY6" s="470"/>
      <c r="DZ6" s="471"/>
      <c r="EA6" s="472" t="s">
        <v>289</v>
      </c>
      <c r="EB6" s="473">
        <v>0</v>
      </c>
      <c r="EC6" s="473"/>
      <c r="ED6" s="474"/>
      <c r="EE6" s="469"/>
      <c r="EF6" s="474"/>
      <c r="EG6" s="469"/>
      <c r="EH6" s="464"/>
      <c r="EI6" s="474"/>
      <c r="EJ6" s="469"/>
      <c r="EK6" s="468"/>
      <c r="EL6" s="464"/>
      <c r="EM6" s="469"/>
      <c r="EN6" s="469"/>
      <c r="EO6" s="474"/>
      <c r="EP6" s="469"/>
      <c r="EQ6" s="474"/>
      <c r="ER6" s="469"/>
      <c r="ES6" s="474"/>
      <c r="ET6" s="469"/>
      <c r="EU6" s="474"/>
      <c r="EV6" s="469"/>
      <c r="EW6" s="474"/>
      <c r="EX6" s="469"/>
      <c r="EY6" s="474"/>
      <c r="EZ6" s="469"/>
      <c r="FA6" s="474"/>
      <c r="FB6" s="469"/>
      <c r="FC6" s="474"/>
      <c r="FD6" s="469"/>
      <c r="FE6" s="474"/>
      <c r="FF6" s="469"/>
      <c r="FG6" s="474"/>
      <c r="FH6" s="479" t="s">
        <v>392</v>
      </c>
      <c r="FI6" s="478"/>
      <c r="FJ6" s="463" t="s">
        <v>393</v>
      </c>
      <c r="FK6" s="464"/>
      <c r="FL6" s="465" t="s">
        <v>383</v>
      </c>
      <c r="FM6" s="465"/>
      <c r="FN6" s="465"/>
      <c r="FO6" s="466">
        <v>0</v>
      </c>
      <c r="FP6" s="466"/>
      <c r="FQ6" s="465" t="s">
        <v>384</v>
      </c>
      <c r="FR6" s="465"/>
      <c r="FS6" s="465"/>
      <c r="FT6" s="465"/>
      <c r="FU6" s="465"/>
      <c r="FV6" s="467">
        <v>0</v>
      </c>
      <c r="FW6" s="467"/>
      <c r="FX6" s="468"/>
      <c r="FY6" s="469"/>
      <c r="FZ6" s="469" t="s">
        <v>394</v>
      </c>
      <c r="GA6" s="470">
        <v>0</v>
      </c>
      <c r="GB6" s="470"/>
      <c r="GC6" s="471"/>
      <c r="GD6" s="472" t="s">
        <v>395</v>
      </c>
      <c r="GE6" s="473">
        <v>0</v>
      </c>
      <c r="GF6" s="473"/>
      <c r="GG6" s="474"/>
      <c r="GH6" s="469"/>
      <c r="GI6" s="469"/>
      <c r="GJ6" s="480"/>
      <c r="GK6" s="481" t="s">
        <v>447</v>
      </c>
      <c r="GL6" s="481"/>
      <c r="GM6" s="481"/>
      <c r="GN6" s="482">
        <v>2</v>
      </c>
      <c r="GO6" s="483"/>
      <c r="GP6" s="483"/>
      <c r="GQ6" s="483"/>
      <c r="GR6" s="480"/>
      <c r="GS6" s="480"/>
      <c r="GT6" s="414"/>
      <c r="GU6" s="481" t="s">
        <v>448</v>
      </c>
      <c r="GV6" s="481"/>
      <c r="GW6" s="481"/>
      <c r="GX6" s="482">
        <v>2</v>
      </c>
      <c r="GY6" s="414"/>
      <c r="GZ6" s="414"/>
      <c r="HA6" s="483"/>
      <c r="HB6" s="483"/>
      <c r="HC6" s="484"/>
      <c r="HD6" s="438"/>
      <c r="HE6" s="438"/>
      <c r="HF6" s="501"/>
      <c r="HG6" s="387"/>
    </row>
    <row r="7" spans="1:353" ht="20.100000000000001" customHeight="1">
      <c r="A7" s="485" t="s">
        <v>290</v>
      </c>
      <c r="B7" s="486"/>
      <c r="C7" s="486"/>
      <c r="D7" s="486"/>
      <c r="E7" s="486"/>
      <c r="F7" s="487"/>
      <c r="G7" s="488" t="s">
        <v>291</v>
      </c>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90"/>
      <c r="BC7" s="462"/>
      <c r="BD7" s="485" t="s">
        <v>290</v>
      </c>
      <c r="BE7" s="486"/>
      <c r="BF7" s="486"/>
      <c r="BG7" s="486"/>
      <c r="BH7" s="486"/>
      <c r="BI7" s="487"/>
      <c r="BJ7" s="488" t="s">
        <v>292</v>
      </c>
      <c r="BK7" s="489"/>
      <c r="BL7" s="489"/>
      <c r="BM7" s="489"/>
      <c r="BN7" s="489"/>
      <c r="BO7" s="489"/>
      <c r="BP7" s="489"/>
      <c r="BQ7" s="489"/>
      <c r="BR7" s="489"/>
      <c r="BS7" s="489"/>
      <c r="BT7" s="489"/>
      <c r="BU7" s="489"/>
      <c r="BV7" s="489"/>
      <c r="BW7" s="489"/>
      <c r="BX7" s="489"/>
      <c r="BY7" s="489"/>
      <c r="BZ7" s="489"/>
      <c r="CA7" s="489"/>
      <c r="CB7" s="489"/>
      <c r="CC7" s="489"/>
      <c r="CD7" s="489"/>
      <c r="CE7" s="489"/>
      <c r="CF7" s="489"/>
      <c r="CG7" s="489"/>
      <c r="CH7" s="489"/>
      <c r="CI7" s="489"/>
      <c r="CJ7" s="489"/>
      <c r="CK7" s="489"/>
      <c r="CL7" s="489"/>
      <c r="CM7" s="489"/>
      <c r="CN7" s="489"/>
      <c r="CO7" s="489"/>
      <c r="CP7" s="489"/>
      <c r="CQ7" s="489"/>
      <c r="CR7" s="489"/>
      <c r="CS7" s="489"/>
      <c r="CT7" s="489"/>
      <c r="CU7" s="489"/>
      <c r="CV7" s="489"/>
      <c r="CW7" s="489"/>
      <c r="CX7" s="489"/>
      <c r="CY7" s="489"/>
      <c r="CZ7" s="489"/>
      <c r="DA7" s="489"/>
      <c r="DB7" s="489"/>
      <c r="DC7" s="489"/>
      <c r="DD7" s="489"/>
      <c r="DE7" s="490"/>
      <c r="DF7" s="462"/>
      <c r="DG7" s="485" t="s">
        <v>290</v>
      </c>
      <c r="DH7" s="486"/>
      <c r="DI7" s="486"/>
      <c r="DJ7" s="486"/>
      <c r="DK7" s="486"/>
      <c r="DL7" s="487"/>
      <c r="DM7" s="488" t="s">
        <v>293</v>
      </c>
      <c r="DN7" s="489"/>
      <c r="DO7" s="489"/>
      <c r="DP7" s="489"/>
      <c r="DQ7" s="489"/>
      <c r="DR7" s="489"/>
      <c r="DS7" s="489"/>
      <c r="DT7" s="489"/>
      <c r="DU7" s="489"/>
      <c r="DV7" s="489"/>
      <c r="DW7" s="489"/>
      <c r="DX7" s="489"/>
      <c r="DY7" s="489"/>
      <c r="DZ7" s="489"/>
      <c r="EA7" s="489"/>
      <c r="EB7" s="489"/>
      <c r="EC7" s="489"/>
      <c r="ED7" s="489"/>
      <c r="EE7" s="489"/>
      <c r="EF7" s="489"/>
      <c r="EG7" s="489"/>
      <c r="EH7" s="489"/>
      <c r="EI7" s="489"/>
      <c r="EJ7" s="489"/>
      <c r="EK7" s="489"/>
      <c r="EL7" s="489"/>
      <c r="EM7" s="489"/>
      <c r="EN7" s="489"/>
      <c r="EO7" s="489"/>
      <c r="EP7" s="489"/>
      <c r="EQ7" s="489"/>
      <c r="ER7" s="489"/>
      <c r="ES7" s="489"/>
      <c r="ET7" s="489"/>
      <c r="EU7" s="489"/>
      <c r="EV7" s="489"/>
      <c r="EW7" s="489"/>
      <c r="EX7" s="489"/>
      <c r="EY7" s="489"/>
      <c r="EZ7" s="489"/>
      <c r="FA7" s="489"/>
      <c r="FB7" s="489"/>
      <c r="FC7" s="489"/>
      <c r="FD7" s="489"/>
      <c r="FE7" s="489"/>
      <c r="FF7" s="489"/>
      <c r="FG7" s="489"/>
      <c r="FH7" s="490"/>
      <c r="FI7" s="462"/>
      <c r="FJ7" s="485" t="s">
        <v>290</v>
      </c>
      <c r="FK7" s="486"/>
      <c r="FL7" s="486"/>
      <c r="FM7" s="486"/>
      <c r="FN7" s="486"/>
      <c r="FO7" s="487"/>
      <c r="FP7" s="491" t="s">
        <v>294</v>
      </c>
      <c r="FQ7" s="492"/>
      <c r="FR7" s="492"/>
      <c r="FS7" s="492"/>
      <c r="FT7" s="492"/>
      <c r="FU7" s="492"/>
      <c r="FV7" s="493" t="s">
        <v>295</v>
      </c>
      <c r="FW7" s="494"/>
      <c r="FX7" s="494"/>
      <c r="FY7" s="494"/>
      <c r="FZ7" s="494"/>
      <c r="GA7" s="494"/>
      <c r="GB7" s="494"/>
      <c r="GC7" s="494"/>
      <c r="GD7" s="494"/>
      <c r="GE7" s="495"/>
      <c r="GF7" s="496"/>
      <c r="GG7" s="461"/>
      <c r="GH7" s="461"/>
      <c r="GI7" s="461"/>
      <c r="GJ7" s="497"/>
      <c r="GK7" s="498"/>
      <c r="GL7" s="498"/>
      <c r="GM7" s="498"/>
      <c r="GN7" s="499"/>
      <c r="GO7" s="499"/>
      <c r="GP7" s="498"/>
      <c r="GQ7" s="498"/>
      <c r="GR7" s="498"/>
      <c r="GS7" s="498"/>
      <c r="GT7" s="498"/>
      <c r="GU7" s="498"/>
      <c r="GV7" s="498"/>
      <c r="GW7" s="498"/>
      <c r="GX7" s="498"/>
      <c r="GY7" s="498"/>
      <c r="GZ7" s="498"/>
      <c r="HA7" s="498"/>
      <c r="HB7" s="498"/>
      <c r="HC7" s="538"/>
      <c r="HD7" s="438"/>
      <c r="HE7" s="438"/>
      <c r="HF7" s="501"/>
      <c r="HG7" s="387"/>
    </row>
    <row r="8" spans="1:353" s="528" customFormat="1" ht="20.100000000000001" customHeight="1">
      <c r="A8" s="502"/>
      <c r="B8" s="503"/>
      <c r="C8" s="503"/>
      <c r="D8" s="503"/>
      <c r="E8" s="503"/>
      <c r="F8" s="504"/>
      <c r="G8" s="505">
        <v>1</v>
      </c>
      <c r="H8" s="506"/>
      <c r="I8" s="507">
        <v>2</v>
      </c>
      <c r="J8" s="506"/>
      <c r="K8" s="507">
        <v>3</v>
      </c>
      <c r="L8" s="506"/>
      <c r="M8" s="507">
        <v>4</v>
      </c>
      <c r="N8" s="506"/>
      <c r="O8" s="507">
        <v>5</v>
      </c>
      <c r="P8" s="506"/>
      <c r="Q8" s="507">
        <v>6</v>
      </c>
      <c r="R8" s="506"/>
      <c r="S8" s="507">
        <v>7</v>
      </c>
      <c r="T8" s="506"/>
      <c r="U8" s="507">
        <v>8</v>
      </c>
      <c r="V8" s="506"/>
      <c r="W8" s="507">
        <v>9</v>
      </c>
      <c r="X8" s="506"/>
      <c r="Y8" s="507">
        <v>10</v>
      </c>
      <c r="Z8" s="506"/>
      <c r="AA8" s="507">
        <v>11</v>
      </c>
      <c r="AB8" s="506"/>
      <c r="AC8" s="507">
        <v>12</v>
      </c>
      <c r="AD8" s="506"/>
      <c r="AE8" s="507">
        <v>13</v>
      </c>
      <c r="AF8" s="506"/>
      <c r="AG8" s="507">
        <v>14</v>
      </c>
      <c r="AH8" s="506"/>
      <c r="AI8" s="507">
        <v>15</v>
      </c>
      <c r="AJ8" s="506"/>
      <c r="AK8" s="507">
        <v>16</v>
      </c>
      <c r="AL8" s="506"/>
      <c r="AM8" s="507">
        <v>17</v>
      </c>
      <c r="AN8" s="506"/>
      <c r="AO8" s="507">
        <v>18</v>
      </c>
      <c r="AP8" s="506"/>
      <c r="AQ8" s="507">
        <v>19</v>
      </c>
      <c r="AR8" s="506"/>
      <c r="AS8" s="507">
        <v>20</v>
      </c>
      <c r="AT8" s="506"/>
      <c r="AU8" s="507">
        <v>21</v>
      </c>
      <c r="AV8" s="506"/>
      <c r="AW8" s="507">
        <v>22</v>
      </c>
      <c r="AX8" s="506"/>
      <c r="AY8" s="507">
        <v>23</v>
      </c>
      <c r="AZ8" s="506"/>
      <c r="BA8" s="507">
        <v>24</v>
      </c>
      <c r="BB8" s="508"/>
      <c r="BC8" s="484"/>
      <c r="BD8" s="502"/>
      <c r="BE8" s="503"/>
      <c r="BF8" s="503"/>
      <c r="BG8" s="503"/>
      <c r="BH8" s="503"/>
      <c r="BI8" s="504"/>
      <c r="BJ8" s="509">
        <v>1</v>
      </c>
      <c r="BK8" s="510"/>
      <c r="BL8" s="511">
        <v>2</v>
      </c>
      <c r="BM8" s="510"/>
      <c r="BN8" s="511">
        <v>3</v>
      </c>
      <c r="BO8" s="510"/>
      <c r="BP8" s="511">
        <v>4</v>
      </c>
      <c r="BQ8" s="510"/>
      <c r="BR8" s="511">
        <v>5</v>
      </c>
      <c r="BS8" s="510"/>
      <c r="BT8" s="511">
        <v>6</v>
      </c>
      <c r="BU8" s="510"/>
      <c r="BV8" s="511">
        <v>7</v>
      </c>
      <c r="BW8" s="510"/>
      <c r="BX8" s="511">
        <v>8</v>
      </c>
      <c r="BY8" s="510"/>
      <c r="BZ8" s="511">
        <v>9</v>
      </c>
      <c r="CA8" s="510"/>
      <c r="CB8" s="511">
        <v>10</v>
      </c>
      <c r="CC8" s="510"/>
      <c r="CD8" s="511">
        <v>11</v>
      </c>
      <c r="CE8" s="510"/>
      <c r="CF8" s="511">
        <v>12</v>
      </c>
      <c r="CG8" s="510"/>
      <c r="CH8" s="511">
        <v>13</v>
      </c>
      <c r="CI8" s="510"/>
      <c r="CJ8" s="511">
        <v>14</v>
      </c>
      <c r="CK8" s="510"/>
      <c r="CL8" s="511">
        <v>15</v>
      </c>
      <c r="CM8" s="510"/>
      <c r="CN8" s="511">
        <v>16</v>
      </c>
      <c r="CO8" s="510"/>
      <c r="CP8" s="511">
        <v>17</v>
      </c>
      <c r="CQ8" s="510"/>
      <c r="CR8" s="511">
        <v>18</v>
      </c>
      <c r="CS8" s="510"/>
      <c r="CT8" s="511">
        <v>19</v>
      </c>
      <c r="CU8" s="510"/>
      <c r="CV8" s="511">
        <v>20</v>
      </c>
      <c r="CW8" s="510"/>
      <c r="CX8" s="511">
        <v>21</v>
      </c>
      <c r="CY8" s="510"/>
      <c r="CZ8" s="511">
        <v>22</v>
      </c>
      <c r="DA8" s="510"/>
      <c r="DB8" s="511">
        <v>23</v>
      </c>
      <c r="DC8" s="510"/>
      <c r="DD8" s="511">
        <v>24</v>
      </c>
      <c r="DE8" s="512"/>
      <c r="DF8" s="484"/>
      <c r="DG8" s="502"/>
      <c r="DH8" s="503"/>
      <c r="DI8" s="503"/>
      <c r="DJ8" s="503"/>
      <c r="DK8" s="503"/>
      <c r="DL8" s="504"/>
      <c r="DM8" s="513">
        <v>1</v>
      </c>
      <c r="DN8" s="514"/>
      <c r="DO8" s="515">
        <v>2</v>
      </c>
      <c r="DP8" s="514"/>
      <c r="DQ8" s="515">
        <v>3</v>
      </c>
      <c r="DR8" s="514"/>
      <c r="DS8" s="515">
        <v>4</v>
      </c>
      <c r="DT8" s="514"/>
      <c r="DU8" s="515">
        <v>5</v>
      </c>
      <c r="DV8" s="514"/>
      <c r="DW8" s="515">
        <v>6</v>
      </c>
      <c r="DX8" s="514"/>
      <c r="DY8" s="515">
        <v>7</v>
      </c>
      <c r="DZ8" s="514"/>
      <c r="EA8" s="515">
        <v>8</v>
      </c>
      <c r="EB8" s="514"/>
      <c r="EC8" s="515">
        <v>9</v>
      </c>
      <c r="ED8" s="514"/>
      <c r="EE8" s="515">
        <v>10</v>
      </c>
      <c r="EF8" s="514"/>
      <c r="EG8" s="515">
        <v>11</v>
      </c>
      <c r="EH8" s="514"/>
      <c r="EI8" s="515">
        <v>12</v>
      </c>
      <c r="EJ8" s="514"/>
      <c r="EK8" s="515">
        <v>13</v>
      </c>
      <c r="EL8" s="514"/>
      <c r="EM8" s="515">
        <v>14</v>
      </c>
      <c r="EN8" s="514"/>
      <c r="EO8" s="515">
        <v>15</v>
      </c>
      <c r="EP8" s="514"/>
      <c r="EQ8" s="515">
        <v>16</v>
      </c>
      <c r="ER8" s="514"/>
      <c r="ES8" s="515">
        <v>17</v>
      </c>
      <c r="ET8" s="514"/>
      <c r="EU8" s="515">
        <v>18</v>
      </c>
      <c r="EV8" s="514"/>
      <c r="EW8" s="515">
        <v>19</v>
      </c>
      <c r="EX8" s="514"/>
      <c r="EY8" s="515">
        <v>20</v>
      </c>
      <c r="EZ8" s="514"/>
      <c r="FA8" s="515">
        <v>21</v>
      </c>
      <c r="FB8" s="514"/>
      <c r="FC8" s="515">
        <v>22</v>
      </c>
      <c r="FD8" s="514"/>
      <c r="FE8" s="515">
        <v>23</v>
      </c>
      <c r="FF8" s="514"/>
      <c r="FG8" s="515">
        <v>24</v>
      </c>
      <c r="FH8" s="516"/>
      <c r="FI8" s="484"/>
      <c r="FJ8" s="502"/>
      <c r="FK8" s="503"/>
      <c r="FL8" s="503"/>
      <c r="FM8" s="503"/>
      <c r="FN8" s="503"/>
      <c r="FO8" s="504"/>
      <c r="FP8" s="517" t="s">
        <v>296</v>
      </c>
      <c r="FQ8" s="518"/>
      <c r="FR8" s="519"/>
      <c r="FS8" s="520" t="s">
        <v>297</v>
      </c>
      <c r="FT8" s="520"/>
      <c r="FU8" s="521"/>
      <c r="FV8" s="522"/>
      <c r="FW8" s="523"/>
      <c r="FX8" s="523"/>
      <c r="FY8" s="523"/>
      <c r="FZ8" s="523"/>
      <c r="GA8" s="523"/>
      <c r="GB8" s="523"/>
      <c r="GC8" s="523"/>
      <c r="GD8" s="523"/>
      <c r="GE8" s="524"/>
      <c r="GF8" s="496"/>
      <c r="GG8" s="480"/>
      <c r="GH8" s="480"/>
      <c r="GI8" s="480"/>
      <c r="GJ8" s="525" t="s">
        <v>424</v>
      </c>
      <c r="GK8" s="525"/>
      <c r="GL8" s="526"/>
      <c r="GM8" s="527"/>
      <c r="GN8" s="526"/>
      <c r="GO8" s="527"/>
      <c r="GP8" s="526"/>
      <c r="GQ8" s="526"/>
      <c r="GR8" s="526"/>
      <c r="GS8" s="526"/>
      <c r="GT8" s="525" t="s">
        <v>424</v>
      </c>
      <c r="GU8" s="525"/>
      <c r="GV8" s="414"/>
      <c r="GW8" s="480"/>
      <c r="GX8" s="483"/>
      <c r="GY8" s="480"/>
      <c r="GZ8" s="483"/>
      <c r="HA8" s="527"/>
      <c r="HB8" s="527"/>
      <c r="HC8" s="527"/>
      <c r="HD8" s="438"/>
      <c r="HE8" s="438"/>
      <c r="HF8" s="1443"/>
      <c r="HG8" s="1443"/>
    </row>
    <row r="9" spans="1:353" ht="22.5" customHeight="1">
      <c r="A9" s="529" t="s">
        <v>298</v>
      </c>
      <c r="B9" s="530" t="s">
        <v>299</v>
      </c>
      <c r="C9" s="531" t="s">
        <v>300</v>
      </c>
      <c r="D9" s="531" t="s">
        <v>301</v>
      </c>
      <c r="E9" s="532" t="s">
        <v>302</v>
      </c>
      <c r="F9" s="533" t="s">
        <v>303</v>
      </c>
      <c r="G9" s="534" t="s">
        <v>304</v>
      </c>
      <c r="H9" s="535" t="s">
        <v>305</v>
      </c>
      <c r="I9" s="536" t="s">
        <v>306</v>
      </c>
      <c r="J9" s="535" t="s">
        <v>305</v>
      </c>
      <c r="K9" s="536" t="s">
        <v>306</v>
      </c>
      <c r="L9" s="535" t="s">
        <v>305</v>
      </c>
      <c r="M9" s="536" t="s">
        <v>306</v>
      </c>
      <c r="N9" s="535" t="s">
        <v>305</v>
      </c>
      <c r="O9" s="536" t="s">
        <v>306</v>
      </c>
      <c r="P9" s="535" t="s">
        <v>305</v>
      </c>
      <c r="Q9" s="536" t="s">
        <v>306</v>
      </c>
      <c r="R9" s="535" t="s">
        <v>305</v>
      </c>
      <c r="S9" s="536" t="s">
        <v>306</v>
      </c>
      <c r="T9" s="535" t="s">
        <v>305</v>
      </c>
      <c r="U9" s="536" t="s">
        <v>306</v>
      </c>
      <c r="V9" s="535" t="s">
        <v>305</v>
      </c>
      <c r="W9" s="536" t="s">
        <v>306</v>
      </c>
      <c r="X9" s="535" t="s">
        <v>305</v>
      </c>
      <c r="Y9" s="536" t="s">
        <v>306</v>
      </c>
      <c r="Z9" s="535" t="s">
        <v>305</v>
      </c>
      <c r="AA9" s="536" t="s">
        <v>306</v>
      </c>
      <c r="AB9" s="535" t="s">
        <v>305</v>
      </c>
      <c r="AC9" s="536" t="s">
        <v>306</v>
      </c>
      <c r="AD9" s="535" t="s">
        <v>305</v>
      </c>
      <c r="AE9" s="536" t="s">
        <v>306</v>
      </c>
      <c r="AF9" s="535" t="s">
        <v>305</v>
      </c>
      <c r="AG9" s="536" t="s">
        <v>306</v>
      </c>
      <c r="AH9" s="535" t="s">
        <v>305</v>
      </c>
      <c r="AI9" s="536" t="s">
        <v>306</v>
      </c>
      <c r="AJ9" s="535" t="s">
        <v>305</v>
      </c>
      <c r="AK9" s="536" t="s">
        <v>306</v>
      </c>
      <c r="AL9" s="535" t="s">
        <v>305</v>
      </c>
      <c r="AM9" s="536" t="s">
        <v>306</v>
      </c>
      <c r="AN9" s="535" t="s">
        <v>305</v>
      </c>
      <c r="AO9" s="536" t="s">
        <v>306</v>
      </c>
      <c r="AP9" s="535" t="s">
        <v>305</v>
      </c>
      <c r="AQ9" s="536" t="s">
        <v>306</v>
      </c>
      <c r="AR9" s="535" t="s">
        <v>305</v>
      </c>
      <c r="AS9" s="536" t="s">
        <v>306</v>
      </c>
      <c r="AT9" s="535" t="s">
        <v>305</v>
      </c>
      <c r="AU9" s="536" t="s">
        <v>306</v>
      </c>
      <c r="AV9" s="535" t="s">
        <v>305</v>
      </c>
      <c r="AW9" s="536" t="s">
        <v>306</v>
      </c>
      <c r="AX9" s="535" t="s">
        <v>305</v>
      </c>
      <c r="AY9" s="536" t="s">
        <v>306</v>
      </c>
      <c r="AZ9" s="535" t="s">
        <v>305</v>
      </c>
      <c r="BA9" s="536" t="s">
        <v>306</v>
      </c>
      <c r="BB9" s="537" t="s">
        <v>307</v>
      </c>
      <c r="BC9" s="500"/>
      <c r="BD9" s="529" t="s">
        <v>298</v>
      </c>
      <c r="BE9" s="530" t="s">
        <v>299</v>
      </c>
      <c r="BF9" s="531" t="s">
        <v>300</v>
      </c>
      <c r="BG9" s="531" t="s">
        <v>301</v>
      </c>
      <c r="BH9" s="532" t="s">
        <v>302</v>
      </c>
      <c r="BI9" s="533" t="s">
        <v>303</v>
      </c>
      <c r="BJ9" s="534" t="s">
        <v>304</v>
      </c>
      <c r="BK9" s="535" t="s">
        <v>305</v>
      </c>
      <c r="BL9" s="536" t="s">
        <v>306</v>
      </c>
      <c r="BM9" s="535" t="s">
        <v>305</v>
      </c>
      <c r="BN9" s="536" t="s">
        <v>306</v>
      </c>
      <c r="BO9" s="535" t="s">
        <v>305</v>
      </c>
      <c r="BP9" s="536" t="s">
        <v>306</v>
      </c>
      <c r="BQ9" s="535" t="s">
        <v>305</v>
      </c>
      <c r="BR9" s="536" t="s">
        <v>306</v>
      </c>
      <c r="BS9" s="535" t="s">
        <v>305</v>
      </c>
      <c r="BT9" s="536" t="s">
        <v>306</v>
      </c>
      <c r="BU9" s="535" t="s">
        <v>305</v>
      </c>
      <c r="BV9" s="536" t="s">
        <v>306</v>
      </c>
      <c r="BW9" s="535" t="s">
        <v>305</v>
      </c>
      <c r="BX9" s="536" t="s">
        <v>306</v>
      </c>
      <c r="BY9" s="535" t="s">
        <v>305</v>
      </c>
      <c r="BZ9" s="536" t="s">
        <v>306</v>
      </c>
      <c r="CA9" s="535" t="s">
        <v>305</v>
      </c>
      <c r="CB9" s="536" t="s">
        <v>306</v>
      </c>
      <c r="CC9" s="535" t="s">
        <v>305</v>
      </c>
      <c r="CD9" s="536" t="s">
        <v>306</v>
      </c>
      <c r="CE9" s="535" t="s">
        <v>305</v>
      </c>
      <c r="CF9" s="536" t="s">
        <v>306</v>
      </c>
      <c r="CG9" s="535" t="s">
        <v>305</v>
      </c>
      <c r="CH9" s="536" t="s">
        <v>306</v>
      </c>
      <c r="CI9" s="535" t="s">
        <v>305</v>
      </c>
      <c r="CJ9" s="536" t="s">
        <v>306</v>
      </c>
      <c r="CK9" s="535" t="s">
        <v>305</v>
      </c>
      <c r="CL9" s="536" t="s">
        <v>306</v>
      </c>
      <c r="CM9" s="535" t="s">
        <v>305</v>
      </c>
      <c r="CN9" s="536" t="s">
        <v>306</v>
      </c>
      <c r="CO9" s="535" t="s">
        <v>305</v>
      </c>
      <c r="CP9" s="536" t="s">
        <v>306</v>
      </c>
      <c r="CQ9" s="535" t="s">
        <v>305</v>
      </c>
      <c r="CR9" s="536" t="s">
        <v>306</v>
      </c>
      <c r="CS9" s="535" t="s">
        <v>305</v>
      </c>
      <c r="CT9" s="536" t="s">
        <v>306</v>
      </c>
      <c r="CU9" s="535" t="s">
        <v>305</v>
      </c>
      <c r="CV9" s="536" t="s">
        <v>306</v>
      </c>
      <c r="CW9" s="535" t="s">
        <v>305</v>
      </c>
      <c r="CX9" s="536" t="s">
        <v>306</v>
      </c>
      <c r="CY9" s="535" t="s">
        <v>305</v>
      </c>
      <c r="CZ9" s="536" t="s">
        <v>306</v>
      </c>
      <c r="DA9" s="535" t="s">
        <v>305</v>
      </c>
      <c r="DB9" s="536" t="s">
        <v>306</v>
      </c>
      <c r="DC9" s="535" t="s">
        <v>305</v>
      </c>
      <c r="DD9" s="536" t="s">
        <v>306</v>
      </c>
      <c r="DE9" s="537" t="s">
        <v>307</v>
      </c>
      <c r="DF9" s="500"/>
      <c r="DG9" s="529" t="s">
        <v>298</v>
      </c>
      <c r="DH9" s="530" t="s">
        <v>299</v>
      </c>
      <c r="DI9" s="531" t="s">
        <v>300</v>
      </c>
      <c r="DJ9" s="531" t="s">
        <v>301</v>
      </c>
      <c r="DK9" s="532" t="s">
        <v>302</v>
      </c>
      <c r="DL9" s="533" t="s">
        <v>303</v>
      </c>
      <c r="DM9" s="534" t="s">
        <v>304</v>
      </c>
      <c r="DN9" s="535" t="s">
        <v>305</v>
      </c>
      <c r="DO9" s="536" t="s">
        <v>306</v>
      </c>
      <c r="DP9" s="535" t="s">
        <v>305</v>
      </c>
      <c r="DQ9" s="536" t="s">
        <v>306</v>
      </c>
      <c r="DR9" s="535" t="s">
        <v>305</v>
      </c>
      <c r="DS9" s="536" t="s">
        <v>306</v>
      </c>
      <c r="DT9" s="535" t="s">
        <v>305</v>
      </c>
      <c r="DU9" s="536" t="s">
        <v>306</v>
      </c>
      <c r="DV9" s="535" t="s">
        <v>305</v>
      </c>
      <c r="DW9" s="536" t="s">
        <v>306</v>
      </c>
      <c r="DX9" s="535" t="s">
        <v>305</v>
      </c>
      <c r="DY9" s="536" t="s">
        <v>306</v>
      </c>
      <c r="DZ9" s="535" t="s">
        <v>305</v>
      </c>
      <c r="EA9" s="536" t="s">
        <v>306</v>
      </c>
      <c r="EB9" s="535" t="s">
        <v>305</v>
      </c>
      <c r="EC9" s="536" t="s">
        <v>306</v>
      </c>
      <c r="ED9" s="535" t="s">
        <v>305</v>
      </c>
      <c r="EE9" s="536" t="s">
        <v>306</v>
      </c>
      <c r="EF9" s="535" t="s">
        <v>305</v>
      </c>
      <c r="EG9" s="536" t="s">
        <v>306</v>
      </c>
      <c r="EH9" s="535" t="s">
        <v>305</v>
      </c>
      <c r="EI9" s="536" t="s">
        <v>306</v>
      </c>
      <c r="EJ9" s="535" t="s">
        <v>305</v>
      </c>
      <c r="EK9" s="536" t="s">
        <v>306</v>
      </c>
      <c r="EL9" s="535" t="s">
        <v>305</v>
      </c>
      <c r="EM9" s="536" t="s">
        <v>306</v>
      </c>
      <c r="EN9" s="535" t="s">
        <v>305</v>
      </c>
      <c r="EO9" s="536" t="s">
        <v>306</v>
      </c>
      <c r="EP9" s="535" t="s">
        <v>305</v>
      </c>
      <c r="EQ9" s="536" t="s">
        <v>306</v>
      </c>
      <c r="ER9" s="535" t="s">
        <v>305</v>
      </c>
      <c r="ES9" s="536" t="s">
        <v>306</v>
      </c>
      <c r="ET9" s="535" t="s">
        <v>305</v>
      </c>
      <c r="EU9" s="536" t="s">
        <v>306</v>
      </c>
      <c r="EV9" s="535" t="s">
        <v>305</v>
      </c>
      <c r="EW9" s="536" t="s">
        <v>306</v>
      </c>
      <c r="EX9" s="535" t="s">
        <v>305</v>
      </c>
      <c r="EY9" s="536" t="s">
        <v>306</v>
      </c>
      <c r="EZ9" s="535" t="s">
        <v>305</v>
      </c>
      <c r="FA9" s="536" t="s">
        <v>306</v>
      </c>
      <c r="FB9" s="535" t="s">
        <v>305</v>
      </c>
      <c r="FC9" s="536" t="s">
        <v>306</v>
      </c>
      <c r="FD9" s="535" t="s">
        <v>305</v>
      </c>
      <c r="FE9" s="536" t="s">
        <v>306</v>
      </c>
      <c r="FF9" s="535" t="s">
        <v>305</v>
      </c>
      <c r="FG9" s="536" t="s">
        <v>306</v>
      </c>
      <c r="FH9" s="537" t="s">
        <v>307</v>
      </c>
      <c r="FI9" s="538"/>
      <c r="FJ9" s="539" t="s">
        <v>298</v>
      </c>
      <c r="FK9" s="530" t="s">
        <v>299</v>
      </c>
      <c r="FL9" s="531" t="s">
        <v>300</v>
      </c>
      <c r="FM9" s="531" t="s">
        <v>301</v>
      </c>
      <c r="FN9" s="532" t="s">
        <v>302</v>
      </c>
      <c r="FO9" s="533" t="s">
        <v>303</v>
      </c>
      <c r="FP9" s="540" t="s">
        <v>45</v>
      </c>
      <c r="FQ9" s="541" t="s">
        <v>306</v>
      </c>
      <c r="FR9" s="535" t="s">
        <v>307</v>
      </c>
      <c r="FS9" s="542" t="s">
        <v>45</v>
      </c>
      <c r="FT9" s="541" t="s">
        <v>306</v>
      </c>
      <c r="FU9" s="535" t="s">
        <v>307</v>
      </c>
      <c r="FV9" s="522"/>
      <c r="FW9" s="523"/>
      <c r="FX9" s="523"/>
      <c r="FY9" s="523"/>
      <c r="FZ9" s="523"/>
      <c r="GA9" s="523"/>
      <c r="GB9" s="523"/>
      <c r="GC9" s="523"/>
      <c r="GD9" s="543"/>
      <c r="GE9" s="544"/>
      <c r="GF9" s="496"/>
      <c r="GG9" s="545"/>
      <c r="GH9" s="545"/>
      <c r="GI9" s="545"/>
      <c r="GJ9" s="526"/>
      <c r="GK9" s="527" t="s">
        <v>449</v>
      </c>
      <c r="GL9" s="526"/>
      <c r="GM9" s="527"/>
      <c r="GN9" s="526"/>
      <c r="GO9" s="546">
        <v>0.92</v>
      </c>
      <c r="GP9" s="526"/>
      <c r="GQ9" s="526"/>
      <c r="GR9" s="526"/>
      <c r="GS9" s="526"/>
      <c r="GT9" s="547"/>
      <c r="GU9" s="480" t="s">
        <v>450</v>
      </c>
      <c r="GV9" s="414"/>
      <c r="GW9" s="480"/>
      <c r="GX9" s="548">
        <v>1</v>
      </c>
      <c r="GY9" s="480"/>
      <c r="GZ9" s="483"/>
      <c r="HA9" s="527"/>
      <c r="HB9" s="527"/>
      <c r="HC9" s="527"/>
      <c r="HD9" s="438"/>
      <c r="HE9" s="438"/>
      <c r="HF9" s="1447"/>
      <c r="HG9" s="1447"/>
    </row>
    <row r="10" spans="1:353" ht="20.100000000000001" customHeight="1">
      <c r="A10" s="549"/>
      <c r="B10" s="550"/>
      <c r="C10" s="551"/>
      <c r="D10" s="552"/>
      <c r="E10" s="550"/>
      <c r="F10" s="551"/>
      <c r="G10" s="553"/>
      <c r="H10" s="554"/>
      <c r="I10" s="555"/>
      <c r="J10" s="556"/>
      <c r="K10" s="557"/>
      <c r="L10" s="556"/>
      <c r="M10" s="557"/>
      <c r="N10" s="556"/>
      <c r="O10" s="557"/>
      <c r="P10" s="556"/>
      <c r="Q10" s="557"/>
      <c r="R10" s="556"/>
      <c r="S10" s="557"/>
      <c r="T10" s="556"/>
      <c r="U10" s="557"/>
      <c r="V10" s="556"/>
      <c r="W10" s="557"/>
      <c r="X10" s="556"/>
      <c r="Y10" s="557"/>
      <c r="Z10" s="556"/>
      <c r="AA10" s="557"/>
      <c r="AB10" s="556"/>
      <c r="AC10" s="557"/>
      <c r="AD10" s="556"/>
      <c r="AE10" s="557"/>
      <c r="AF10" s="556"/>
      <c r="AG10" s="557"/>
      <c r="AH10" s="556"/>
      <c r="AI10" s="557"/>
      <c r="AJ10" s="556"/>
      <c r="AK10" s="557"/>
      <c r="AL10" s="556"/>
      <c r="AM10" s="557"/>
      <c r="AN10" s="556"/>
      <c r="AO10" s="557"/>
      <c r="AP10" s="556"/>
      <c r="AQ10" s="557"/>
      <c r="AR10" s="556"/>
      <c r="AS10" s="557"/>
      <c r="AT10" s="556"/>
      <c r="AU10" s="557"/>
      <c r="AV10" s="556"/>
      <c r="AW10" s="557"/>
      <c r="AX10" s="556"/>
      <c r="AY10" s="557"/>
      <c r="AZ10" s="556"/>
      <c r="BA10" s="557"/>
      <c r="BB10" s="558"/>
      <c r="BC10" s="559"/>
      <c r="BD10" s="549"/>
      <c r="BE10" s="550"/>
      <c r="BF10" s="551"/>
      <c r="BG10" s="552"/>
      <c r="BH10" s="550"/>
      <c r="BI10" s="551"/>
      <c r="BJ10" s="553"/>
      <c r="BK10" s="554"/>
      <c r="BL10" s="555"/>
      <c r="BM10" s="556"/>
      <c r="BN10" s="557"/>
      <c r="BO10" s="556"/>
      <c r="BP10" s="557"/>
      <c r="BQ10" s="556"/>
      <c r="BR10" s="557"/>
      <c r="BS10" s="556"/>
      <c r="BT10" s="557"/>
      <c r="BU10" s="556"/>
      <c r="BV10" s="557"/>
      <c r="BW10" s="556"/>
      <c r="BX10" s="557"/>
      <c r="BY10" s="556"/>
      <c r="BZ10" s="557"/>
      <c r="CA10" s="556"/>
      <c r="CB10" s="557"/>
      <c r="CC10" s="556"/>
      <c r="CD10" s="557"/>
      <c r="CE10" s="556"/>
      <c r="CF10" s="557"/>
      <c r="CG10" s="556"/>
      <c r="CH10" s="557"/>
      <c r="CI10" s="556"/>
      <c r="CJ10" s="557"/>
      <c r="CK10" s="556"/>
      <c r="CL10" s="557"/>
      <c r="CM10" s="556"/>
      <c r="CN10" s="557"/>
      <c r="CO10" s="556"/>
      <c r="CP10" s="557"/>
      <c r="CQ10" s="556"/>
      <c r="CR10" s="557"/>
      <c r="CS10" s="556"/>
      <c r="CT10" s="557"/>
      <c r="CU10" s="556"/>
      <c r="CV10" s="557"/>
      <c r="CW10" s="556"/>
      <c r="CX10" s="557"/>
      <c r="CY10" s="556"/>
      <c r="CZ10" s="557"/>
      <c r="DA10" s="556"/>
      <c r="DB10" s="557"/>
      <c r="DC10" s="556"/>
      <c r="DD10" s="557"/>
      <c r="DE10" s="558"/>
      <c r="DF10" s="559"/>
      <c r="DG10" s="549"/>
      <c r="DH10" s="550"/>
      <c r="DI10" s="551"/>
      <c r="DJ10" s="552"/>
      <c r="DK10" s="550"/>
      <c r="DL10" s="551"/>
      <c r="DM10" s="553"/>
      <c r="DN10" s="554"/>
      <c r="DO10" s="555"/>
      <c r="DP10" s="556"/>
      <c r="DQ10" s="557"/>
      <c r="DR10" s="556"/>
      <c r="DS10" s="557"/>
      <c r="DT10" s="556"/>
      <c r="DU10" s="557"/>
      <c r="DV10" s="556"/>
      <c r="DW10" s="557"/>
      <c r="DX10" s="556"/>
      <c r="DY10" s="557"/>
      <c r="DZ10" s="556"/>
      <c r="EA10" s="557"/>
      <c r="EB10" s="556"/>
      <c r="EC10" s="557"/>
      <c r="ED10" s="556"/>
      <c r="EE10" s="557"/>
      <c r="EF10" s="556"/>
      <c r="EG10" s="557"/>
      <c r="EH10" s="556"/>
      <c r="EI10" s="557"/>
      <c r="EJ10" s="556"/>
      <c r="EK10" s="557"/>
      <c r="EL10" s="556"/>
      <c r="EM10" s="557"/>
      <c r="EN10" s="556"/>
      <c r="EO10" s="557"/>
      <c r="EP10" s="556"/>
      <c r="EQ10" s="557"/>
      <c r="ER10" s="556"/>
      <c r="ES10" s="557"/>
      <c r="ET10" s="556"/>
      <c r="EU10" s="557"/>
      <c r="EV10" s="556"/>
      <c r="EW10" s="557"/>
      <c r="EX10" s="556"/>
      <c r="EY10" s="557"/>
      <c r="EZ10" s="556"/>
      <c r="FA10" s="557"/>
      <c r="FB10" s="556"/>
      <c r="FC10" s="557"/>
      <c r="FD10" s="556"/>
      <c r="FE10" s="557"/>
      <c r="FF10" s="556"/>
      <c r="FG10" s="557"/>
      <c r="FH10" s="558"/>
      <c r="FI10" s="560"/>
      <c r="FJ10" s="561"/>
      <c r="FK10" s="550"/>
      <c r="FL10" s="551"/>
      <c r="FM10" s="552"/>
      <c r="FN10" s="550"/>
      <c r="FO10" s="551"/>
      <c r="FP10" s="562"/>
      <c r="FQ10" s="555"/>
      <c r="FR10" s="554" t="s">
        <v>308</v>
      </c>
      <c r="FS10" s="563"/>
      <c r="FT10" s="555"/>
      <c r="FU10" s="564" t="s">
        <v>308</v>
      </c>
      <c r="FV10" s="565" t="s">
        <v>309</v>
      </c>
      <c r="FW10" s="1265"/>
      <c r="FX10" s="1266" t="s">
        <v>310</v>
      </c>
      <c r="FY10" s="1267"/>
      <c r="FZ10" s="1268" t="s">
        <v>311</v>
      </c>
      <c r="GA10" s="1269"/>
      <c r="GB10" s="1270" t="s">
        <v>561</v>
      </c>
      <c r="GC10" s="1271"/>
      <c r="GD10" s="573" t="s">
        <v>361</v>
      </c>
      <c r="GE10" s="574"/>
      <c r="GF10" s="496"/>
      <c r="GG10" s="545"/>
      <c r="GH10" s="545"/>
      <c r="GI10" s="545"/>
      <c r="GJ10" s="575"/>
      <c r="GK10" s="497"/>
      <c r="GL10" s="497"/>
      <c r="GM10" s="576"/>
      <c r="GN10" s="576"/>
      <c r="GO10" s="575"/>
      <c r="GP10" s="497"/>
      <c r="GQ10" s="497"/>
      <c r="GR10" s="497"/>
      <c r="GS10" s="497"/>
      <c r="GT10" s="497"/>
      <c r="GU10" s="497"/>
      <c r="GV10" s="497"/>
      <c r="GW10" s="576"/>
      <c r="GX10" s="576"/>
      <c r="GY10" s="576"/>
      <c r="GZ10" s="575"/>
      <c r="HA10" s="497"/>
      <c r="HB10" s="497"/>
      <c r="HC10" s="577"/>
      <c r="HD10" s="792"/>
      <c r="HE10" s="438"/>
      <c r="HF10" s="1447"/>
      <c r="HG10" s="1447"/>
    </row>
    <row r="11" spans="1:353" ht="20.100000000000001" customHeight="1">
      <c r="A11" s="549"/>
      <c r="B11" s="578"/>
      <c r="C11" s="579"/>
      <c r="D11" s="580"/>
      <c r="E11" s="578"/>
      <c r="F11" s="579"/>
      <c r="G11" s="581"/>
      <c r="H11" s="582"/>
      <c r="I11" s="583"/>
      <c r="J11" s="584"/>
      <c r="K11" s="585"/>
      <c r="L11" s="584"/>
      <c r="M11" s="585"/>
      <c r="N11" s="584"/>
      <c r="O11" s="585"/>
      <c r="P11" s="584"/>
      <c r="Q11" s="585"/>
      <c r="R11" s="584"/>
      <c r="S11" s="585"/>
      <c r="T11" s="584"/>
      <c r="U11" s="585"/>
      <c r="V11" s="584"/>
      <c r="W11" s="585"/>
      <c r="X11" s="584"/>
      <c r="Y11" s="585"/>
      <c r="Z11" s="584"/>
      <c r="AA11" s="585"/>
      <c r="AB11" s="584"/>
      <c r="AC11" s="585"/>
      <c r="AD11" s="584"/>
      <c r="AE11" s="585"/>
      <c r="AF11" s="584"/>
      <c r="AG11" s="585"/>
      <c r="AH11" s="584"/>
      <c r="AI11" s="585"/>
      <c r="AJ11" s="584"/>
      <c r="AK11" s="585"/>
      <c r="AL11" s="584"/>
      <c r="AM11" s="585"/>
      <c r="AN11" s="584"/>
      <c r="AO11" s="585"/>
      <c r="AP11" s="584"/>
      <c r="AQ11" s="585"/>
      <c r="AR11" s="584"/>
      <c r="AS11" s="585"/>
      <c r="AT11" s="584"/>
      <c r="AU11" s="585"/>
      <c r="AV11" s="584"/>
      <c r="AW11" s="585"/>
      <c r="AX11" s="584"/>
      <c r="AY11" s="585"/>
      <c r="AZ11" s="584"/>
      <c r="BA11" s="585"/>
      <c r="BB11" s="586"/>
      <c r="BC11" s="559"/>
      <c r="BD11" s="549"/>
      <c r="BE11" s="578"/>
      <c r="BF11" s="579"/>
      <c r="BG11" s="580"/>
      <c r="BH11" s="578"/>
      <c r="BI11" s="579"/>
      <c r="BJ11" s="581"/>
      <c r="BK11" s="582"/>
      <c r="BL11" s="583"/>
      <c r="BM11" s="584"/>
      <c r="BN11" s="585"/>
      <c r="BO11" s="584"/>
      <c r="BP11" s="585"/>
      <c r="BQ11" s="584"/>
      <c r="BR11" s="585"/>
      <c r="BS11" s="584"/>
      <c r="BT11" s="585"/>
      <c r="BU11" s="584"/>
      <c r="BV11" s="585"/>
      <c r="BW11" s="584"/>
      <c r="BX11" s="585"/>
      <c r="BY11" s="584"/>
      <c r="BZ11" s="585"/>
      <c r="CA11" s="584"/>
      <c r="CB11" s="585"/>
      <c r="CC11" s="584"/>
      <c r="CD11" s="585"/>
      <c r="CE11" s="584"/>
      <c r="CF11" s="585"/>
      <c r="CG11" s="584"/>
      <c r="CH11" s="585"/>
      <c r="CI11" s="584"/>
      <c r="CJ11" s="585"/>
      <c r="CK11" s="584"/>
      <c r="CL11" s="585"/>
      <c r="CM11" s="584"/>
      <c r="CN11" s="585"/>
      <c r="CO11" s="584"/>
      <c r="CP11" s="585"/>
      <c r="CQ11" s="584"/>
      <c r="CR11" s="585"/>
      <c r="CS11" s="584"/>
      <c r="CT11" s="585"/>
      <c r="CU11" s="584"/>
      <c r="CV11" s="585"/>
      <c r="CW11" s="584"/>
      <c r="CX11" s="585"/>
      <c r="CY11" s="584"/>
      <c r="CZ11" s="585"/>
      <c r="DA11" s="584"/>
      <c r="DB11" s="585"/>
      <c r="DC11" s="584"/>
      <c r="DD11" s="585"/>
      <c r="DE11" s="586"/>
      <c r="DF11" s="559"/>
      <c r="DG11" s="549"/>
      <c r="DH11" s="578"/>
      <c r="DI11" s="579"/>
      <c r="DJ11" s="580"/>
      <c r="DK11" s="578"/>
      <c r="DL11" s="579"/>
      <c r="DM11" s="581"/>
      <c r="DN11" s="582"/>
      <c r="DO11" s="583"/>
      <c r="DP11" s="584"/>
      <c r="DQ11" s="585"/>
      <c r="DR11" s="584"/>
      <c r="DS11" s="585"/>
      <c r="DT11" s="584"/>
      <c r="DU11" s="585"/>
      <c r="DV11" s="584"/>
      <c r="DW11" s="585"/>
      <c r="DX11" s="584"/>
      <c r="DY11" s="585"/>
      <c r="DZ11" s="584"/>
      <c r="EA11" s="585"/>
      <c r="EB11" s="584"/>
      <c r="EC11" s="585"/>
      <c r="ED11" s="584"/>
      <c r="EE11" s="585"/>
      <c r="EF11" s="584"/>
      <c r="EG11" s="585"/>
      <c r="EH11" s="584"/>
      <c r="EI11" s="585"/>
      <c r="EJ11" s="584"/>
      <c r="EK11" s="585"/>
      <c r="EL11" s="584"/>
      <c r="EM11" s="585"/>
      <c r="EN11" s="584"/>
      <c r="EO11" s="585"/>
      <c r="EP11" s="584"/>
      <c r="EQ11" s="585"/>
      <c r="ER11" s="584"/>
      <c r="ES11" s="585"/>
      <c r="ET11" s="584"/>
      <c r="EU11" s="585"/>
      <c r="EV11" s="584"/>
      <c r="EW11" s="585"/>
      <c r="EX11" s="584"/>
      <c r="EY11" s="585"/>
      <c r="EZ11" s="584"/>
      <c r="FA11" s="585"/>
      <c r="FB11" s="584"/>
      <c r="FC11" s="585"/>
      <c r="FD11" s="584"/>
      <c r="FE11" s="585"/>
      <c r="FF11" s="584"/>
      <c r="FG11" s="585"/>
      <c r="FH11" s="586"/>
      <c r="FI11" s="560"/>
      <c r="FJ11" s="561"/>
      <c r="FK11" s="578"/>
      <c r="FL11" s="579"/>
      <c r="FM11" s="580"/>
      <c r="FN11" s="578"/>
      <c r="FO11" s="579"/>
      <c r="FP11" s="587"/>
      <c r="FQ11" s="583"/>
      <c r="FR11" s="582" t="s">
        <v>521</v>
      </c>
      <c r="FS11" s="588"/>
      <c r="FT11" s="583"/>
      <c r="FU11" s="589" t="s">
        <v>308</v>
      </c>
      <c r="FV11" s="590"/>
      <c r="FW11" s="591"/>
      <c r="FX11" s="592"/>
      <c r="FY11" s="593"/>
      <c r="FZ11" s="594"/>
      <c r="GA11" s="595"/>
      <c r="GB11" s="596"/>
      <c r="GC11" s="597"/>
      <c r="GD11" s="596"/>
      <c r="GE11" s="598"/>
      <c r="GF11" s="496"/>
      <c r="GG11" s="599"/>
      <c r="GH11" s="599"/>
      <c r="GI11" s="599"/>
      <c r="GJ11" s="526"/>
      <c r="GK11" s="577" t="s">
        <v>451</v>
      </c>
      <c r="GL11" s="414"/>
      <c r="GM11" s="480"/>
      <c r="GN11" s="483"/>
      <c r="GO11" s="480"/>
      <c r="GP11" s="414"/>
      <c r="GQ11" s="526"/>
      <c r="GR11" s="526"/>
      <c r="GS11" s="526"/>
      <c r="GT11" s="545"/>
      <c r="GU11" s="577" t="s">
        <v>452</v>
      </c>
      <c r="GV11" s="414"/>
      <c r="GW11" s="480"/>
      <c r="GX11" s="483"/>
      <c r="GY11" s="480"/>
      <c r="GZ11" s="414"/>
      <c r="HA11" s="527"/>
      <c r="HB11" s="527"/>
      <c r="HC11" s="410"/>
      <c r="HD11" s="792"/>
      <c r="HE11" s="438"/>
      <c r="HF11" s="1447"/>
      <c r="HG11" s="1447"/>
    </row>
    <row r="12" spans="1:353" ht="20.100000000000001" customHeight="1">
      <c r="A12" s="549"/>
      <c r="B12" s="578"/>
      <c r="C12" s="579"/>
      <c r="D12" s="580"/>
      <c r="E12" s="578"/>
      <c r="F12" s="579"/>
      <c r="G12" s="581"/>
      <c r="H12" s="582"/>
      <c r="I12" s="583"/>
      <c r="J12" s="584"/>
      <c r="K12" s="585"/>
      <c r="L12" s="584"/>
      <c r="M12" s="585"/>
      <c r="N12" s="584"/>
      <c r="O12" s="585"/>
      <c r="P12" s="584"/>
      <c r="Q12" s="585"/>
      <c r="R12" s="584"/>
      <c r="S12" s="585"/>
      <c r="T12" s="584"/>
      <c r="U12" s="585"/>
      <c r="V12" s="584"/>
      <c r="W12" s="585"/>
      <c r="X12" s="584"/>
      <c r="Y12" s="585"/>
      <c r="Z12" s="584"/>
      <c r="AA12" s="585"/>
      <c r="AB12" s="584"/>
      <c r="AC12" s="585"/>
      <c r="AD12" s="584"/>
      <c r="AE12" s="585"/>
      <c r="AF12" s="584"/>
      <c r="AG12" s="585"/>
      <c r="AH12" s="584"/>
      <c r="AI12" s="585"/>
      <c r="AJ12" s="584"/>
      <c r="AK12" s="585"/>
      <c r="AL12" s="584"/>
      <c r="AM12" s="585"/>
      <c r="AN12" s="584"/>
      <c r="AO12" s="585"/>
      <c r="AP12" s="584"/>
      <c r="AQ12" s="585"/>
      <c r="AR12" s="584"/>
      <c r="AS12" s="585"/>
      <c r="AT12" s="584"/>
      <c r="AU12" s="585"/>
      <c r="AV12" s="584"/>
      <c r="AW12" s="585"/>
      <c r="AX12" s="584"/>
      <c r="AY12" s="585"/>
      <c r="AZ12" s="584"/>
      <c r="BA12" s="585"/>
      <c r="BB12" s="586"/>
      <c r="BC12" s="559"/>
      <c r="BD12" s="549"/>
      <c r="BE12" s="578"/>
      <c r="BF12" s="579"/>
      <c r="BG12" s="580"/>
      <c r="BH12" s="578"/>
      <c r="BI12" s="579"/>
      <c r="BJ12" s="581"/>
      <c r="BK12" s="582"/>
      <c r="BL12" s="583"/>
      <c r="BM12" s="584"/>
      <c r="BN12" s="585"/>
      <c r="BO12" s="584"/>
      <c r="BP12" s="585"/>
      <c r="BQ12" s="584"/>
      <c r="BR12" s="585"/>
      <c r="BS12" s="584"/>
      <c r="BT12" s="585"/>
      <c r="BU12" s="584"/>
      <c r="BV12" s="585"/>
      <c r="BW12" s="584"/>
      <c r="BX12" s="585"/>
      <c r="BY12" s="584"/>
      <c r="BZ12" s="585"/>
      <c r="CA12" s="584"/>
      <c r="CB12" s="585"/>
      <c r="CC12" s="584"/>
      <c r="CD12" s="585"/>
      <c r="CE12" s="584"/>
      <c r="CF12" s="585"/>
      <c r="CG12" s="584"/>
      <c r="CH12" s="585"/>
      <c r="CI12" s="584"/>
      <c r="CJ12" s="585"/>
      <c r="CK12" s="584"/>
      <c r="CL12" s="585"/>
      <c r="CM12" s="584"/>
      <c r="CN12" s="585"/>
      <c r="CO12" s="584"/>
      <c r="CP12" s="585"/>
      <c r="CQ12" s="584"/>
      <c r="CR12" s="585"/>
      <c r="CS12" s="584"/>
      <c r="CT12" s="585"/>
      <c r="CU12" s="584"/>
      <c r="CV12" s="585"/>
      <c r="CW12" s="584"/>
      <c r="CX12" s="585"/>
      <c r="CY12" s="584"/>
      <c r="CZ12" s="585"/>
      <c r="DA12" s="584"/>
      <c r="DB12" s="585"/>
      <c r="DC12" s="584"/>
      <c r="DD12" s="585"/>
      <c r="DE12" s="586"/>
      <c r="DF12" s="559"/>
      <c r="DG12" s="549"/>
      <c r="DH12" s="578"/>
      <c r="DI12" s="579"/>
      <c r="DJ12" s="580"/>
      <c r="DK12" s="578"/>
      <c r="DL12" s="579"/>
      <c r="DM12" s="581"/>
      <c r="DN12" s="582"/>
      <c r="DO12" s="583"/>
      <c r="DP12" s="584"/>
      <c r="DQ12" s="585"/>
      <c r="DR12" s="584"/>
      <c r="DS12" s="585"/>
      <c r="DT12" s="584"/>
      <c r="DU12" s="585"/>
      <c r="DV12" s="584"/>
      <c r="DW12" s="585"/>
      <c r="DX12" s="584"/>
      <c r="DY12" s="585"/>
      <c r="DZ12" s="584"/>
      <c r="EA12" s="585"/>
      <c r="EB12" s="584"/>
      <c r="EC12" s="585"/>
      <c r="ED12" s="584"/>
      <c r="EE12" s="585"/>
      <c r="EF12" s="584"/>
      <c r="EG12" s="585"/>
      <c r="EH12" s="584"/>
      <c r="EI12" s="585"/>
      <c r="EJ12" s="584"/>
      <c r="EK12" s="585"/>
      <c r="EL12" s="584"/>
      <c r="EM12" s="585"/>
      <c r="EN12" s="584"/>
      <c r="EO12" s="585"/>
      <c r="EP12" s="584"/>
      <c r="EQ12" s="585"/>
      <c r="ER12" s="584"/>
      <c r="ES12" s="585"/>
      <c r="ET12" s="584"/>
      <c r="EU12" s="585"/>
      <c r="EV12" s="584"/>
      <c r="EW12" s="585"/>
      <c r="EX12" s="584"/>
      <c r="EY12" s="585"/>
      <c r="EZ12" s="584"/>
      <c r="FA12" s="585"/>
      <c r="FB12" s="584"/>
      <c r="FC12" s="585"/>
      <c r="FD12" s="584"/>
      <c r="FE12" s="585"/>
      <c r="FF12" s="584"/>
      <c r="FG12" s="585"/>
      <c r="FH12" s="586"/>
      <c r="FI12" s="560"/>
      <c r="FJ12" s="561"/>
      <c r="FK12" s="578"/>
      <c r="FL12" s="579"/>
      <c r="FM12" s="580"/>
      <c r="FN12" s="578"/>
      <c r="FO12" s="579"/>
      <c r="FP12" s="587"/>
      <c r="FQ12" s="583"/>
      <c r="FR12" s="582" t="s">
        <v>308</v>
      </c>
      <c r="FS12" s="588"/>
      <c r="FT12" s="583"/>
      <c r="FU12" s="589" t="s">
        <v>308</v>
      </c>
      <c r="FV12" s="590"/>
      <c r="FW12" s="591"/>
      <c r="FX12" s="592"/>
      <c r="FY12" s="593"/>
      <c r="FZ12" s="594"/>
      <c r="GA12" s="595"/>
      <c r="GB12" s="596"/>
      <c r="GC12" s="597"/>
      <c r="GD12" s="596"/>
      <c r="GE12" s="598"/>
      <c r="GF12" s="496"/>
      <c r="GG12" s="599"/>
      <c r="GH12" s="599"/>
      <c r="GI12" s="599"/>
      <c r="GJ12" s="414"/>
      <c r="GK12" s="600" t="s">
        <v>370</v>
      </c>
      <c r="GL12" s="601"/>
      <c r="GM12" s="602" t="s">
        <v>453</v>
      </c>
      <c r="GN12" s="603" t="s">
        <v>454</v>
      </c>
      <c r="GO12" s="604" t="s">
        <v>455</v>
      </c>
      <c r="GP12" s="605" t="s">
        <v>456</v>
      </c>
      <c r="GQ12" s="604" t="s">
        <v>457</v>
      </c>
      <c r="GR12" s="604" t="s">
        <v>458</v>
      </c>
      <c r="GS12" s="606"/>
      <c r="GT12" s="545"/>
      <c r="GU12" s="600" t="s">
        <v>370</v>
      </c>
      <c r="GV12" s="601"/>
      <c r="GW12" s="602" t="s">
        <v>453</v>
      </c>
      <c r="GX12" s="607" t="s">
        <v>459</v>
      </c>
      <c r="GY12" s="608"/>
      <c r="GZ12" s="609" t="s">
        <v>455</v>
      </c>
      <c r="HA12" s="610" t="s">
        <v>460</v>
      </c>
      <c r="HB12" s="611"/>
      <c r="HC12" s="612"/>
      <c r="HD12" s="792"/>
      <c r="HE12" s="438"/>
      <c r="HF12" s="1447"/>
      <c r="HG12" s="1447"/>
    </row>
    <row r="13" spans="1:353" ht="20.100000000000001" customHeight="1">
      <c r="A13" s="549"/>
      <c r="B13" s="613"/>
      <c r="C13" s="614"/>
      <c r="D13" s="615"/>
      <c r="E13" s="613"/>
      <c r="F13" s="614"/>
      <c r="G13" s="616"/>
      <c r="H13" s="617"/>
      <c r="I13" s="618"/>
      <c r="J13" s="619"/>
      <c r="K13" s="620"/>
      <c r="L13" s="619"/>
      <c r="M13" s="620"/>
      <c r="N13" s="619"/>
      <c r="O13" s="620"/>
      <c r="P13" s="619"/>
      <c r="Q13" s="620"/>
      <c r="R13" s="619"/>
      <c r="S13" s="620"/>
      <c r="T13" s="619"/>
      <c r="U13" s="620"/>
      <c r="V13" s="619"/>
      <c r="W13" s="620"/>
      <c r="X13" s="619"/>
      <c r="Y13" s="620"/>
      <c r="Z13" s="619"/>
      <c r="AA13" s="620"/>
      <c r="AB13" s="619"/>
      <c r="AC13" s="620"/>
      <c r="AD13" s="619"/>
      <c r="AE13" s="620"/>
      <c r="AF13" s="619"/>
      <c r="AG13" s="620"/>
      <c r="AH13" s="619"/>
      <c r="AI13" s="620"/>
      <c r="AJ13" s="619"/>
      <c r="AK13" s="620"/>
      <c r="AL13" s="619"/>
      <c r="AM13" s="620"/>
      <c r="AN13" s="619"/>
      <c r="AO13" s="620"/>
      <c r="AP13" s="619"/>
      <c r="AQ13" s="620"/>
      <c r="AR13" s="619"/>
      <c r="AS13" s="620"/>
      <c r="AT13" s="619"/>
      <c r="AU13" s="620"/>
      <c r="AV13" s="619"/>
      <c r="AW13" s="620"/>
      <c r="AX13" s="619"/>
      <c r="AY13" s="620"/>
      <c r="AZ13" s="619"/>
      <c r="BA13" s="620"/>
      <c r="BB13" s="621"/>
      <c r="BC13" s="559"/>
      <c r="BD13" s="549"/>
      <c r="BE13" s="613"/>
      <c r="BF13" s="614"/>
      <c r="BG13" s="615"/>
      <c r="BH13" s="613"/>
      <c r="BI13" s="614"/>
      <c r="BJ13" s="616"/>
      <c r="BK13" s="617"/>
      <c r="BL13" s="618"/>
      <c r="BM13" s="619"/>
      <c r="BN13" s="620"/>
      <c r="BO13" s="619"/>
      <c r="BP13" s="620"/>
      <c r="BQ13" s="619"/>
      <c r="BR13" s="620"/>
      <c r="BS13" s="619"/>
      <c r="BT13" s="620"/>
      <c r="BU13" s="619"/>
      <c r="BV13" s="620"/>
      <c r="BW13" s="619"/>
      <c r="BX13" s="620"/>
      <c r="BY13" s="619"/>
      <c r="BZ13" s="620"/>
      <c r="CA13" s="619"/>
      <c r="CB13" s="620"/>
      <c r="CC13" s="619"/>
      <c r="CD13" s="620"/>
      <c r="CE13" s="619"/>
      <c r="CF13" s="620"/>
      <c r="CG13" s="619"/>
      <c r="CH13" s="620"/>
      <c r="CI13" s="619"/>
      <c r="CJ13" s="620"/>
      <c r="CK13" s="619"/>
      <c r="CL13" s="620"/>
      <c r="CM13" s="619"/>
      <c r="CN13" s="620"/>
      <c r="CO13" s="619"/>
      <c r="CP13" s="620"/>
      <c r="CQ13" s="619"/>
      <c r="CR13" s="620"/>
      <c r="CS13" s="619"/>
      <c r="CT13" s="620"/>
      <c r="CU13" s="619"/>
      <c r="CV13" s="620"/>
      <c r="CW13" s="619"/>
      <c r="CX13" s="620"/>
      <c r="CY13" s="619"/>
      <c r="CZ13" s="620"/>
      <c r="DA13" s="619"/>
      <c r="DB13" s="620"/>
      <c r="DC13" s="619"/>
      <c r="DD13" s="620"/>
      <c r="DE13" s="621"/>
      <c r="DF13" s="559"/>
      <c r="DG13" s="549"/>
      <c r="DH13" s="613"/>
      <c r="DI13" s="614"/>
      <c r="DJ13" s="615"/>
      <c r="DK13" s="613"/>
      <c r="DL13" s="614"/>
      <c r="DM13" s="616"/>
      <c r="DN13" s="617"/>
      <c r="DO13" s="618"/>
      <c r="DP13" s="619"/>
      <c r="DQ13" s="620"/>
      <c r="DR13" s="619"/>
      <c r="DS13" s="620"/>
      <c r="DT13" s="619"/>
      <c r="DU13" s="620"/>
      <c r="DV13" s="619"/>
      <c r="DW13" s="620"/>
      <c r="DX13" s="619"/>
      <c r="DY13" s="620"/>
      <c r="DZ13" s="619"/>
      <c r="EA13" s="620"/>
      <c r="EB13" s="619"/>
      <c r="EC13" s="620"/>
      <c r="ED13" s="619"/>
      <c r="EE13" s="620"/>
      <c r="EF13" s="619"/>
      <c r="EG13" s="620"/>
      <c r="EH13" s="619"/>
      <c r="EI13" s="620"/>
      <c r="EJ13" s="619"/>
      <c r="EK13" s="620"/>
      <c r="EL13" s="619"/>
      <c r="EM13" s="620"/>
      <c r="EN13" s="619"/>
      <c r="EO13" s="620"/>
      <c r="EP13" s="619"/>
      <c r="EQ13" s="620"/>
      <c r="ER13" s="619"/>
      <c r="ES13" s="620"/>
      <c r="ET13" s="619"/>
      <c r="EU13" s="620"/>
      <c r="EV13" s="619"/>
      <c r="EW13" s="620"/>
      <c r="EX13" s="619"/>
      <c r="EY13" s="620"/>
      <c r="EZ13" s="619"/>
      <c r="FA13" s="620"/>
      <c r="FB13" s="619"/>
      <c r="FC13" s="620"/>
      <c r="FD13" s="619"/>
      <c r="FE13" s="620"/>
      <c r="FF13" s="619"/>
      <c r="FG13" s="620"/>
      <c r="FH13" s="621"/>
      <c r="FI13" s="560"/>
      <c r="FJ13" s="561"/>
      <c r="FK13" s="613"/>
      <c r="FL13" s="614"/>
      <c r="FM13" s="615"/>
      <c r="FN13" s="613"/>
      <c r="FO13" s="614"/>
      <c r="FP13" s="622"/>
      <c r="FQ13" s="618"/>
      <c r="FR13" s="617" t="s">
        <v>308</v>
      </c>
      <c r="FS13" s="623"/>
      <c r="FT13" s="618"/>
      <c r="FU13" s="624" t="s">
        <v>308</v>
      </c>
      <c r="FV13" s="590"/>
      <c r="FW13" s="591"/>
      <c r="FX13" s="592"/>
      <c r="FY13" s="593"/>
      <c r="FZ13" s="594"/>
      <c r="GA13" s="595"/>
      <c r="GB13" s="596"/>
      <c r="GC13" s="597"/>
      <c r="GD13" s="596"/>
      <c r="GE13" s="598"/>
      <c r="GF13" s="496"/>
      <c r="GG13" s="599"/>
      <c r="GH13" s="599"/>
      <c r="GI13" s="599"/>
      <c r="GJ13" s="414"/>
      <c r="GK13" s="625"/>
      <c r="GL13" s="626"/>
      <c r="GM13" s="627"/>
      <c r="GN13" s="628"/>
      <c r="GO13" s="629"/>
      <c r="GP13" s="629"/>
      <c r="GQ13" s="630">
        <v>0</v>
      </c>
      <c r="GR13" s="631">
        <v>0</v>
      </c>
      <c r="GS13" s="575"/>
      <c r="GT13" s="414"/>
      <c r="GU13" s="625"/>
      <c r="GV13" s="626"/>
      <c r="GW13" s="632"/>
      <c r="GX13" s="633"/>
      <c r="GY13" s="634"/>
      <c r="GZ13" s="635"/>
      <c r="HA13" s="636">
        <v>0</v>
      </c>
      <c r="HB13" s="637"/>
      <c r="HC13" s="527"/>
      <c r="HD13" s="792"/>
      <c r="HE13" s="438"/>
      <c r="HF13" s="387"/>
      <c r="HG13" s="387"/>
    </row>
    <row r="14" spans="1:353" ht="20.100000000000001" customHeight="1">
      <c r="A14" s="638"/>
      <c r="B14" s="639"/>
      <c r="C14" s="639"/>
      <c r="D14" s="640" t="s">
        <v>313</v>
      </c>
      <c r="E14" s="639"/>
      <c r="F14" s="639"/>
      <c r="G14" s="641"/>
      <c r="H14" s="642">
        <f>SUM(H10:H13)</f>
        <v>0</v>
      </c>
      <c r="I14" s="728"/>
      <c r="J14" s="642">
        <f>SUM(J10:J13)</f>
        <v>0</v>
      </c>
      <c r="K14" s="728"/>
      <c r="L14" s="642">
        <f>SUM(L10:L13)</f>
        <v>0</v>
      </c>
      <c r="M14" s="728"/>
      <c r="N14" s="642">
        <f>SUM(N10:N13)</f>
        <v>0</v>
      </c>
      <c r="O14" s="728"/>
      <c r="P14" s="642">
        <f>SUM(P10:P13)</f>
        <v>0</v>
      </c>
      <c r="Q14" s="728"/>
      <c r="R14" s="642">
        <f>SUM(R10:R13)</f>
        <v>0</v>
      </c>
      <c r="S14" s="728"/>
      <c r="T14" s="642">
        <f>SUM(T10:T13)</f>
        <v>0</v>
      </c>
      <c r="U14" s="728"/>
      <c r="V14" s="642">
        <f>SUM(V10:V13)</f>
        <v>0</v>
      </c>
      <c r="W14" s="728"/>
      <c r="X14" s="642">
        <f>SUM(X10:X13)</f>
        <v>0</v>
      </c>
      <c r="Y14" s="728"/>
      <c r="Z14" s="642">
        <f>SUM(Z10:Z13)</f>
        <v>0</v>
      </c>
      <c r="AA14" s="728"/>
      <c r="AB14" s="642">
        <f>SUM(AB10:AB13)</f>
        <v>0</v>
      </c>
      <c r="AC14" s="728"/>
      <c r="AD14" s="642">
        <f>SUM(AD10:AD13)</f>
        <v>0</v>
      </c>
      <c r="AE14" s="728"/>
      <c r="AF14" s="642">
        <f>SUM(AF10:AF13)</f>
        <v>0</v>
      </c>
      <c r="AG14" s="728"/>
      <c r="AH14" s="642">
        <f>SUM(AH10:AH13)</f>
        <v>0</v>
      </c>
      <c r="AI14" s="728"/>
      <c r="AJ14" s="642">
        <f>SUM(AJ10:AJ13)</f>
        <v>0</v>
      </c>
      <c r="AK14" s="728"/>
      <c r="AL14" s="642">
        <f>SUM(AL10:AL13)</f>
        <v>0</v>
      </c>
      <c r="AM14" s="728"/>
      <c r="AN14" s="642">
        <f>SUM(AN10:AN13)</f>
        <v>0</v>
      </c>
      <c r="AO14" s="728"/>
      <c r="AP14" s="642">
        <f>SUM(AP10:AP13)</f>
        <v>0</v>
      </c>
      <c r="AQ14" s="728"/>
      <c r="AR14" s="642">
        <f>SUM(AR10:AR13)</f>
        <v>0</v>
      </c>
      <c r="AS14" s="728"/>
      <c r="AT14" s="642">
        <f>SUM(AT10:AT13)</f>
        <v>0</v>
      </c>
      <c r="AU14" s="728"/>
      <c r="AV14" s="642">
        <f>SUM(AV10:AV13)</f>
        <v>0</v>
      </c>
      <c r="AW14" s="728"/>
      <c r="AX14" s="642">
        <f>SUM(AX10:AX13)</f>
        <v>0</v>
      </c>
      <c r="AY14" s="728"/>
      <c r="AZ14" s="642">
        <f>SUM(AZ10:AZ13)</f>
        <v>0</v>
      </c>
      <c r="BA14" s="728"/>
      <c r="BB14" s="644">
        <f>SUM(BB10:BB13)</f>
        <v>0</v>
      </c>
      <c r="BC14" s="645"/>
      <c r="BD14" s="638"/>
      <c r="BE14" s="639"/>
      <c r="BF14" s="639"/>
      <c r="BG14" s="640" t="s">
        <v>556</v>
      </c>
      <c r="BH14" s="639"/>
      <c r="BI14" s="639"/>
      <c r="BJ14" s="641"/>
      <c r="BK14" s="642">
        <f>SUM(BK10:BK13)</f>
        <v>0</v>
      </c>
      <c r="BL14" s="728"/>
      <c r="BM14" s="642">
        <f>SUM(BM10:BM13)</f>
        <v>0</v>
      </c>
      <c r="BN14" s="728"/>
      <c r="BO14" s="642">
        <f>SUM(BO10:BO13)</f>
        <v>0</v>
      </c>
      <c r="BP14" s="728"/>
      <c r="BQ14" s="642">
        <f>SUM(BQ10:BQ13)</f>
        <v>0</v>
      </c>
      <c r="BR14" s="728"/>
      <c r="BS14" s="642">
        <f>SUM(BS10:BS13)</f>
        <v>0</v>
      </c>
      <c r="BT14" s="728"/>
      <c r="BU14" s="642">
        <f>SUM(BU10:BU13)</f>
        <v>0</v>
      </c>
      <c r="BV14" s="728"/>
      <c r="BW14" s="642">
        <f>SUM(BW10:BW13)</f>
        <v>0</v>
      </c>
      <c r="BX14" s="728"/>
      <c r="BY14" s="642">
        <f>SUM(BY10:BY13)</f>
        <v>0</v>
      </c>
      <c r="BZ14" s="728"/>
      <c r="CA14" s="642">
        <f>SUM(CA10:CA13)</f>
        <v>0</v>
      </c>
      <c r="CB14" s="728"/>
      <c r="CC14" s="642">
        <f>SUM(CC10:CC13)</f>
        <v>0</v>
      </c>
      <c r="CD14" s="728"/>
      <c r="CE14" s="642">
        <f>SUM(CE10:CE13)</f>
        <v>0</v>
      </c>
      <c r="CF14" s="728"/>
      <c r="CG14" s="642">
        <f>SUM(CG10:CG13)</f>
        <v>0</v>
      </c>
      <c r="CH14" s="728"/>
      <c r="CI14" s="642">
        <f>SUM(CI10:CI13)</f>
        <v>0</v>
      </c>
      <c r="CJ14" s="728"/>
      <c r="CK14" s="642">
        <f>SUM(CK10:CK13)</f>
        <v>0</v>
      </c>
      <c r="CL14" s="728"/>
      <c r="CM14" s="642">
        <f>SUM(CM10:CM13)</f>
        <v>0</v>
      </c>
      <c r="CN14" s="728"/>
      <c r="CO14" s="642">
        <f>SUM(CO10:CO13)</f>
        <v>0</v>
      </c>
      <c r="CP14" s="728"/>
      <c r="CQ14" s="642">
        <f>SUM(CQ10:CQ13)</f>
        <v>0</v>
      </c>
      <c r="CR14" s="728"/>
      <c r="CS14" s="642">
        <f>SUM(CS10:CS13)</f>
        <v>0</v>
      </c>
      <c r="CT14" s="728"/>
      <c r="CU14" s="642">
        <f>SUM(CU10:CU13)</f>
        <v>0</v>
      </c>
      <c r="CV14" s="728"/>
      <c r="CW14" s="642">
        <f>SUM(CW10:CW13)</f>
        <v>0</v>
      </c>
      <c r="CX14" s="728"/>
      <c r="CY14" s="642">
        <f>SUM(CY10:CY13)</f>
        <v>0</v>
      </c>
      <c r="CZ14" s="728"/>
      <c r="DA14" s="642">
        <f>SUM(DA10:DA13)</f>
        <v>0</v>
      </c>
      <c r="DB14" s="728"/>
      <c r="DC14" s="642">
        <f>SUM(DC10:DC13)</f>
        <v>0</v>
      </c>
      <c r="DD14" s="728"/>
      <c r="DE14" s="644">
        <f>SUM(DE10:DE13)</f>
        <v>0</v>
      </c>
      <c r="DF14" s="645"/>
      <c r="DG14" s="638"/>
      <c r="DH14" s="639"/>
      <c r="DI14" s="639"/>
      <c r="DJ14" s="640" t="s">
        <v>313</v>
      </c>
      <c r="DK14" s="639"/>
      <c r="DL14" s="639"/>
      <c r="DM14" s="641"/>
      <c r="DN14" s="642">
        <f>SUM(DN10:DN13)</f>
        <v>0</v>
      </c>
      <c r="DO14" s="728"/>
      <c r="DP14" s="642">
        <f>SUM(DP10:DP13)</f>
        <v>0</v>
      </c>
      <c r="DQ14" s="728"/>
      <c r="DR14" s="642">
        <f>SUM(DR10:DR13)</f>
        <v>0</v>
      </c>
      <c r="DS14" s="728"/>
      <c r="DT14" s="642">
        <f>SUM(DT10:DT13)</f>
        <v>0</v>
      </c>
      <c r="DU14" s="728"/>
      <c r="DV14" s="642">
        <f>SUM(DV10:DV13)</f>
        <v>0</v>
      </c>
      <c r="DW14" s="728"/>
      <c r="DX14" s="642">
        <f>SUM(DX10:DX13)</f>
        <v>0</v>
      </c>
      <c r="DY14" s="728"/>
      <c r="DZ14" s="642">
        <f>SUM(DZ10:DZ13)</f>
        <v>0</v>
      </c>
      <c r="EA14" s="728"/>
      <c r="EB14" s="642">
        <f>SUM(EB10:EB13)</f>
        <v>0</v>
      </c>
      <c r="EC14" s="728"/>
      <c r="ED14" s="642">
        <f>SUM(ED10:ED13)</f>
        <v>0</v>
      </c>
      <c r="EE14" s="728"/>
      <c r="EF14" s="642">
        <f>SUM(EF10:EF13)</f>
        <v>0</v>
      </c>
      <c r="EG14" s="728"/>
      <c r="EH14" s="642">
        <f>SUM(EH10:EH13)</f>
        <v>0</v>
      </c>
      <c r="EI14" s="728"/>
      <c r="EJ14" s="642">
        <f>SUM(EJ10:EJ13)</f>
        <v>0</v>
      </c>
      <c r="EK14" s="728"/>
      <c r="EL14" s="642">
        <f>SUM(EL10:EL13)</f>
        <v>0</v>
      </c>
      <c r="EM14" s="728"/>
      <c r="EN14" s="642">
        <f>SUM(EN10:EN13)</f>
        <v>0</v>
      </c>
      <c r="EO14" s="728"/>
      <c r="EP14" s="642">
        <f>SUM(EP10:EP13)</f>
        <v>0</v>
      </c>
      <c r="EQ14" s="728"/>
      <c r="ER14" s="642">
        <f>SUM(ER10:ER13)</f>
        <v>0</v>
      </c>
      <c r="ES14" s="728"/>
      <c r="ET14" s="642">
        <f>SUM(ET10:ET13)</f>
        <v>0</v>
      </c>
      <c r="EU14" s="728"/>
      <c r="EV14" s="642">
        <f>SUM(EV10:EV13)</f>
        <v>0</v>
      </c>
      <c r="EW14" s="728"/>
      <c r="EX14" s="642">
        <f>SUM(EX10:EX13)</f>
        <v>0</v>
      </c>
      <c r="EY14" s="728"/>
      <c r="EZ14" s="642">
        <f>SUM(EZ10:EZ13)</f>
        <v>0</v>
      </c>
      <c r="FA14" s="728"/>
      <c r="FB14" s="642">
        <f>SUM(FB10:FB13)</f>
        <v>0</v>
      </c>
      <c r="FC14" s="728"/>
      <c r="FD14" s="642">
        <f>SUM(FD10:FD13)</f>
        <v>0</v>
      </c>
      <c r="FE14" s="728"/>
      <c r="FF14" s="642">
        <f>SUM(FF10:FF13)</f>
        <v>0</v>
      </c>
      <c r="FG14" s="728"/>
      <c r="FH14" s="644">
        <f>SUM(FH10:FH13)</f>
        <v>0</v>
      </c>
      <c r="FI14" s="646"/>
      <c r="FJ14" s="561"/>
      <c r="FK14" s="639"/>
      <c r="FL14" s="639"/>
      <c r="FM14" s="640" t="s">
        <v>313</v>
      </c>
      <c r="FN14" s="639"/>
      <c r="FO14" s="639"/>
      <c r="FP14" s="647"/>
      <c r="FQ14" s="648"/>
      <c r="FR14" s="642">
        <f>SUM(FR10:FR13)</f>
        <v>0</v>
      </c>
      <c r="FS14" s="649"/>
      <c r="FT14" s="648"/>
      <c r="FU14" s="650">
        <f>SUM(FU10:FU13)</f>
        <v>0</v>
      </c>
      <c r="FV14" s="590"/>
      <c r="FW14" s="591"/>
      <c r="FX14" s="592"/>
      <c r="FY14" s="593"/>
      <c r="FZ14" s="594"/>
      <c r="GA14" s="595"/>
      <c r="GB14" s="596"/>
      <c r="GC14" s="597"/>
      <c r="GD14" s="596"/>
      <c r="GE14" s="598"/>
      <c r="GF14" s="651"/>
      <c r="GG14" s="652"/>
      <c r="GH14" s="652"/>
      <c r="GI14" s="652"/>
      <c r="GJ14" s="612"/>
      <c r="GK14" s="625"/>
      <c r="GL14" s="626"/>
      <c r="GM14" s="627"/>
      <c r="GN14" s="628"/>
      <c r="GO14" s="629"/>
      <c r="GP14" s="653"/>
      <c r="GQ14" s="630">
        <v>0</v>
      </c>
      <c r="GR14" s="631">
        <v>0</v>
      </c>
      <c r="GS14" s="612"/>
      <c r="GT14" s="654"/>
      <c r="GU14" s="625"/>
      <c r="GV14" s="626"/>
      <c r="GW14" s="632"/>
      <c r="GX14" s="633"/>
      <c r="GY14" s="634"/>
      <c r="GZ14" s="635"/>
      <c r="HA14" s="636">
        <v>0</v>
      </c>
      <c r="HB14" s="637"/>
      <c r="HC14" s="527"/>
      <c r="HD14" s="1446"/>
      <c r="HE14" s="416"/>
      <c r="HF14" s="416"/>
      <c r="HG14" s="416"/>
    </row>
    <row r="15" spans="1:353" ht="24" customHeight="1">
      <c r="A15" s="529" t="s">
        <v>314</v>
      </c>
      <c r="B15" s="655" t="s">
        <v>299</v>
      </c>
      <c r="C15" s="656" t="s">
        <v>300</v>
      </c>
      <c r="D15" s="657" t="s">
        <v>301</v>
      </c>
      <c r="E15" s="657" t="s">
        <v>315</v>
      </c>
      <c r="F15" s="658" t="s">
        <v>112</v>
      </c>
      <c r="G15" s="659" t="s">
        <v>525</v>
      </c>
      <c r="H15" s="660" t="s">
        <v>317</v>
      </c>
      <c r="I15" s="661" t="s">
        <v>318</v>
      </c>
      <c r="J15" s="660" t="s">
        <v>317</v>
      </c>
      <c r="K15" s="661" t="s">
        <v>318</v>
      </c>
      <c r="L15" s="660" t="s">
        <v>317</v>
      </c>
      <c r="M15" s="661" t="s">
        <v>318</v>
      </c>
      <c r="N15" s="660" t="s">
        <v>317</v>
      </c>
      <c r="O15" s="661" t="s">
        <v>318</v>
      </c>
      <c r="P15" s="660" t="s">
        <v>317</v>
      </c>
      <c r="Q15" s="661" t="s">
        <v>318</v>
      </c>
      <c r="R15" s="660" t="s">
        <v>317</v>
      </c>
      <c r="S15" s="661" t="s">
        <v>318</v>
      </c>
      <c r="T15" s="660" t="s">
        <v>317</v>
      </c>
      <c r="U15" s="661" t="s">
        <v>318</v>
      </c>
      <c r="V15" s="660" t="s">
        <v>317</v>
      </c>
      <c r="W15" s="661" t="s">
        <v>318</v>
      </c>
      <c r="X15" s="660" t="s">
        <v>317</v>
      </c>
      <c r="Y15" s="661" t="s">
        <v>318</v>
      </c>
      <c r="Z15" s="660" t="s">
        <v>317</v>
      </c>
      <c r="AA15" s="661" t="s">
        <v>318</v>
      </c>
      <c r="AB15" s="660" t="s">
        <v>528</v>
      </c>
      <c r="AC15" s="661" t="s">
        <v>318</v>
      </c>
      <c r="AD15" s="660" t="s">
        <v>528</v>
      </c>
      <c r="AE15" s="661" t="s">
        <v>318</v>
      </c>
      <c r="AF15" s="660" t="s">
        <v>317</v>
      </c>
      <c r="AG15" s="661" t="s">
        <v>318</v>
      </c>
      <c r="AH15" s="660" t="s">
        <v>317</v>
      </c>
      <c r="AI15" s="661" t="s">
        <v>318</v>
      </c>
      <c r="AJ15" s="660" t="s">
        <v>317</v>
      </c>
      <c r="AK15" s="661" t="s">
        <v>318</v>
      </c>
      <c r="AL15" s="660" t="s">
        <v>528</v>
      </c>
      <c r="AM15" s="661" t="s">
        <v>318</v>
      </c>
      <c r="AN15" s="660" t="s">
        <v>317</v>
      </c>
      <c r="AO15" s="661" t="s">
        <v>318</v>
      </c>
      <c r="AP15" s="660" t="s">
        <v>317</v>
      </c>
      <c r="AQ15" s="661" t="s">
        <v>318</v>
      </c>
      <c r="AR15" s="660" t="s">
        <v>317</v>
      </c>
      <c r="AS15" s="661" t="s">
        <v>318</v>
      </c>
      <c r="AT15" s="660" t="s">
        <v>317</v>
      </c>
      <c r="AU15" s="661" t="s">
        <v>318</v>
      </c>
      <c r="AV15" s="660" t="s">
        <v>317</v>
      </c>
      <c r="AW15" s="661" t="s">
        <v>318</v>
      </c>
      <c r="AX15" s="660" t="s">
        <v>317</v>
      </c>
      <c r="AY15" s="661" t="s">
        <v>318</v>
      </c>
      <c r="AZ15" s="660" t="s">
        <v>317</v>
      </c>
      <c r="BA15" s="661" t="s">
        <v>318</v>
      </c>
      <c r="BB15" s="662" t="s">
        <v>319</v>
      </c>
      <c r="BC15" s="663"/>
      <c r="BD15" s="529" t="s">
        <v>314</v>
      </c>
      <c r="BE15" s="655" t="s">
        <v>299</v>
      </c>
      <c r="BF15" s="656" t="s">
        <v>300</v>
      </c>
      <c r="BG15" s="657" t="s">
        <v>301</v>
      </c>
      <c r="BH15" s="657" t="s">
        <v>315</v>
      </c>
      <c r="BI15" s="658" t="s">
        <v>112</v>
      </c>
      <c r="BJ15" s="659" t="s">
        <v>316</v>
      </c>
      <c r="BK15" s="660" t="s">
        <v>317</v>
      </c>
      <c r="BL15" s="661" t="s">
        <v>318</v>
      </c>
      <c r="BM15" s="660" t="s">
        <v>317</v>
      </c>
      <c r="BN15" s="661" t="s">
        <v>318</v>
      </c>
      <c r="BO15" s="660" t="s">
        <v>317</v>
      </c>
      <c r="BP15" s="661" t="s">
        <v>318</v>
      </c>
      <c r="BQ15" s="660" t="s">
        <v>317</v>
      </c>
      <c r="BR15" s="661" t="s">
        <v>318</v>
      </c>
      <c r="BS15" s="660" t="s">
        <v>317</v>
      </c>
      <c r="BT15" s="661" t="s">
        <v>318</v>
      </c>
      <c r="BU15" s="660" t="s">
        <v>528</v>
      </c>
      <c r="BV15" s="661" t="s">
        <v>318</v>
      </c>
      <c r="BW15" s="660" t="s">
        <v>317</v>
      </c>
      <c r="BX15" s="661" t="s">
        <v>318</v>
      </c>
      <c r="BY15" s="660" t="s">
        <v>317</v>
      </c>
      <c r="BZ15" s="661" t="s">
        <v>318</v>
      </c>
      <c r="CA15" s="660" t="s">
        <v>317</v>
      </c>
      <c r="CB15" s="661" t="s">
        <v>318</v>
      </c>
      <c r="CC15" s="660" t="s">
        <v>317</v>
      </c>
      <c r="CD15" s="661" t="s">
        <v>318</v>
      </c>
      <c r="CE15" s="660" t="s">
        <v>317</v>
      </c>
      <c r="CF15" s="661" t="s">
        <v>318</v>
      </c>
      <c r="CG15" s="660" t="s">
        <v>317</v>
      </c>
      <c r="CH15" s="661" t="s">
        <v>318</v>
      </c>
      <c r="CI15" s="660" t="s">
        <v>317</v>
      </c>
      <c r="CJ15" s="661" t="s">
        <v>318</v>
      </c>
      <c r="CK15" s="660" t="s">
        <v>317</v>
      </c>
      <c r="CL15" s="661" t="s">
        <v>318</v>
      </c>
      <c r="CM15" s="660" t="s">
        <v>317</v>
      </c>
      <c r="CN15" s="661" t="s">
        <v>318</v>
      </c>
      <c r="CO15" s="660" t="s">
        <v>317</v>
      </c>
      <c r="CP15" s="661" t="s">
        <v>318</v>
      </c>
      <c r="CQ15" s="660" t="s">
        <v>317</v>
      </c>
      <c r="CR15" s="661" t="s">
        <v>318</v>
      </c>
      <c r="CS15" s="660" t="s">
        <v>317</v>
      </c>
      <c r="CT15" s="661" t="s">
        <v>318</v>
      </c>
      <c r="CU15" s="660" t="s">
        <v>317</v>
      </c>
      <c r="CV15" s="661" t="s">
        <v>318</v>
      </c>
      <c r="CW15" s="660" t="s">
        <v>317</v>
      </c>
      <c r="CX15" s="661" t="s">
        <v>318</v>
      </c>
      <c r="CY15" s="660" t="s">
        <v>317</v>
      </c>
      <c r="CZ15" s="661" t="s">
        <v>318</v>
      </c>
      <c r="DA15" s="660" t="s">
        <v>317</v>
      </c>
      <c r="DB15" s="661" t="s">
        <v>318</v>
      </c>
      <c r="DC15" s="660" t="s">
        <v>317</v>
      </c>
      <c r="DD15" s="661" t="s">
        <v>318</v>
      </c>
      <c r="DE15" s="662" t="s">
        <v>319</v>
      </c>
      <c r="DF15" s="663"/>
      <c r="DG15" s="529" t="s">
        <v>314</v>
      </c>
      <c r="DH15" s="655" t="s">
        <v>299</v>
      </c>
      <c r="DI15" s="656" t="s">
        <v>300</v>
      </c>
      <c r="DJ15" s="657" t="s">
        <v>301</v>
      </c>
      <c r="DK15" s="657" t="s">
        <v>315</v>
      </c>
      <c r="DL15" s="658" t="s">
        <v>112</v>
      </c>
      <c r="DM15" s="659" t="s">
        <v>316</v>
      </c>
      <c r="DN15" s="660" t="s">
        <v>317</v>
      </c>
      <c r="DO15" s="661" t="s">
        <v>318</v>
      </c>
      <c r="DP15" s="660" t="s">
        <v>317</v>
      </c>
      <c r="DQ15" s="661" t="s">
        <v>318</v>
      </c>
      <c r="DR15" s="660" t="s">
        <v>317</v>
      </c>
      <c r="DS15" s="661" t="s">
        <v>318</v>
      </c>
      <c r="DT15" s="660" t="s">
        <v>317</v>
      </c>
      <c r="DU15" s="661" t="s">
        <v>318</v>
      </c>
      <c r="DV15" s="660" t="s">
        <v>317</v>
      </c>
      <c r="DW15" s="661" t="s">
        <v>318</v>
      </c>
      <c r="DX15" s="660" t="s">
        <v>317</v>
      </c>
      <c r="DY15" s="661" t="s">
        <v>318</v>
      </c>
      <c r="DZ15" s="660" t="s">
        <v>317</v>
      </c>
      <c r="EA15" s="661" t="s">
        <v>318</v>
      </c>
      <c r="EB15" s="660" t="s">
        <v>317</v>
      </c>
      <c r="EC15" s="661" t="s">
        <v>318</v>
      </c>
      <c r="ED15" s="660" t="s">
        <v>317</v>
      </c>
      <c r="EE15" s="661" t="s">
        <v>318</v>
      </c>
      <c r="EF15" s="660" t="s">
        <v>317</v>
      </c>
      <c r="EG15" s="661" t="s">
        <v>318</v>
      </c>
      <c r="EH15" s="660" t="s">
        <v>317</v>
      </c>
      <c r="EI15" s="661" t="s">
        <v>318</v>
      </c>
      <c r="EJ15" s="660" t="s">
        <v>317</v>
      </c>
      <c r="EK15" s="661" t="s">
        <v>318</v>
      </c>
      <c r="EL15" s="660" t="s">
        <v>528</v>
      </c>
      <c r="EM15" s="661" t="s">
        <v>318</v>
      </c>
      <c r="EN15" s="660" t="s">
        <v>317</v>
      </c>
      <c r="EO15" s="661" t="s">
        <v>318</v>
      </c>
      <c r="EP15" s="660" t="s">
        <v>317</v>
      </c>
      <c r="EQ15" s="661" t="s">
        <v>318</v>
      </c>
      <c r="ER15" s="660" t="s">
        <v>317</v>
      </c>
      <c r="ES15" s="661" t="s">
        <v>318</v>
      </c>
      <c r="ET15" s="660" t="s">
        <v>317</v>
      </c>
      <c r="EU15" s="661" t="s">
        <v>318</v>
      </c>
      <c r="EV15" s="660" t="s">
        <v>317</v>
      </c>
      <c r="EW15" s="661" t="s">
        <v>318</v>
      </c>
      <c r="EX15" s="660" t="s">
        <v>317</v>
      </c>
      <c r="EY15" s="661" t="s">
        <v>318</v>
      </c>
      <c r="EZ15" s="660" t="s">
        <v>317</v>
      </c>
      <c r="FA15" s="661" t="s">
        <v>318</v>
      </c>
      <c r="FB15" s="660" t="s">
        <v>317</v>
      </c>
      <c r="FC15" s="661" t="s">
        <v>318</v>
      </c>
      <c r="FD15" s="660" t="s">
        <v>528</v>
      </c>
      <c r="FE15" s="661" t="s">
        <v>318</v>
      </c>
      <c r="FF15" s="660" t="s">
        <v>317</v>
      </c>
      <c r="FG15" s="661" t="s">
        <v>318</v>
      </c>
      <c r="FH15" s="662" t="s">
        <v>319</v>
      </c>
      <c r="FI15" s="664"/>
      <c r="FJ15" s="539" t="s">
        <v>314</v>
      </c>
      <c r="FK15" s="655" t="s">
        <v>299</v>
      </c>
      <c r="FL15" s="656" t="s">
        <v>300</v>
      </c>
      <c r="FM15" s="657" t="s">
        <v>557</v>
      </c>
      <c r="FN15" s="657" t="s">
        <v>315</v>
      </c>
      <c r="FO15" s="658" t="s">
        <v>112</v>
      </c>
      <c r="FP15" s="665" t="s">
        <v>45</v>
      </c>
      <c r="FQ15" s="666" t="s">
        <v>318</v>
      </c>
      <c r="FR15" s="660" t="s">
        <v>319</v>
      </c>
      <c r="FS15" s="667" t="s">
        <v>45</v>
      </c>
      <c r="FT15" s="666" t="s">
        <v>318</v>
      </c>
      <c r="FU15" s="668" t="s">
        <v>319</v>
      </c>
      <c r="FV15" s="590"/>
      <c r="FW15" s="591"/>
      <c r="FX15" s="592"/>
      <c r="FY15" s="593"/>
      <c r="FZ15" s="594"/>
      <c r="GA15" s="595"/>
      <c r="GB15" s="596"/>
      <c r="GC15" s="597"/>
      <c r="GD15" s="596"/>
      <c r="GE15" s="598"/>
      <c r="GF15" s="669"/>
      <c r="GG15" s="670"/>
      <c r="GH15" s="670"/>
      <c r="GI15" s="670"/>
      <c r="GJ15" s="526"/>
      <c r="GK15" s="625"/>
      <c r="GL15" s="626"/>
      <c r="GM15" s="627"/>
      <c r="GN15" s="628"/>
      <c r="GO15" s="629"/>
      <c r="GP15" s="653"/>
      <c r="GQ15" s="630">
        <v>0</v>
      </c>
      <c r="GR15" s="631">
        <v>0</v>
      </c>
      <c r="GS15" s="526"/>
      <c r="GT15" s="670"/>
      <c r="GU15" s="625"/>
      <c r="GV15" s="626"/>
      <c r="GW15" s="632"/>
      <c r="GX15" s="633"/>
      <c r="GY15" s="634"/>
      <c r="GZ15" s="635"/>
      <c r="HA15" s="636">
        <v>0</v>
      </c>
      <c r="HB15" s="637"/>
      <c r="HC15" s="671"/>
      <c r="HD15" s="663"/>
      <c r="HE15" s="416"/>
      <c r="HF15" s="416"/>
      <c r="HG15" s="416"/>
    </row>
    <row r="16" spans="1:353" ht="20.100000000000001" customHeight="1">
      <c r="A16" s="549"/>
      <c r="B16" s="551" t="s">
        <v>227</v>
      </c>
      <c r="C16" s="672" t="s">
        <v>71</v>
      </c>
      <c r="D16" s="552">
        <v>22.47</v>
      </c>
      <c r="E16" s="673">
        <v>0.6</v>
      </c>
      <c r="F16" s="674"/>
      <c r="G16" s="675">
        <v>0</v>
      </c>
      <c r="H16" s="556">
        <f>ROUND(22.47*0.6*0,0)</f>
        <v>0</v>
      </c>
      <c r="I16" s="676">
        <v>0</v>
      </c>
      <c r="J16" s="556">
        <f>ROUND(22.47*0.6*0,0)</f>
        <v>0</v>
      </c>
      <c r="K16" s="676">
        <v>0</v>
      </c>
      <c r="L16" s="556">
        <f>ROUND(22.47*0.6*0,0)</f>
        <v>0</v>
      </c>
      <c r="M16" s="676">
        <v>0</v>
      </c>
      <c r="N16" s="556">
        <f>ROUND(22.47*0.6*0,0)</f>
        <v>0</v>
      </c>
      <c r="O16" s="676">
        <v>0</v>
      </c>
      <c r="P16" s="556">
        <f>ROUND(22.47*0.6*0,0)</f>
        <v>0</v>
      </c>
      <c r="Q16" s="676">
        <v>0</v>
      </c>
      <c r="R16" s="556">
        <f>ROUND(22.47*0.6*0,0)</f>
        <v>0</v>
      </c>
      <c r="S16" s="676">
        <v>0</v>
      </c>
      <c r="T16" s="556">
        <f>ROUND(22.47*0.6*0,0)</f>
        <v>0</v>
      </c>
      <c r="U16" s="676">
        <v>0</v>
      </c>
      <c r="V16" s="556">
        <f>ROUND(22.47*0.6*0,0)</f>
        <v>0</v>
      </c>
      <c r="W16" s="676">
        <v>10.5</v>
      </c>
      <c r="X16" s="556">
        <f>ROUND(22.47*0.6*10.5,0)</f>
        <v>142</v>
      </c>
      <c r="Y16" s="676">
        <v>13.2</v>
      </c>
      <c r="Z16" s="556">
        <f>ROUND(22.47*0.6*13.2,0)</f>
        <v>178</v>
      </c>
      <c r="AA16" s="676">
        <v>15</v>
      </c>
      <c r="AB16" s="556">
        <f>ROUND(22.47*0.6*15,0)</f>
        <v>202</v>
      </c>
      <c r="AC16" s="676">
        <v>15.5</v>
      </c>
      <c r="AD16" s="556">
        <f>ROUND(22.47*0.6*15.5,0)</f>
        <v>209</v>
      </c>
      <c r="AE16" s="676">
        <v>14.9</v>
      </c>
      <c r="AF16" s="556">
        <f>ROUND(22.47*0.6*14.9,0)</f>
        <v>201</v>
      </c>
      <c r="AG16" s="676">
        <v>14.2</v>
      </c>
      <c r="AH16" s="556">
        <f>ROUND(22.47*0.6*14.2,0)</f>
        <v>191</v>
      </c>
      <c r="AI16" s="676">
        <v>13.5</v>
      </c>
      <c r="AJ16" s="556">
        <f>ROUND(22.47*0.6*13.5,0)</f>
        <v>182</v>
      </c>
      <c r="AK16" s="676">
        <v>12.7</v>
      </c>
      <c r="AL16" s="556">
        <f>ROUND(22.47*0.6*12.7,0)</f>
        <v>171</v>
      </c>
      <c r="AM16" s="676">
        <v>11.6</v>
      </c>
      <c r="AN16" s="556">
        <f>ROUND(22.47*0.6*11.6,0)</f>
        <v>156</v>
      </c>
      <c r="AO16" s="676">
        <v>10.199999999999999</v>
      </c>
      <c r="AP16" s="556">
        <f>ROUND(22.47*0.6*10.2,0)</f>
        <v>138</v>
      </c>
      <c r="AQ16" s="676">
        <v>0</v>
      </c>
      <c r="AR16" s="556">
        <f>ROUND(22.47*0.6*0,0)</f>
        <v>0</v>
      </c>
      <c r="AS16" s="676">
        <v>0</v>
      </c>
      <c r="AT16" s="556">
        <f>ROUND(22.47*0.6*0,0)</f>
        <v>0</v>
      </c>
      <c r="AU16" s="676">
        <v>0</v>
      </c>
      <c r="AV16" s="556">
        <f>ROUND(22.47*0.6*0,0)</f>
        <v>0</v>
      </c>
      <c r="AW16" s="676">
        <v>0</v>
      </c>
      <c r="AX16" s="556">
        <f>ROUND(22.47*0.6*0,0)</f>
        <v>0</v>
      </c>
      <c r="AY16" s="676">
        <v>0</v>
      </c>
      <c r="AZ16" s="556">
        <f>ROUND(22.47*0.6*0,0)</f>
        <v>0</v>
      </c>
      <c r="BA16" s="676">
        <v>0</v>
      </c>
      <c r="BB16" s="677">
        <f>ROUND(22.47*0.6*0,0)</f>
        <v>0</v>
      </c>
      <c r="BC16" s="559"/>
      <c r="BD16" s="549"/>
      <c r="BE16" s="551" t="s">
        <v>227</v>
      </c>
      <c r="BF16" s="672" t="s">
        <v>71</v>
      </c>
      <c r="BG16" s="552">
        <v>22.47</v>
      </c>
      <c r="BH16" s="673">
        <v>0.6</v>
      </c>
      <c r="BI16" s="674"/>
      <c r="BJ16" s="675">
        <v>0</v>
      </c>
      <c r="BK16" s="556">
        <f>ROUND(22.47*0.6*0,0)</f>
        <v>0</v>
      </c>
      <c r="BL16" s="676">
        <v>0</v>
      </c>
      <c r="BM16" s="556">
        <f>ROUND(22.47*0.6*0,0)</f>
        <v>0</v>
      </c>
      <c r="BN16" s="676">
        <v>0</v>
      </c>
      <c r="BO16" s="556">
        <f>ROUND(22.47*0.6*0,0)</f>
        <v>0</v>
      </c>
      <c r="BP16" s="676">
        <v>0</v>
      </c>
      <c r="BQ16" s="556">
        <f>ROUND(22.47*0.6*0,0)</f>
        <v>0</v>
      </c>
      <c r="BR16" s="676">
        <v>0</v>
      </c>
      <c r="BS16" s="556">
        <f>ROUND(22.47*0.6*0,0)</f>
        <v>0</v>
      </c>
      <c r="BT16" s="676">
        <v>0</v>
      </c>
      <c r="BU16" s="556">
        <f>ROUND(22.47*0.6*0,0)</f>
        <v>0</v>
      </c>
      <c r="BV16" s="676">
        <v>0</v>
      </c>
      <c r="BW16" s="556">
        <f>ROUND(22.47*0.6*0,0)</f>
        <v>0</v>
      </c>
      <c r="BX16" s="676">
        <v>0</v>
      </c>
      <c r="BY16" s="556">
        <f>ROUND(22.47*0.6*0,0)</f>
        <v>0</v>
      </c>
      <c r="BZ16" s="676">
        <v>15.6</v>
      </c>
      <c r="CA16" s="556">
        <f>ROUND(22.47*0.6*15.6,0)</f>
        <v>210</v>
      </c>
      <c r="CB16" s="676">
        <v>18.5</v>
      </c>
      <c r="CC16" s="556">
        <f>ROUND(22.47*0.6*18.5,0)</f>
        <v>249</v>
      </c>
      <c r="CD16" s="676">
        <v>19.5</v>
      </c>
      <c r="CE16" s="556">
        <f>ROUND(22.47*0.6*19.5,0)</f>
        <v>263</v>
      </c>
      <c r="CF16" s="676">
        <v>18.8</v>
      </c>
      <c r="CG16" s="556">
        <f>ROUND(22.47*0.6*18.8,0)</f>
        <v>253</v>
      </c>
      <c r="CH16" s="676">
        <v>16.8</v>
      </c>
      <c r="CI16" s="556">
        <f>ROUND(22.47*0.6*16.8,0)</f>
        <v>226</v>
      </c>
      <c r="CJ16" s="676">
        <v>14.9</v>
      </c>
      <c r="CK16" s="556">
        <f>ROUND(22.47*0.6*14.9,0)</f>
        <v>201</v>
      </c>
      <c r="CL16" s="676">
        <v>13.6</v>
      </c>
      <c r="CM16" s="556">
        <f>ROUND(22.47*0.6*13.6,0)</f>
        <v>183</v>
      </c>
      <c r="CN16" s="676">
        <v>12.4</v>
      </c>
      <c r="CO16" s="556">
        <f>ROUND(22.47*0.6*12.4,0)</f>
        <v>167</v>
      </c>
      <c r="CP16" s="676">
        <v>11.2</v>
      </c>
      <c r="CQ16" s="556">
        <f>ROUND(22.47*0.6*11.2,0)</f>
        <v>151</v>
      </c>
      <c r="CR16" s="676">
        <v>9.9</v>
      </c>
      <c r="CS16" s="556">
        <f>ROUND(22.47*0.6*9.9,0)</f>
        <v>133</v>
      </c>
      <c r="CT16" s="676">
        <v>0</v>
      </c>
      <c r="CU16" s="556">
        <f>ROUND(22.47*0.6*0,0)</f>
        <v>0</v>
      </c>
      <c r="CV16" s="676">
        <v>0</v>
      </c>
      <c r="CW16" s="556">
        <f>ROUND(22.47*0.6*0,0)</f>
        <v>0</v>
      </c>
      <c r="CX16" s="676">
        <v>0</v>
      </c>
      <c r="CY16" s="556">
        <f>ROUND(22.47*0.6*0,0)</f>
        <v>0</v>
      </c>
      <c r="CZ16" s="676">
        <v>0</v>
      </c>
      <c r="DA16" s="556">
        <f>ROUND(22.47*0.6*0,0)</f>
        <v>0</v>
      </c>
      <c r="DB16" s="676">
        <v>0</v>
      </c>
      <c r="DC16" s="556">
        <f>ROUND(22.47*0.6*0,0)</f>
        <v>0</v>
      </c>
      <c r="DD16" s="676">
        <v>0</v>
      </c>
      <c r="DE16" s="677">
        <f>ROUND(22.47*0.6*0,0)</f>
        <v>0</v>
      </c>
      <c r="DF16" s="559"/>
      <c r="DG16" s="549"/>
      <c r="DH16" s="551" t="s">
        <v>227</v>
      </c>
      <c r="DI16" s="672" t="s">
        <v>71</v>
      </c>
      <c r="DJ16" s="552">
        <v>22.47</v>
      </c>
      <c r="DK16" s="673">
        <v>0.6</v>
      </c>
      <c r="DL16" s="674"/>
      <c r="DM16" s="675">
        <v>0</v>
      </c>
      <c r="DN16" s="556">
        <f>ROUND(22.47*0.6*0,0)</f>
        <v>0</v>
      </c>
      <c r="DO16" s="676">
        <v>0</v>
      </c>
      <c r="DP16" s="556">
        <f>ROUND(22.47*0.6*0,0)</f>
        <v>0</v>
      </c>
      <c r="DQ16" s="676">
        <v>0</v>
      </c>
      <c r="DR16" s="556">
        <f>ROUND(22.47*0.6*0,0)</f>
        <v>0</v>
      </c>
      <c r="DS16" s="676">
        <v>0</v>
      </c>
      <c r="DT16" s="556">
        <f>ROUND(22.47*0.6*0,0)</f>
        <v>0</v>
      </c>
      <c r="DU16" s="676">
        <v>0</v>
      </c>
      <c r="DV16" s="556">
        <f>ROUND(22.47*0.6*0,0)</f>
        <v>0</v>
      </c>
      <c r="DW16" s="676">
        <v>0</v>
      </c>
      <c r="DX16" s="556">
        <f>ROUND(22.47*0.6*0,0)</f>
        <v>0</v>
      </c>
      <c r="DY16" s="676">
        <v>0</v>
      </c>
      <c r="DZ16" s="556">
        <f>ROUND(22.47*0.6*0,0)</f>
        <v>0</v>
      </c>
      <c r="EA16" s="676">
        <v>0</v>
      </c>
      <c r="EB16" s="556">
        <f>ROUND(22.47*0.6*0,0)</f>
        <v>0</v>
      </c>
      <c r="EC16" s="676">
        <v>13.4</v>
      </c>
      <c r="ED16" s="556">
        <f>ROUND(22.47*0.6*13.4,0)</f>
        <v>181</v>
      </c>
      <c r="EE16" s="676">
        <v>16.600000000000001</v>
      </c>
      <c r="EF16" s="556">
        <f>ROUND(22.47*0.6*16.6,0)</f>
        <v>224</v>
      </c>
      <c r="EG16" s="676">
        <v>18</v>
      </c>
      <c r="EH16" s="556">
        <f>ROUND(22.47*0.6*18,0)</f>
        <v>243</v>
      </c>
      <c r="EI16" s="676">
        <v>17.399999999999999</v>
      </c>
      <c r="EJ16" s="556">
        <f>ROUND(22.47*0.6*17.4,0)</f>
        <v>235</v>
      </c>
      <c r="EK16" s="676">
        <v>15.3</v>
      </c>
      <c r="EL16" s="556">
        <f>ROUND(22.47*0.6*15.3,0)</f>
        <v>206</v>
      </c>
      <c r="EM16" s="676">
        <v>13.2</v>
      </c>
      <c r="EN16" s="556">
        <f>ROUND(22.47*0.6*13.2,0)</f>
        <v>178</v>
      </c>
      <c r="EO16" s="676">
        <v>11.6</v>
      </c>
      <c r="EP16" s="556">
        <f>ROUND(22.47*0.6*11.6,0)</f>
        <v>156</v>
      </c>
      <c r="EQ16" s="676">
        <v>10.199999999999999</v>
      </c>
      <c r="ER16" s="556">
        <f>ROUND(22.47*0.6*10.2,0)</f>
        <v>138</v>
      </c>
      <c r="ES16" s="676">
        <v>8.8000000000000007</v>
      </c>
      <c r="ET16" s="556">
        <f>ROUND(22.47*0.6*8.8,0)</f>
        <v>119</v>
      </c>
      <c r="EU16" s="676">
        <v>7.2</v>
      </c>
      <c r="EV16" s="556">
        <f>ROUND(22.47*0.6*7.2,0)</f>
        <v>97</v>
      </c>
      <c r="EW16" s="676">
        <v>0</v>
      </c>
      <c r="EX16" s="556">
        <f>ROUND(22.47*0.6*0,0)</f>
        <v>0</v>
      </c>
      <c r="EY16" s="676">
        <v>0</v>
      </c>
      <c r="EZ16" s="556">
        <f>ROUND(22.47*0.6*0,0)</f>
        <v>0</v>
      </c>
      <c r="FA16" s="676">
        <v>0</v>
      </c>
      <c r="FB16" s="556">
        <f>ROUND(22.47*0.6*0,0)</f>
        <v>0</v>
      </c>
      <c r="FC16" s="676">
        <v>0</v>
      </c>
      <c r="FD16" s="556">
        <f>ROUND(22.47*0.6*0,0)</f>
        <v>0</v>
      </c>
      <c r="FE16" s="676">
        <v>0</v>
      </c>
      <c r="FF16" s="556">
        <f>ROUND(22.47*0.6*0,0)</f>
        <v>0</v>
      </c>
      <c r="FG16" s="676">
        <v>0</v>
      </c>
      <c r="FH16" s="677">
        <f>ROUND(22.47*0.6*0,0)</f>
        <v>0</v>
      </c>
      <c r="FI16" s="560"/>
      <c r="FJ16" s="561"/>
      <c r="FK16" s="551" t="s">
        <v>227</v>
      </c>
      <c r="FL16" s="672" t="s">
        <v>71</v>
      </c>
      <c r="FM16" s="552">
        <v>22.47</v>
      </c>
      <c r="FN16" s="673">
        <v>0.6</v>
      </c>
      <c r="FO16" s="674"/>
      <c r="FP16" s="678">
        <v>9</v>
      </c>
      <c r="FQ16" s="679">
        <v>20</v>
      </c>
      <c r="FR16" s="556">
        <f>ROUND(22.47*0.6*20,0)</f>
        <v>270</v>
      </c>
      <c r="FS16" s="680">
        <v>9</v>
      </c>
      <c r="FT16" s="679">
        <v>20.5</v>
      </c>
      <c r="FU16" s="564">
        <f>ROUND(22.47*0.6*20.5,0)</f>
        <v>276</v>
      </c>
      <c r="FV16" s="590"/>
      <c r="FW16" s="591"/>
      <c r="FX16" s="592"/>
      <c r="FY16" s="593"/>
      <c r="FZ16" s="594"/>
      <c r="GA16" s="595"/>
      <c r="GB16" s="596"/>
      <c r="GC16" s="597"/>
      <c r="GD16" s="596"/>
      <c r="GE16" s="598"/>
      <c r="GF16" s="681"/>
      <c r="GG16" s="670"/>
      <c r="GH16" s="670"/>
      <c r="GI16" s="670"/>
      <c r="GJ16" s="414"/>
      <c r="GK16" s="625"/>
      <c r="GL16" s="626"/>
      <c r="GM16" s="627"/>
      <c r="GN16" s="628"/>
      <c r="GO16" s="629"/>
      <c r="GP16" s="653"/>
      <c r="GQ16" s="630">
        <v>0</v>
      </c>
      <c r="GR16" s="631">
        <v>0</v>
      </c>
      <c r="GS16" s="410"/>
      <c r="GT16" s="682"/>
      <c r="GU16" s="625"/>
      <c r="GV16" s="626"/>
      <c r="GW16" s="632"/>
      <c r="GX16" s="633"/>
      <c r="GY16" s="634"/>
      <c r="GZ16" s="635"/>
      <c r="HA16" s="636">
        <v>0</v>
      </c>
      <c r="HB16" s="637"/>
      <c r="HC16" s="683"/>
      <c r="HD16" s="416"/>
      <c r="HE16" s="416"/>
      <c r="HF16" s="416"/>
      <c r="HG16" s="416"/>
    </row>
    <row r="17" spans="1:218" ht="20.100000000000001" customHeight="1">
      <c r="A17" s="549"/>
      <c r="B17" s="579" t="s">
        <v>258</v>
      </c>
      <c r="C17" s="684"/>
      <c r="D17" s="580">
        <v>8.9600000000000009</v>
      </c>
      <c r="E17" s="685">
        <v>2.5</v>
      </c>
      <c r="F17" s="686"/>
      <c r="G17" s="687">
        <v>0</v>
      </c>
      <c r="H17" s="584">
        <f>ROUND(8.96*2.5*0,0)</f>
        <v>0</v>
      </c>
      <c r="I17" s="688">
        <v>0</v>
      </c>
      <c r="J17" s="584">
        <f>ROUND(8.96*2.5*0,0)</f>
        <v>0</v>
      </c>
      <c r="K17" s="688">
        <v>0</v>
      </c>
      <c r="L17" s="584">
        <f>ROUND(8.96*2.5*0,0)</f>
        <v>0</v>
      </c>
      <c r="M17" s="688">
        <v>0</v>
      </c>
      <c r="N17" s="584">
        <f>ROUND(8.96*2.5*0,0)</f>
        <v>0</v>
      </c>
      <c r="O17" s="688">
        <v>0</v>
      </c>
      <c r="P17" s="584">
        <f>ROUND(8.96*2.5*0,0)</f>
        <v>0</v>
      </c>
      <c r="Q17" s="688">
        <v>0</v>
      </c>
      <c r="R17" s="584">
        <f>ROUND(8.96*2.5*0,0)</f>
        <v>0</v>
      </c>
      <c r="S17" s="688">
        <v>0</v>
      </c>
      <c r="T17" s="584">
        <f>ROUND(8.96*2.5*0,0)</f>
        <v>0</v>
      </c>
      <c r="U17" s="688">
        <v>0</v>
      </c>
      <c r="V17" s="584">
        <f>ROUND(8.96*2.5*0,0)</f>
        <v>0</v>
      </c>
      <c r="W17" s="688">
        <v>1.6</v>
      </c>
      <c r="X17" s="584">
        <f>ROUND(8.96*2.5*1.6,0)</f>
        <v>36</v>
      </c>
      <c r="Y17" s="688">
        <v>2</v>
      </c>
      <c r="Z17" s="584">
        <f>ROUND(8.96*2.5*2,0)</f>
        <v>45</v>
      </c>
      <c r="AA17" s="688">
        <v>2.2000000000000002</v>
      </c>
      <c r="AB17" s="584">
        <f>ROUND(8.96*2.5*2.2,0)</f>
        <v>49</v>
      </c>
      <c r="AC17" s="688">
        <v>2.2999999999999998</v>
      </c>
      <c r="AD17" s="584">
        <f>ROUND(8.96*2.5*2.3,0)</f>
        <v>52</v>
      </c>
      <c r="AE17" s="688">
        <v>2.4</v>
      </c>
      <c r="AF17" s="584">
        <f>ROUND(8.96*2.5*2.4,0)</f>
        <v>54</v>
      </c>
      <c r="AG17" s="688">
        <v>2.4</v>
      </c>
      <c r="AH17" s="584">
        <f>ROUND(8.96*2.5*2.4,0)</f>
        <v>54</v>
      </c>
      <c r="AI17" s="688">
        <v>2.2000000000000002</v>
      </c>
      <c r="AJ17" s="584">
        <f>ROUND(8.96*2.5*2.2,0)</f>
        <v>49</v>
      </c>
      <c r="AK17" s="688">
        <v>2.1</v>
      </c>
      <c r="AL17" s="584">
        <f>ROUND(8.96*2.5*2.1,0)</f>
        <v>47</v>
      </c>
      <c r="AM17" s="688">
        <v>1.8</v>
      </c>
      <c r="AN17" s="584">
        <f>ROUND(8.96*2.5*1.8,0)</f>
        <v>40</v>
      </c>
      <c r="AO17" s="688">
        <v>1.6</v>
      </c>
      <c r="AP17" s="584">
        <f>ROUND(8.96*2.5*1.6,0)</f>
        <v>36</v>
      </c>
      <c r="AQ17" s="688">
        <v>0</v>
      </c>
      <c r="AR17" s="584">
        <f>ROUND(8.96*2.5*0,0)</f>
        <v>0</v>
      </c>
      <c r="AS17" s="688">
        <v>0</v>
      </c>
      <c r="AT17" s="584">
        <f>ROUND(8.96*2.5*0,0)</f>
        <v>0</v>
      </c>
      <c r="AU17" s="688">
        <v>0</v>
      </c>
      <c r="AV17" s="584">
        <f>ROUND(8.96*2.5*0,0)</f>
        <v>0</v>
      </c>
      <c r="AW17" s="688">
        <v>0</v>
      </c>
      <c r="AX17" s="584">
        <f>ROUND(8.96*2.5*0,0)</f>
        <v>0</v>
      </c>
      <c r="AY17" s="688">
        <v>0</v>
      </c>
      <c r="AZ17" s="584">
        <f>ROUND(8.96*2.5*0,0)</f>
        <v>0</v>
      </c>
      <c r="BA17" s="688">
        <v>0</v>
      </c>
      <c r="BB17" s="586">
        <f>ROUND(8.96*2.5*0,0)</f>
        <v>0</v>
      </c>
      <c r="BC17" s="559"/>
      <c r="BD17" s="549"/>
      <c r="BE17" s="579" t="s">
        <v>258</v>
      </c>
      <c r="BF17" s="684"/>
      <c r="BG17" s="580">
        <v>8.9600000000000009</v>
      </c>
      <c r="BH17" s="685">
        <v>2.5</v>
      </c>
      <c r="BI17" s="686"/>
      <c r="BJ17" s="687">
        <v>0</v>
      </c>
      <c r="BK17" s="584">
        <f>ROUND(8.96*2.5*0,0)</f>
        <v>0</v>
      </c>
      <c r="BL17" s="688">
        <v>0</v>
      </c>
      <c r="BM17" s="584">
        <f>ROUND(8.96*2.5*0,0)</f>
        <v>0</v>
      </c>
      <c r="BN17" s="688">
        <v>0</v>
      </c>
      <c r="BO17" s="584">
        <f>ROUND(8.96*2.5*0,0)</f>
        <v>0</v>
      </c>
      <c r="BP17" s="688">
        <v>0</v>
      </c>
      <c r="BQ17" s="584">
        <f>ROUND(8.96*2.5*0,0)</f>
        <v>0</v>
      </c>
      <c r="BR17" s="688">
        <v>0</v>
      </c>
      <c r="BS17" s="584">
        <f>ROUND(8.96*2.5*0,0)</f>
        <v>0</v>
      </c>
      <c r="BT17" s="688">
        <v>0</v>
      </c>
      <c r="BU17" s="584">
        <f>ROUND(8.96*2.5*0,0)</f>
        <v>0</v>
      </c>
      <c r="BV17" s="688">
        <v>0</v>
      </c>
      <c r="BW17" s="584">
        <f>ROUND(8.96*2.5*0,0)</f>
        <v>0</v>
      </c>
      <c r="BX17" s="688">
        <v>0</v>
      </c>
      <c r="BY17" s="584">
        <f>ROUND(8.96*2.5*0,0)</f>
        <v>0</v>
      </c>
      <c r="BZ17" s="688">
        <v>1.5</v>
      </c>
      <c r="CA17" s="584">
        <f>ROUND(8.96*2.5*1.5,0)</f>
        <v>34</v>
      </c>
      <c r="CB17" s="688">
        <v>1.8</v>
      </c>
      <c r="CC17" s="584">
        <f>ROUND(8.96*2.5*1.8,0)</f>
        <v>40</v>
      </c>
      <c r="CD17" s="688">
        <v>2.1</v>
      </c>
      <c r="CE17" s="584">
        <f>ROUND(8.96*2.5*2.1,0)</f>
        <v>47</v>
      </c>
      <c r="CF17" s="688">
        <v>2.2000000000000002</v>
      </c>
      <c r="CG17" s="584">
        <f>ROUND(8.96*2.5*2.2,0)</f>
        <v>49</v>
      </c>
      <c r="CH17" s="688">
        <v>2.2999999999999998</v>
      </c>
      <c r="CI17" s="584">
        <f>ROUND(8.96*2.5*2.3,0)</f>
        <v>52</v>
      </c>
      <c r="CJ17" s="688">
        <v>2.2000000000000002</v>
      </c>
      <c r="CK17" s="584">
        <f>ROUND(8.96*2.5*2.2,0)</f>
        <v>49</v>
      </c>
      <c r="CL17" s="688">
        <v>2.1</v>
      </c>
      <c r="CM17" s="584">
        <f>ROUND(8.96*2.5*2.1,0)</f>
        <v>47</v>
      </c>
      <c r="CN17" s="688">
        <v>2</v>
      </c>
      <c r="CO17" s="584">
        <f>ROUND(8.96*2.5*2,0)</f>
        <v>45</v>
      </c>
      <c r="CP17" s="688">
        <v>1.8</v>
      </c>
      <c r="CQ17" s="584">
        <f>ROUND(8.96*2.5*1.8,0)</f>
        <v>40</v>
      </c>
      <c r="CR17" s="688">
        <v>1.5</v>
      </c>
      <c r="CS17" s="584">
        <f>ROUND(8.96*2.5*1.5,0)</f>
        <v>34</v>
      </c>
      <c r="CT17" s="688">
        <v>0</v>
      </c>
      <c r="CU17" s="584">
        <f>ROUND(8.96*2.5*0,0)</f>
        <v>0</v>
      </c>
      <c r="CV17" s="688">
        <v>0</v>
      </c>
      <c r="CW17" s="584">
        <f>ROUND(8.96*2.5*0,0)</f>
        <v>0</v>
      </c>
      <c r="CX17" s="688">
        <v>0</v>
      </c>
      <c r="CY17" s="584">
        <f>ROUND(8.96*2.5*0,0)</f>
        <v>0</v>
      </c>
      <c r="CZ17" s="688">
        <v>0</v>
      </c>
      <c r="DA17" s="584">
        <f>ROUND(8.96*2.5*0,0)</f>
        <v>0</v>
      </c>
      <c r="DB17" s="688">
        <v>0</v>
      </c>
      <c r="DC17" s="584">
        <f>ROUND(8.96*2.5*0,0)</f>
        <v>0</v>
      </c>
      <c r="DD17" s="688">
        <v>0</v>
      </c>
      <c r="DE17" s="586">
        <f>ROUND(8.96*2.5*0,0)</f>
        <v>0</v>
      </c>
      <c r="DF17" s="559"/>
      <c r="DG17" s="549"/>
      <c r="DH17" s="579" t="s">
        <v>258</v>
      </c>
      <c r="DI17" s="684"/>
      <c r="DJ17" s="580">
        <v>8.9600000000000009</v>
      </c>
      <c r="DK17" s="685">
        <v>2.5</v>
      </c>
      <c r="DL17" s="686"/>
      <c r="DM17" s="687">
        <v>0</v>
      </c>
      <c r="DN17" s="584">
        <f>ROUND(8.96*2.5*0,0)</f>
        <v>0</v>
      </c>
      <c r="DO17" s="688">
        <v>0</v>
      </c>
      <c r="DP17" s="584">
        <f>ROUND(8.96*2.5*0,0)</f>
        <v>0</v>
      </c>
      <c r="DQ17" s="688">
        <v>0</v>
      </c>
      <c r="DR17" s="584">
        <f>ROUND(8.96*2.5*0,0)</f>
        <v>0</v>
      </c>
      <c r="DS17" s="688">
        <v>0</v>
      </c>
      <c r="DT17" s="584">
        <f>ROUND(8.96*2.5*0,0)</f>
        <v>0</v>
      </c>
      <c r="DU17" s="688">
        <v>0</v>
      </c>
      <c r="DV17" s="584">
        <f>ROUND(8.96*2.5*0,0)</f>
        <v>0</v>
      </c>
      <c r="DW17" s="688">
        <v>0</v>
      </c>
      <c r="DX17" s="584">
        <f>ROUND(8.96*2.5*0,0)</f>
        <v>0</v>
      </c>
      <c r="DY17" s="688">
        <v>0</v>
      </c>
      <c r="DZ17" s="584">
        <f>ROUND(8.96*2.5*0,0)</f>
        <v>0</v>
      </c>
      <c r="EA17" s="688">
        <v>0</v>
      </c>
      <c r="EB17" s="584">
        <f>ROUND(8.96*2.5*0,0)</f>
        <v>0</v>
      </c>
      <c r="EC17" s="688">
        <v>0.8</v>
      </c>
      <c r="ED17" s="584">
        <f>ROUND(8.96*2.5*0.8,0)</f>
        <v>18</v>
      </c>
      <c r="EE17" s="688">
        <v>1.2</v>
      </c>
      <c r="EF17" s="584">
        <f>ROUND(8.96*2.5*1.2,0)</f>
        <v>27</v>
      </c>
      <c r="EG17" s="688">
        <v>1.5</v>
      </c>
      <c r="EH17" s="584">
        <f>ROUND(8.96*2.5*1.5,0)</f>
        <v>34</v>
      </c>
      <c r="EI17" s="688">
        <v>1.7</v>
      </c>
      <c r="EJ17" s="584">
        <f>ROUND(8.96*2.5*1.7,0)</f>
        <v>38</v>
      </c>
      <c r="EK17" s="688">
        <v>1.7</v>
      </c>
      <c r="EL17" s="584">
        <f>ROUND(8.96*2.5*1.7,0)</f>
        <v>38</v>
      </c>
      <c r="EM17" s="688">
        <v>1.6</v>
      </c>
      <c r="EN17" s="584">
        <f>ROUND(8.96*2.5*1.6,0)</f>
        <v>36</v>
      </c>
      <c r="EO17" s="688">
        <v>1.5</v>
      </c>
      <c r="EP17" s="584">
        <f>ROUND(8.96*2.5*1.5,0)</f>
        <v>34</v>
      </c>
      <c r="EQ17" s="688">
        <v>1.4</v>
      </c>
      <c r="ER17" s="584">
        <f>ROUND(8.96*2.5*1.4,0)</f>
        <v>31</v>
      </c>
      <c r="ES17" s="688">
        <v>1.1000000000000001</v>
      </c>
      <c r="ET17" s="584">
        <f>ROUND(8.96*2.5*1.1,0)</f>
        <v>25</v>
      </c>
      <c r="EU17" s="688">
        <v>0.8</v>
      </c>
      <c r="EV17" s="584">
        <f>ROUND(8.96*2.5*0.8,0)</f>
        <v>18</v>
      </c>
      <c r="EW17" s="688">
        <v>0</v>
      </c>
      <c r="EX17" s="584">
        <f>ROUND(8.96*2.5*0,0)</f>
        <v>0</v>
      </c>
      <c r="EY17" s="688">
        <v>0</v>
      </c>
      <c r="EZ17" s="584">
        <f>ROUND(8.96*2.5*0,0)</f>
        <v>0</v>
      </c>
      <c r="FA17" s="688">
        <v>0</v>
      </c>
      <c r="FB17" s="584">
        <f>ROUND(8.96*2.5*0,0)</f>
        <v>0</v>
      </c>
      <c r="FC17" s="688">
        <v>0</v>
      </c>
      <c r="FD17" s="584">
        <f>ROUND(8.96*2.5*0,0)</f>
        <v>0</v>
      </c>
      <c r="FE17" s="688">
        <v>0</v>
      </c>
      <c r="FF17" s="584">
        <f>ROUND(8.96*2.5*0,0)</f>
        <v>0</v>
      </c>
      <c r="FG17" s="688">
        <v>0</v>
      </c>
      <c r="FH17" s="586">
        <f>ROUND(8.96*2.5*0,0)</f>
        <v>0</v>
      </c>
      <c r="FI17" s="560"/>
      <c r="FJ17" s="561"/>
      <c r="FK17" s="579" t="s">
        <v>258</v>
      </c>
      <c r="FL17" s="684"/>
      <c r="FM17" s="580">
        <v>8.9600000000000009</v>
      </c>
      <c r="FN17" s="685">
        <v>2.5</v>
      </c>
      <c r="FO17" s="686"/>
      <c r="FP17" s="689">
        <v>9</v>
      </c>
      <c r="FQ17" s="690">
        <v>6</v>
      </c>
      <c r="FR17" s="584">
        <f>ROUND(8.96*2.5*6,0)</f>
        <v>134</v>
      </c>
      <c r="FS17" s="691">
        <v>9</v>
      </c>
      <c r="FT17" s="690">
        <v>6.1</v>
      </c>
      <c r="FU17" s="589">
        <f>ROUND(8.96*2.5*6.1,0)</f>
        <v>137</v>
      </c>
      <c r="FV17" s="590"/>
      <c r="FW17" s="591"/>
      <c r="FX17" s="592"/>
      <c r="FY17" s="593"/>
      <c r="FZ17" s="594"/>
      <c r="GA17" s="595"/>
      <c r="GB17" s="596"/>
      <c r="GC17" s="597"/>
      <c r="GD17" s="596"/>
      <c r="GE17" s="598"/>
      <c r="GF17" s="681"/>
      <c r="GG17" s="599"/>
      <c r="GH17" s="599"/>
      <c r="GI17" s="599"/>
      <c r="GJ17" s="577"/>
      <c r="GK17" s="625"/>
      <c r="GL17" s="626"/>
      <c r="GM17" s="627"/>
      <c r="GN17" s="628"/>
      <c r="GO17" s="629"/>
      <c r="GP17" s="653"/>
      <c r="GQ17" s="630">
        <v>0</v>
      </c>
      <c r="GR17" s="631">
        <v>0</v>
      </c>
      <c r="GS17" s="692"/>
      <c r="GT17" s="682"/>
      <c r="GU17" s="625"/>
      <c r="GV17" s="626"/>
      <c r="GW17" s="632"/>
      <c r="GX17" s="633"/>
      <c r="GY17" s="634"/>
      <c r="GZ17" s="635"/>
      <c r="HA17" s="636">
        <v>0</v>
      </c>
      <c r="HB17" s="637"/>
      <c r="HC17" s="527"/>
      <c r="HD17" s="416"/>
      <c r="HE17" s="416"/>
      <c r="HF17" s="416"/>
      <c r="HG17" s="416"/>
    </row>
    <row r="18" spans="1:218" ht="20.100000000000001" customHeight="1">
      <c r="A18" s="549"/>
      <c r="B18" s="693" t="s">
        <v>258</v>
      </c>
      <c r="C18" s="684"/>
      <c r="D18" s="580">
        <v>8.9600000000000009</v>
      </c>
      <c r="E18" s="685">
        <v>2.5</v>
      </c>
      <c r="F18" s="686"/>
      <c r="G18" s="687">
        <v>0</v>
      </c>
      <c r="H18" s="584">
        <f>ROUND(8.96*2.5*0,0)</f>
        <v>0</v>
      </c>
      <c r="I18" s="688">
        <v>0</v>
      </c>
      <c r="J18" s="584">
        <f>ROUND(8.96*2.5*0,0)</f>
        <v>0</v>
      </c>
      <c r="K18" s="688">
        <v>0</v>
      </c>
      <c r="L18" s="584">
        <f>ROUND(8.96*2.5*0,0)</f>
        <v>0</v>
      </c>
      <c r="M18" s="688">
        <v>0</v>
      </c>
      <c r="N18" s="584">
        <f>ROUND(8.96*2.5*0,0)</f>
        <v>0</v>
      </c>
      <c r="O18" s="688">
        <v>0</v>
      </c>
      <c r="P18" s="584">
        <f>ROUND(8.96*2.5*0,0)</f>
        <v>0</v>
      </c>
      <c r="Q18" s="688">
        <v>0</v>
      </c>
      <c r="R18" s="584">
        <f>ROUND(8.96*2.5*0,0)</f>
        <v>0</v>
      </c>
      <c r="S18" s="688">
        <v>0</v>
      </c>
      <c r="T18" s="584">
        <f>ROUND(8.96*2.5*0,0)</f>
        <v>0</v>
      </c>
      <c r="U18" s="688">
        <v>0</v>
      </c>
      <c r="V18" s="584">
        <f>ROUND(8.96*2.5*0,0)</f>
        <v>0</v>
      </c>
      <c r="W18" s="688">
        <v>2.1</v>
      </c>
      <c r="X18" s="584">
        <f>ROUND(8.96*2.5*2.1,0)</f>
        <v>47</v>
      </c>
      <c r="Y18" s="688">
        <v>2.6</v>
      </c>
      <c r="Z18" s="584">
        <f>ROUND(8.96*2.5*2.6,0)</f>
        <v>58</v>
      </c>
      <c r="AA18" s="688">
        <v>2.9</v>
      </c>
      <c r="AB18" s="584">
        <f>ROUND(8.96*2.5*2.9,0)</f>
        <v>65</v>
      </c>
      <c r="AC18" s="688">
        <v>3.1</v>
      </c>
      <c r="AD18" s="584">
        <f>ROUND(8.96*2.5*3.1,0)</f>
        <v>69</v>
      </c>
      <c r="AE18" s="688">
        <v>3.2</v>
      </c>
      <c r="AF18" s="584">
        <f>ROUND(8.96*2.5*3.2,0)</f>
        <v>72</v>
      </c>
      <c r="AG18" s="688">
        <v>3.2</v>
      </c>
      <c r="AH18" s="584">
        <f>ROUND(8.96*2.5*3.2,0)</f>
        <v>72</v>
      </c>
      <c r="AI18" s="688">
        <v>3</v>
      </c>
      <c r="AJ18" s="584">
        <f>ROUND(8.96*2.5*3,0)</f>
        <v>67</v>
      </c>
      <c r="AK18" s="688">
        <v>2.8</v>
      </c>
      <c r="AL18" s="584">
        <f>ROUND(8.96*2.5*2.8,0)</f>
        <v>63</v>
      </c>
      <c r="AM18" s="688">
        <v>2.4</v>
      </c>
      <c r="AN18" s="584">
        <f>ROUND(8.96*2.5*2.4,0)</f>
        <v>54</v>
      </c>
      <c r="AO18" s="688">
        <v>2.1</v>
      </c>
      <c r="AP18" s="584">
        <f>ROUND(8.96*2.5*2.1,0)</f>
        <v>47</v>
      </c>
      <c r="AQ18" s="688">
        <v>0</v>
      </c>
      <c r="AR18" s="584">
        <f>ROUND(8.96*2.5*0,0)</f>
        <v>0</v>
      </c>
      <c r="AS18" s="688">
        <v>0</v>
      </c>
      <c r="AT18" s="584">
        <f>ROUND(8.96*2.5*0,0)</f>
        <v>0</v>
      </c>
      <c r="AU18" s="688">
        <v>0</v>
      </c>
      <c r="AV18" s="584">
        <f>ROUND(8.96*2.5*0,0)</f>
        <v>0</v>
      </c>
      <c r="AW18" s="688">
        <v>0</v>
      </c>
      <c r="AX18" s="584">
        <f>ROUND(8.96*2.5*0,0)</f>
        <v>0</v>
      </c>
      <c r="AY18" s="688">
        <v>0</v>
      </c>
      <c r="AZ18" s="584">
        <f>ROUND(8.96*2.5*0,0)</f>
        <v>0</v>
      </c>
      <c r="BA18" s="688">
        <v>0</v>
      </c>
      <c r="BB18" s="586">
        <f>ROUND(8.96*2.5*0,0)</f>
        <v>0</v>
      </c>
      <c r="BC18" s="559"/>
      <c r="BD18" s="549"/>
      <c r="BE18" s="693" t="s">
        <v>258</v>
      </c>
      <c r="BF18" s="684"/>
      <c r="BG18" s="580">
        <v>8.9600000000000009</v>
      </c>
      <c r="BH18" s="685">
        <v>2.5</v>
      </c>
      <c r="BI18" s="686"/>
      <c r="BJ18" s="687">
        <v>0</v>
      </c>
      <c r="BK18" s="584">
        <f>ROUND(8.96*2.5*0,0)</f>
        <v>0</v>
      </c>
      <c r="BL18" s="688">
        <v>0</v>
      </c>
      <c r="BM18" s="584">
        <f>ROUND(8.96*2.5*0,0)</f>
        <v>0</v>
      </c>
      <c r="BN18" s="688">
        <v>0</v>
      </c>
      <c r="BO18" s="584">
        <f>ROUND(8.96*2.5*0,0)</f>
        <v>0</v>
      </c>
      <c r="BP18" s="688">
        <v>0</v>
      </c>
      <c r="BQ18" s="584">
        <f>ROUND(8.96*2.5*0,0)</f>
        <v>0</v>
      </c>
      <c r="BR18" s="688">
        <v>0</v>
      </c>
      <c r="BS18" s="584">
        <f>ROUND(8.96*2.5*0,0)</f>
        <v>0</v>
      </c>
      <c r="BT18" s="688">
        <v>0</v>
      </c>
      <c r="BU18" s="584">
        <f>ROUND(8.96*2.5*0,0)</f>
        <v>0</v>
      </c>
      <c r="BV18" s="688">
        <v>0</v>
      </c>
      <c r="BW18" s="584">
        <f>ROUND(8.96*2.5*0,0)</f>
        <v>0</v>
      </c>
      <c r="BX18" s="688">
        <v>0</v>
      </c>
      <c r="BY18" s="584">
        <f>ROUND(8.96*2.5*0,0)</f>
        <v>0</v>
      </c>
      <c r="BZ18" s="688">
        <v>2</v>
      </c>
      <c r="CA18" s="584">
        <f>ROUND(8.96*2.5*2,0)</f>
        <v>45</v>
      </c>
      <c r="CB18" s="688">
        <v>2.4</v>
      </c>
      <c r="CC18" s="584">
        <f>ROUND(8.96*2.5*2.4,0)</f>
        <v>54</v>
      </c>
      <c r="CD18" s="688">
        <v>2.8</v>
      </c>
      <c r="CE18" s="584">
        <f>ROUND(8.96*2.5*2.8,0)</f>
        <v>63</v>
      </c>
      <c r="CF18" s="688">
        <v>3</v>
      </c>
      <c r="CG18" s="584">
        <f>ROUND(8.96*2.5*3,0)</f>
        <v>67</v>
      </c>
      <c r="CH18" s="688">
        <v>3</v>
      </c>
      <c r="CI18" s="584">
        <f>ROUND(8.96*2.5*3,0)</f>
        <v>67</v>
      </c>
      <c r="CJ18" s="688">
        <v>3</v>
      </c>
      <c r="CK18" s="584">
        <f>ROUND(8.96*2.5*3,0)</f>
        <v>67</v>
      </c>
      <c r="CL18" s="688">
        <v>2.8</v>
      </c>
      <c r="CM18" s="584">
        <f>ROUND(8.96*2.5*2.8,0)</f>
        <v>63</v>
      </c>
      <c r="CN18" s="688">
        <v>2.6</v>
      </c>
      <c r="CO18" s="584">
        <f>ROUND(8.96*2.5*2.6,0)</f>
        <v>58</v>
      </c>
      <c r="CP18" s="688">
        <v>2.4</v>
      </c>
      <c r="CQ18" s="584">
        <f>ROUND(8.96*2.5*2.4,0)</f>
        <v>54</v>
      </c>
      <c r="CR18" s="688">
        <v>2</v>
      </c>
      <c r="CS18" s="584">
        <f>ROUND(8.96*2.5*2,0)</f>
        <v>45</v>
      </c>
      <c r="CT18" s="688">
        <v>0</v>
      </c>
      <c r="CU18" s="584">
        <f>ROUND(8.96*2.5*0,0)</f>
        <v>0</v>
      </c>
      <c r="CV18" s="688">
        <v>0</v>
      </c>
      <c r="CW18" s="584">
        <f>ROUND(8.96*2.5*0,0)</f>
        <v>0</v>
      </c>
      <c r="CX18" s="688">
        <v>0</v>
      </c>
      <c r="CY18" s="584">
        <f>ROUND(8.96*2.5*0,0)</f>
        <v>0</v>
      </c>
      <c r="CZ18" s="688">
        <v>0</v>
      </c>
      <c r="DA18" s="584">
        <f>ROUND(8.96*2.5*0,0)</f>
        <v>0</v>
      </c>
      <c r="DB18" s="688">
        <v>0</v>
      </c>
      <c r="DC18" s="584">
        <f>ROUND(8.96*2.5*0,0)</f>
        <v>0</v>
      </c>
      <c r="DD18" s="688">
        <v>0</v>
      </c>
      <c r="DE18" s="586">
        <f>ROUND(8.96*2.5*0,0)</f>
        <v>0</v>
      </c>
      <c r="DF18" s="559"/>
      <c r="DG18" s="549"/>
      <c r="DH18" s="693" t="s">
        <v>258</v>
      </c>
      <c r="DI18" s="684"/>
      <c r="DJ18" s="580">
        <v>8.9600000000000009</v>
      </c>
      <c r="DK18" s="685">
        <v>2.5</v>
      </c>
      <c r="DL18" s="686"/>
      <c r="DM18" s="687">
        <v>0</v>
      </c>
      <c r="DN18" s="584">
        <f>ROUND(8.96*2.5*0,0)</f>
        <v>0</v>
      </c>
      <c r="DO18" s="688">
        <v>0</v>
      </c>
      <c r="DP18" s="584">
        <f>ROUND(8.96*2.5*0,0)</f>
        <v>0</v>
      </c>
      <c r="DQ18" s="688">
        <v>0</v>
      </c>
      <c r="DR18" s="584">
        <f>ROUND(8.96*2.5*0,0)</f>
        <v>0</v>
      </c>
      <c r="DS18" s="688">
        <v>0</v>
      </c>
      <c r="DT18" s="584">
        <f>ROUND(8.96*2.5*0,0)</f>
        <v>0</v>
      </c>
      <c r="DU18" s="688">
        <v>0</v>
      </c>
      <c r="DV18" s="584">
        <f>ROUND(8.96*2.5*0,0)</f>
        <v>0</v>
      </c>
      <c r="DW18" s="688">
        <v>0</v>
      </c>
      <c r="DX18" s="584">
        <f>ROUND(8.96*2.5*0,0)</f>
        <v>0</v>
      </c>
      <c r="DY18" s="688">
        <v>0</v>
      </c>
      <c r="DZ18" s="584">
        <f>ROUND(8.96*2.5*0,0)</f>
        <v>0</v>
      </c>
      <c r="EA18" s="688">
        <v>0</v>
      </c>
      <c r="EB18" s="584">
        <f>ROUND(8.96*2.5*0,0)</f>
        <v>0</v>
      </c>
      <c r="EC18" s="688">
        <v>1.1000000000000001</v>
      </c>
      <c r="ED18" s="584">
        <f>ROUND(8.96*2.5*1.1,0)</f>
        <v>25</v>
      </c>
      <c r="EE18" s="688">
        <v>1.6</v>
      </c>
      <c r="EF18" s="584">
        <f>ROUND(8.96*2.5*1.6,0)</f>
        <v>36</v>
      </c>
      <c r="EG18" s="688">
        <v>2</v>
      </c>
      <c r="EH18" s="584">
        <f>ROUND(8.96*2.5*2,0)</f>
        <v>45</v>
      </c>
      <c r="EI18" s="688">
        <v>2.2000000000000002</v>
      </c>
      <c r="EJ18" s="584">
        <f>ROUND(8.96*2.5*2.2,0)</f>
        <v>49</v>
      </c>
      <c r="EK18" s="688">
        <v>2.2999999999999998</v>
      </c>
      <c r="EL18" s="584">
        <f>ROUND(8.96*2.5*2.3,0)</f>
        <v>52</v>
      </c>
      <c r="EM18" s="688">
        <v>2.2000000000000002</v>
      </c>
      <c r="EN18" s="584">
        <f>ROUND(8.96*2.5*2.2,0)</f>
        <v>49</v>
      </c>
      <c r="EO18" s="688">
        <v>2</v>
      </c>
      <c r="EP18" s="584">
        <f>ROUND(8.96*2.5*2,0)</f>
        <v>45</v>
      </c>
      <c r="EQ18" s="688">
        <v>1.9</v>
      </c>
      <c r="ER18" s="584">
        <f>ROUND(8.96*2.5*1.9,0)</f>
        <v>43</v>
      </c>
      <c r="ES18" s="688">
        <v>1.5</v>
      </c>
      <c r="ET18" s="584">
        <f>ROUND(8.96*2.5*1.5,0)</f>
        <v>34</v>
      </c>
      <c r="EU18" s="688">
        <v>1.1000000000000001</v>
      </c>
      <c r="EV18" s="584">
        <f>ROUND(8.96*2.5*1.1,0)</f>
        <v>25</v>
      </c>
      <c r="EW18" s="688">
        <v>0</v>
      </c>
      <c r="EX18" s="584">
        <f>ROUND(8.96*2.5*0,0)</f>
        <v>0</v>
      </c>
      <c r="EY18" s="688">
        <v>0</v>
      </c>
      <c r="EZ18" s="584">
        <f>ROUND(8.96*2.5*0,0)</f>
        <v>0</v>
      </c>
      <c r="FA18" s="688">
        <v>0</v>
      </c>
      <c r="FB18" s="584">
        <f>ROUND(8.96*2.5*0,0)</f>
        <v>0</v>
      </c>
      <c r="FC18" s="688">
        <v>0</v>
      </c>
      <c r="FD18" s="584">
        <f>ROUND(8.96*2.5*0,0)</f>
        <v>0</v>
      </c>
      <c r="FE18" s="688">
        <v>0</v>
      </c>
      <c r="FF18" s="584">
        <f>ROUND(8.96*2.5*0,0)</f>
        <v>0</v>
      </c>
      <c r="FG18" s="688">
        <v>0</v>
      </c>
      <c r="FH18" s="586">
        <f>ROUND(8.96*2.5*0,0)</f>
        <v>0</v>
      </c>
      <c r="FI18" s="560"/>
      <c r="FJ18" s="561"/>
      <c r="FK18" s="693" t="s">
        <v>258</v>
      </c>
      <c r="FL18" s="684"/>
      <c r="FM18" s="580">
        <v>8.9600000000000009</v>
      </c>
      <c r="FN18" s="685">
        <v>2.5</v>
      </c>
      <c r="FO18" s="686"/>
      <c r="FP18" s="689">
        <v>9</v>
      </c>
      <c r="FQ18" s="690">
        <v>8</v>
      </c>
      <c r="FR18" s="584">
        <f>ROUND(8.96*2.5*8,0)</f>
        <v>179</v>
      </c>
      <c r="FS18" s="691">
        <v>9</v>
      </c>
      <c r="FT18" s="690">
        <v>8.1999999999999993</v>
      </c>
      <c r="FU18" s="589">
        <f>ROUND(8.96*2.5*8.2,0)</f>
        <v>184</v>
      </c>
      <c r="FV18" s="590"/>
      <c r="FW18" s="591"/>
      <c r="FX18" s="592"/>
      <c r="FY18" s="593"/>
      <c r="FZ18" s="594"/>
      <c r="GA18" s="595"/>
      <c r="GB18" s="596"/>
      <c r="GC18" s="597"/>
      <c r="GD18" s="596"/>
      <c r="GE18" s="598"/>
      <c r="GF18" s="681"/>
      <c r="GG18" s="599"/>
      <c r="GH18" s="599"/>
      <c r="GI18" s="599"/>
      <c r="GJ18" s="410"/>
      <c r="GK18" s="625"/>
      <c r="GL18" s="626"/>
      <c r="GM18" s="627"/>
      <c r="GN18" s="628"/>
      <c r="GO18" s="629"/>
      <c r="GP18" s="653"/>
      <c r="GQ18" s="630">
        <v>0</v>
      </c>
      <c r="GR18" s="631">
        <v>0</v>
      </c>
      <c r="GS18" s="410"/>
      <c r="GT18" s="414"/>
      <c r="GU18" s="625"/>
      <c r="GV18" s="626"/>
      <c r="GW18" s="632"/>
      <c r="GX18" s="633"/>
      <c r="GY18" s="634"/>
      <c r="GZ18" s="635"/>
      <c r="HA18" s="636">
        <v>0</v>
      </c>
      <c r="HB18" s="637"/>
      <c r="HC18" s="576"/>
      <c r="HD18" s="559"/>
      <c r="HE18" s="416"/>
      <c r="HF18" s="416"/>
      <c r="HG18" s="416"/>
    </row>
    <row r="19" spans="1:218" ht="20.100000000000001" customHeight="1">
      <c r="A19" s="549"/>
      <c r="B19" s="693" t="s">
        <v>246</v>
      </c>
      <c r="C19" s="684"/>
      <c r="D19" s="580">
        <v>13.2</v>
      </c>
      <c r="E19" s="685">
        <v>0.5</v>
      </c>
      <c r="F19" s="686"/>
      <c r="G19" s="687">
        <v>0</v>
      </c>
      <c r="H19" s="584">
        <f>ROUND(13.2*0.5*0,0)</f>
        <v>0</v>
      </c>
      <c r="I19" s="688">
        <v>0</v>
      </c>
      <c r="J19" s="584">
        <f>ROUND(13.2*0.5*0,0)</f>
        <v>0</v>
      </c>
      <c r="K19" s="688">
        <v>0</v>
      </c>
      <c r="L19" s="584">
        <f>ROUND(13.2*0.5*0,0)</f>
        <v>0</v>
      </c>
      <c r="M19" s="688">
        <v>0</v>
      </c>
      <c r="N19" s="584">
        <f>ROUND(13.2*0.5*0,0)</f>
        <v>0</v>
      </c>
      <c r="O19" s="688">
        <v>0</v>
      </c>
      <c r="P19" s="584">
        <f>ROUND(13.2*0.5*0,0)</f>
        <v>0</v>
      </c>
      <c r="Q19" s="688">
        <v>0</v>
      </c>
      <c r="R19" s="584">
        <f>ROUND(13.2*0.5*0,0)</f>
        <v>0</v>
      </c>
      <c r="S19" s="688">
        <v>0</v>
      </c>
      <c r="T19" s="584">
        <f>ROUND(13.2*0.5*0,0)</f>
        <v>0</v>
      </c>
      <c r="U19" s="688">
        <v>0</v>
      </c>
      <c r="V19" s="584">
        <f>ROUND(13.2*0.5*0,0)</f>
        <v>0</v>
      </c>
      <c r="W19" s="688">
        <v>5.3</v>
      </c>
      <c r="X19" s="584">
        <f>ROUND(13.2*0.5*5.3,0)</f>
        <v>35</v>
      </c>
      <c r="Y19" s="688">
        <v>5.2</v>
      </c>
      <c r="Z19" s="584">
        <f>ROUND(13.2*0.5*5.2,0)</f>
        <v>34</v>
      </c>
      <c r="AA19" s="688">
        <v>5.2</v>
      </c>
      <c r="AB19" s="584">
        <f>ROUND(13.2*0.5*5.2,0)</f>
        <v>34</v>
      </c>
      <c r="AC19" s="688">
        <v>5.3</v>
      </c>
      <c r="AD19" s="584">
        <f>ROUND(13.2*0.5*5.3,0)</f>
        <v>35</v>
      </c>
      <c r="AE19" s="688">
        <v>5.7</v>
      </c>
      <c r="AF19" s="584">
        <f>ROUND(13.2*0.5*5.7,0)</f>
        <v>38</v>
      </c>
      <c r="AG19" s="688">
        <v>6.3</v>
      </c>
      <c r="AH19" s="584">
        <f>ROUND(13.2*0.5*6.3,0)</f>
        <v>42</v>
      </c>
      <c r="AI19" s="688">
        <v>7</v>
      </c>
      <c r="AJ19" s="584">
        <f>ROUND(13.2*0.5*7,0)</f>
        <v>46</v>
      </c>
      <c r="AK19" s="688">
        <v>7.8</v>
      </c>
      <c r="AL19" s="584">
        <f>ROUND(13.2*0.5*7.8,0)</f>
        <v>51</v>
      </c>
      <c r="AM19" s="688">
        <v>8.6</v>
      </c>
      <c r="AN19" s="584">
        <f>ROUND(13.2*0.5*8.6,0)</f>
        <v>57</v>
      </c>
      <c r="AO19" s="688">
        <v>9.4</v>
      </c>
      <c r="AP19" s="584">
        <f>ROUND(13.2*0.5*9.4,0)</f>
        <v>62</v>
      </c>
      <c r="AQ19" s="688">
        <v>0</v>
      </c>
      <c r="AR19" s="584">
        <f>ROUND(13.2*0.5*0,0)</f>
        <v>0</v>
      </c>
      <c r="AS19" s="688">
        <v>0</v>
      </c>
      <c r="AT19" s="584">
        <f>ROUND(13.2*0.5*0,0)</f>
        <v>0</v>
      </c>
      <c r="AU19" s="688">
        <v>0</v>
      </c>
      <c r="AV19" s="584">
        <f>ROUND(13.2*0.5*0,0)</f>
        <v>0</v>
      </c>
      <c r="AW19" s="688">
        <v>0</v>
      </c>
      <c r="AX19" s="584">
        <f>ROUND(13.2*0.5*0,0)</f>
        <v>0</v>
      </c>
      <c r="AY19" s="688">
        <v>0</v>
      </c>
      <c r="AZ19" s="584">
        <f>ROUND(13.2*0.5*0,0)</f>
        <v>0</v>
      </c>
      <c r="BA19" s="688">
        <v>0</v>
      </c>
      <c r="BB19" s="586">
        <f>ROUND(13.2*0.5*0,0)</f>
        <v>0</v>
      </c>
      <c r="BC19" s="559"/>
      <c r="BD19" s="549"/>
      <c r="BE19" s="693" t="s">
        <v>246</v>
      </c>
      <c r="BF19" s="684"/>
      <c r="BG19" s="580">
        <v>13.2</v>
      </c>
      <c r="BH19" s="685">
        <v>0.5</v>
      </c>
      <c r="BI19" s="686"/>
      <c r="BJ19" s="687">
        <v>0</v>
      </c>
      <c r="BK19" s="584">
        <f>ROUND(13.2*0.5*0,0)</f>
        <v>0</v>
      </c>
      <c r="BL19" s="688">
        <v>0</v>
      </c>
      <c r="BM19" s="584">
        <f>ROUND(13.2*0.5*0,0)</f>
        <v>0</v>
      </c>
      <c r="BN19" s="688">
        <v>0</v>
      </c>
      <c r="BO19" s="584">
        <f>ROUND(13.2*0.5*0,0)</f>
        <v>0</v>
      </c>
      <c r="BP19" s="688">
        <v>0</v>
      </c>
      <c r="BQ19" s="584">
        <f>ROUND(13.2*0.5*0,0)</f>
        <v>0</v>
      </c>
      <c r="BR19" s="688">
        <v>0</v>
      </c>
      <c r="BS19" s="584">
        <f>ROUND(13.2*0.5*0,0)</f>
        <v>0</v>
      </c>
      <c r="BT19" s="688">
        <v>0</v>
      </c>
      <c r="BU19" s="584">
        <f>ROUND(13.2*0.5*0,0)</f>
        <v>0</v>
      </c>
      <c r="BV19" s="688">
        <v>0</v>
      </c>
      <c r="BW19" s="584">
        <f>ROUND(13.2*0.5*0,0)</f>
        <v>0</v>
      </c>
      <c r="BX19" s="688">
        <v>0</v>
      </c>
      <c r="BY19" s="584">
        <f>ROUND(13.2*0.5*0,0)</f>
        <v>0</v>
      </c>
      <c r="BZ19" s="688">
        <v>5.2</v>
      </c>
      <c r="CA19" s="584">
        <f>ROUND(13.2*0.5*5.2,0)</f>
        <v>34</v>
      </c>
      <c r="CB19" s="688">
        <v>5</v>
      </c>
      <c r="CC19" s="584">
        <f>ROUND(13.2*0.5*5,0)</f>
        <v>33</v>
      </c>
      <c r="CD19" s="688">
        <v>5</v>
      </c>
      <c r="CE19" s="584">
        <f>ROUND(13.2*0.5*5,0)</f>
        <v>33</v>
      </c>
      <c r="CF19" s="688">
        <v>5.0999999999999996</v>
      </c>
      <c r="CG19" s="584">
        <f>ROUND(13.2*0.5*5.1,0)</f>
        <v>34</v>
      </c>
      <c r="CH19" s="688">
        <v>5.4</v>
      </c>
      <c r="CI19" s="584">
        <f>ROUND(13.2*0.5*5.4,0)</f>
        <v>36</v>
      </c>
      <c r="CJ19" s="688">
        <v>6</v>
      </c>
      <c r="CK19" s="584">
        <f>ROUND(13.2*0.5*6,0)</f>
        <v>40</v>
      </c>
      <c r="CL19" s="688">
        <v>6.8</v>
      </c>
      <c r="CM19" s="584">
        <f>ROUND(13.2*0.5*6.8,0)</f>
        <v>45</v>
      </c>
      <c r="CN19" s="688">
        <v>7.8</v>
      </c>
      <c r="CO19" s="584">
        <f>ROUND(13.2*0.5*7.8,0)</f>
        <v>51</v>
      </c>
      <c r="CP19" s="688">
        <v>8.6999999999999993</v>
      </c>
      <c r="CQ19" s="584">
        <f>ROUND(13.2*0.5*8.7,0)</f>
        <v>57</v>
      </c>
      <c r="CR19" s="688">
        <v>9.6</v>
      </c>
      <c r="CS19" s="584">
        <f>ROUND(13.2*0.5*9.6,0)</f>
        <v>63</v>
      </c>
      <c r="CT19" s="688">
        <v>0</v>
      </c>
      <c r="CU19" s="584">
        <f>ROUND(13.2*0.5*0,0)</f>
        <v>0</v>
      </c>
      <c r="CV19" s="688">
        <v>0</v>
      </c>
      <c r="CW19" s="584">
        <f>ROUND(13.2*0.5*0,0)</f>
        <v>0</v>
      </c>
      <c r="CX19" s="688">
        <v>0</v>
      </c>
      <c r="CY19" s="584">
        <f>ROUND(13.2*0.5*0,0)</f>
        <v>0</v>
      </c>
      <c r="CZ19" s="688">
        <v>0</v>
      </c>
      <c r="DA19" s="584">
        <f>ROUND(13.2*0.5*0,0)</f>
        <v>0</v>
      </c>
      <c r="DB19" s="688">
        <v>0</v>
      </c>
      <c r="DC19" s="584">
        <f>ROUND(13.2*0.5*0,0)</f>
        <v>0</v>
      </c>
      <c r="DD19" s="688">
        <v>0</v>
      </c>
      <c r="DE19" s="586">
        <f>ROUND(13.2*0.5*0,0)</f>
        <v>0</v>
      </c>
      <c r="DF19" s="559"/>
      <c r="DG19" s="549"/>
      <c r="DH19" s="693" t="s">
        <v>246</v>
      </c>
      <c r="DI19" s="684"/>
      <c r="DJ19" s="580">
        <v>13.2</v>
      </c>
      <c r="DK19" s="685">
        <v>0.5</v>
      </c>
      <c r="DL19" s="686"/>
      <c r="DM19" s="687">
        <v>0</v>
      </c>
      <c r="DN19" s="584">
        <f>ROUND(13.2*0.5*0,0)</f>
        <v>0</v>
      </c>
      <c r="DO19" s="688">
        <v>0</v>
      </c>
      <c r="DP19" s="584">
        <f>ROUND(13.2*0.5*0,0)</f>
        <v>0</v>
      </c>
      <c r="DQ19" s="688">
        <v>0</v>
      </c>
      <c r="DR19" s="584">
        <f>ROUND(13.2*0.5*0,0)</f>
        <v>0</v>
      </c>
      <c r="DS19" s="688">
        <v>0</v>
      </c>
      <c r="DT19" s="584">
        <f>ROUND(13.2*0.5*0,0)</f>
        <v>0</v>
      </c>
      <c r="DU19" s="688">
        <v>0</v>
      </c>
      <c r="DV19" s="584">
        <f>ROUND(13.2*0.5*0,0)</f>
        <v>0</v>
      </c>
      <c r="DW19" s="688">
        <v>0</v>
      </c>
      <c r="DX19" s="584">
        <f>ROUND(13.2*0.5*0,0)</f>
        <v>0</v>
      </c>
      <c r="DY19" s="688">
        <v>0</v>
      </c>
      <c r="DZ19" s="584">
        <f>ROUND(13.2*0.5*0,0)</f>
        <v>0</v>
      </c>
      <c r="EA19" s="688">
        <v>0</v>
      </c>
      <c r="EB19" s="584">
        <f>ROUND(13.2*0.5*0,0)</f>
        <v>0</v>
      </c>
      <c r="EC19" s="688">
        <v>3.8</v>
      </c>
      <c r="ED19" s="584">
        <f>ROUND(13.2*0.5*3.8,0)</f>
        <v>25</v>
      </c>
      <c r="EE19" s="688">
        <v>3.5</v>
      </c>
      <c r="EF19" s="584">
        <f>ROUND(13.2*0.5*3.5,0)</f>
        <v>23</v>
      </c>
      <c r="EG19" s="688">
        <v>3.4</v>
      </c>
      <c r="EH19" s="584">
        <f>ROUND(13.2*0.5*3.4,0)</f>
        <v>22</v>
      </c>
      <c r="EI19" s="688">
        <v>3.6</v>
      </c>
      <c r="EJ19" s="584">
        <f>ROUND(13.2*0.5*3.6,0)</f>
        <v>24</v>
      </c>
      <c r="EK19" s="688">
        <v>4.0999999999999996</v>
      </c>
      <c r="EL19" s="584">
        <f>ROUND(13.2*0.5*4.1,0)</f>
        <v>27</v>
      </c>
      <c r="EM19" s="688">
        <v>4.9000000000000004</v>
      </c>
      <c r="EN19" s="584">
        <f>ROUND(13.2*0.5*4.9,0)</f>
        <v>32</v>
      </c>
      <c r="EO19" s="688">
        <v>6</v>
      </c>
      <c r="EP19" s="584">
        <f>ROUND(13.2*0.5*6,0)</f>
        <v>40</v>
      </c>
      <c r="EQ19" s="688">
        <v>7.3</v>
      </c>
      <c r="ER19" s="584">
        <f>ROUND(13.2*0.5*7.3,0)</f>
        <v>48</v>
      </c>
      <c r="ES19" s="688">
        <v>8.5</v>
      </c>
      <c r="ET19" s="584">
        <f>ROUND(13.2*0.5*8.5,0)</f>
        <v>56</v>
      </c>
      <c r="EU19" s="688">
        <v>9.6</v>
      </c>
      <c r="EV19" s="584">
        <f>ROUND(13.2*0.5*9.6,0)</f>
        <v>63</v>
      </c>
      <c r="EW19" s="688">
        <v>0</v>
      </c>
      <c r="EX19" s="584">
        <f>ROUND(13.2*0.5*0,0)</f>
        <v>0</v>
      </c>
      <c r="EY19" s="688">
        <v>0</v>
      </c>
      <c r="EZ19" s="584">
        <f>ROUND(13.2*0.5*0,0)</f>
        <v>0</v>
      </c>
      <c r="FA19" s="688">
        <v>0</v>
      </c>
      <c r="FB19" s="584">
        <f>ROUND(13.2*0.5*0,0)</f>
        <v>0</v>
      </c>
      <c r="FC19" s="688">
        <v>0</v>
      </c>
      <c r="FD19" s="584">
        <f>ROUND(13.2*0.5*0,0)</f>
        <v>0</v>
      </c>
      <c r="FE19" s="688">
        <v>0</v>
      </c>
      <c r="FF19" s="584">
        <f>ROUND(13.2*0.5*0,0)</f>
        <v>0</v>
      </c>
      <c r="FG19" s="688">
        <v>0</v>
      </c>
      <c r="FH19" s="586">
        <f>ROUND(13.2*0.5*0,0)</f>
        <v>0</v>
      </c>
      <c r="FI19" s="560"/>
      <c r="FJ19" s="561"/>
      <c r="FK19" s="693" t="s">
        <v>246</v>
      </c>
      <c r="FL19" s="684"/>
      <c r="FM19" s="580">
        <v>13.2</v>
      </c>
      <c r="FN19" s="685">
        <v>0.5</v>
      </c>
      <c r="FO19" s="686"/>
      <c r="FP19" s="689">
        <v>9</v>
      </c>
      <c r="FQ19" s="690">
        <v>20</v>
      </c>
      <c r="FR19" s="584">
        <f>ROUND(13.2*0.5*20,0)</f>
        <v>132</v>
      </c>
      <c r="FS19" s="691">
        <v>9</v>
      </c>
      <c r="FT19" s="690">
        <v>20.5</v>
      </c>
      <c r="FU19" s="589">
        <f>ROUND(13.2*0.5*20.5,0)</f>
        <v>135</v>
      </c>
      <c r="FV19" s="590"/>
      <c r="FW19" s="591"/>
      <c r="FX19" s="592"/>
      <c r="FY19" s="593"/>
      <c r="FZ19" s="594"/>
      <c r="GA19" s="595"/>
      <c r="GB19" s="596"/>
      <c r="GC19" s="597"/>
      <c r="GD19" s="596"/>
      <c r="GE19" s="598"/>
      <c r="GF19" s="681"/>
      <c r="GG19" s="599"/>
      <c r="GH19" s="599"/>
      <c r="GI19" s="599"/>
      <c r="GJ19" s="410"/>
      <c r="GK19" s="625"/>
      <c r="GL19" s="626"/>
      <c r="GM19" s="627"/>
      <c r="GN19" s="628"/>
      <c r="GO19" s="629"/>
      <c r="GP19" s="653"/>
      <c r="GQ19" s="630">
        <v>0</v>
      </c>
      <c r="GR19" s="631">
        <v>0</v>
      </c>
      <c r="GS19" s="410"/>
      <c r="GT19" s="654"/>
      <c r="GU19" s="625"/>
      <c r="GV19" s="626"/>
      <c r="GW19" s="632"/>
      <c r="GX19" s="633"/>
      <c r="GY19" s="634"/>
      <c r="GZ19" s="635"/>
      <c r="HA19" s="636">
        <v>0</v>
      </c>
      <c r="HB19" s="637"/>
      <c r="HC19" s="526"/>
      <c r="HD19" s="559"/>
      <c r="HE19" s="416"/>
      <c r="HF19" s="416"/>
      <c r="HG19" s="416"/>
    </row>
    <row r="20" spans="1:218" ht="20.100000000000001" customHeight="1">
      <c r="A20" s="549"/>
      <c r="B20" s="693" t="s">
        <v>269</v>
      </c>
      <c r="C20" s="684"/>
      <c r="D20" s="580">
        <v>13.2</v>
      </c>
      <c r="E20" s="685">
        <v>2.8</v>
      </c>
      <c r="F20" s="686"/>
      <c r="G20" s="687">
        <v>0</v>
      </c>
      <c r="H20" s="584">
        <f>ROUND(13.2*2.8*0,0)</f>
        <v>0</v>
      </c>
      <c r="I20" s="688">
        <v>0</v>
      </c>
      <c r="J20" s="584">
        <f>ROUND(13.2*2.8*0,0)</f>
        <v>0</v>
      </c>
      <c r="K20" s="688">
        <v>0</v>
      </c>
      <c r="L20" s="584">
        <f>ROUND(13.2*2.8*0,0)</f>
        <v>0</v>
      </c>
      <c r="M20" s="688">
        <v>0</v>
      </c>
      <c r="N20" s="584">
        <f>ROUND(13.2*2.8*0,0)</f>
        <v>0</v>
      </c>
      <c r="O20" s="688">
        <v>0</v>
      </c>
      <c r="P20" s="584">
        <f>ROUND(13.2*2.8*0,0)</f>
        <v>0</v>
      </c>
      <c r="Q20" s="688">
        <v>0</v>
      </c>
      <c r="R20" s="584">
        <f>ROUND(13.2*2.8*0,0)</f>
        <v>0</v>
      </c>
      <c r="S20" s="688">
        <v>0</v>
      </c>
      <c r="T20" s="584">
        <f>ROUND(13.2*2.8*0,0)</f>
        <v>0</v>
      </c>
      <c r="U20" s="688">
        <v>0</v>
      </c>
      <c r="V20" s="584">
        <f>ROUND(13.2*2.8*0,0)</f>
        <v>0</v>
      </c>
      <c r="W20" s="688">
        <v>1.6</v>
      </c>
      <c r="X20" s="584">
        <f>ROUND(13.2*2.8*1.6,0)</f>
        <v>59</v>
      </c>
      <c r="Y20" s="688">
        <v>2</v>
      </c>
      <c r="Z20" s="584">
        <f>ROUND(13.2*2.8*2,0)</f>
        <v>74</v>
      </c>
      <c r="AA20" s="688">
        <v>2.2000000000000002</v>
      </c>
      <c r="AB20" s="584">
        <f>ROUND(13.2*2.8*2.2,0)</f>
        <v>81</v>
      </c>
      <c r="AC20" s="688">
        <v>2.2999999999999998</v>
      </c>
      <c r="AD20" s="584">
        <f>ROUND(13.2*2.8*2.3,0)</f>
        <v>85</v>
      </c>
      <c r="AE20" s="688">
        <v>2.4</v>
      </c>
      <c r="AF20" s="584">
        <f>ROUND(13.2*2.8*2.4,0)</f>
        <v>89</v>
      </c>
      <c r="AG20" s="688">
        <v>2.4</v>
      </c>
      <c r="AH20" s="584">
        <f>ROUND(13.2*2.8*2.4,0)</f>
        <v>89</v>
      </c>
      <c r="AI20" s="688">
        <v>2.2000000000000002</v>
      </c>
      <c r="AJ20" s="584">
        <f>ROUND(13.2*2.8*2.2,0)</f>
        <v>81</v>
      </c>
      <c r="AK20" s="688">
        <v>2.1</v>
      </c>
      <c r="AL20" s="584">
        <f>ROUND(13.2*2.8*2.1,0)</f>
        <v>78</v>
      </c>
      <c r="AM20" s="688">
        <v>1.8</v>
      </c>
      <c r="AN20" s="584">
        <f>ROUND(13.2*2.8*1.8,0)</f>
        <v>67</v>
      </c>
      <c r="AO20" s="688">
        <v>1.6</v>
      </c>
      <c r="AP20" s="584">
        <f>ROUND(13.2*2.8*1.6,0)</f>
        <v>59</v>
      </c>
      <c r="AQ20" s="688">
        <v>0</v>
      </c>
      <c r="AR20" s="584">
        <f>ROUND(13.2*2.8*0,0)</f>
        <v>0</v>
      </c>
      <c r="AS20" s="688">
        <v>0</v>
      </c>
      <c r="AT20" s="584">
        <f>ROUND(13.2*2.8*0,0)</f>
        <v>0</v>
      </c>
      <c r="AU20" s="688">
        <v>0</v>
      </c>
      <c r="AV20" s="584">
        <f>ROUND(13.2*2.8*0,0)</f>
        <v>0</v>
      </c>
      <c r="AW20" s="688">
        <v>0</v>
      </c>
      <c r="AX20" s="584">
        <f>ROUND(13.2*2.8*0,0)</f>
        <v>0</v>
      </c>
      <c r="AY20" s="688">
        <v>0</v>
      </c>
      <c r="AZ20" s="584">
        <f>ROUND(13.2*2.8*0,0)</f>
        <v>0</v>
      </c>
      <c r="BA20" s="688">
        <v>0</v>
      </c>
      <c r="BB20" s="586">
        <f>ROUND(13.2*2.8*0,0)</f>
        <v>0</v>
      </c>
      <c r="BC20" s="559"/>
      <c r="BD20" s="549"/>
      <c r="BE20" s="693" t="s">
        <v>269</v>
      </c>
      <c r="BF20" s="684"/>
      <c r="BG20" s="580">
        <v>13.2</v>
      </c>
      <c r="BH20" s="685">
        <v>2.8</v>
      </c>
      <c r="BI20" s="686"/>
      <c r="BJ20" s="687">
        <v>0</v>
      </c>
      <c r="BK20" s="584">
        <f>ROUND(13.2*2.8*0,0)</f>
        <v>0</v>
      </c>
      <c r="BL20" s="688">
        <v>0</v>
      </c>
      <c r="BM20" s="584">
        <f>ROUND(13.2*2.8*0,0)</f>
        <v>0</v>
      </c>
      <c r="BN20" s="688">
        <v>0</v>
      </c>
      <c r="BO20" s="584">
        <f>ROUND(13.2*2.8*0,0)</f>
        <v>0</v>
      </c>
      <c r="BP20" s="688">
        <v>0</v>
      </c>
      <c r="BQ20" s="584">
        <f>ROUND(13.2*2.8*0,0)</f>
        <v>0</v>
      </c>
      <c r="BR20" s="688">
        <v>0</v>
      </c>
      <c r="BS20" s="584">
        <f>ROUND(13.2*2.8*0,0)</f>
        <v>0</v>
      </c>
      <c r="BT20" s="688">
        <v>0</v>
      </c>
      <c r="BU20" s="584">
        <f>ROUND(13.2*2.8*0,0)</f>
        <v>0</v>
      </c>
      <c r="BV20" s="688">
        <v>0</v>
      </c>
      <c r="BW20" s="584">
        <f>ROUND(13.2*2.8*0,0)</f>
        <v>0</v>
      </c>
      <c r="BX20" s="688">
        <v>0</v>
      </c>
      <c r="BY20" s="584">
        <f>ROUND(13.2*2.8*0,0)</f>
        <v>0</v>
      </c>
      <c r="BZ20" s="688">
        <v>1.5</v>
      </c>
      <c r="CA20" s="584">
        <f>ROUND(13.2*2.8*1.5,0)</f>
        <v>55</v>
      </c>
      <c r="CB20" s="688">
        <v>1.8</v>
      </c>
      <c r="CC20" s="584">
        <f>ROUND(13.2*2.8*1.8,0)</f>
        <v>67</v>
      </c>
      <c r="CD20" s="688">
        <v>2.1</v>
      </c>
      <c r="CE20" s="584">
        <f>ROUND(13.2*2.8*2.1,0)</f>
        <v>78</v>
      </c>
      <c r="CF20" s="688">
        <v>2.2000000000000002</v>
      </c>
      <c r="CG20" s="584">
        <f>ROUND(13.2*2.8*2.2,0)</f>
        <v>81</v>
      </c>
      <c r="CH20" s="688">
        <v>2.2999999999999998</v>
      </c>
      <c r="CI20" s="584">
        <f>ROUND(13.2*2.8*2.3,0)</f>
        <v>85</v>
      </c>
      <c r="CJ20" s="688">
        <v>2.2000000000000002</v>
      </c>
      <c r="CK20" s="584">
        <f>ROUND(13.2*2.8*2.2,0)</f>
        <v>81</v>
      </c>
      <c r="CL20" s="688">
        <v>2.1</v>
      </c>
      <c r="CM20" s="584">
        <f>ROUND(13.2*2.8*2.1,0)</f>
        <v>78</v>
      </c>
      <c r="CN20" s="688">
        <v>2</v>
      </c>
      <c r="CO20" s="584">
        <f>ROUND(13.2*2.8*2,0)</f>
        <v>74</v>
      </c>
      <c r="CP20" s="688">
        <v>1.8</v>
      </c>
      <c r="CQ20" s="584">
        <f>ROUND(13.2*2.8*1.8,0)</f>
        <v>67</v>
      </c>
      <c r="CR20" s="688">
        <v>1.5</v>
      </c>
      <c r="CS20" s="584">
        <f>ROUND(13.2*2.8*1.5,0)</f>
        <v>55</v>
      </c>
      <c r="CT20" s="688">
        <v>0</v>
      </c>
      <c r="CU20" s="584">
        <f>ROUND(13.2*2.8*0,0)</f>
        <v>0</v>
      </c>
      <c r="CV20" s="688">
        <v>0</v>
      </c>
      <c r="CW20" s="584">
        <f>ROUND(13.2*2.8*0,0)</f>
        <v>0</v>
      </c>
      <c r="CX20" s="688">
        <v>0</v>
      </c>
      <c r="CY20" s="584">
        <f>ROUND(13.2*2.8*0,0)</f>
        <v>0</v>
      </c>
      <c r="CZ20" s="688">
        <v>0</v>
      </c>
      <c r="DA20" s="584">
        <f>ROUND(13.2*2.8*0,0)</f>
        <v>0</v>
      </c>
      <c r="DB20" s="688">
        <v>0</v>
      </c>
      <c r="DC20" s="584">
        <f>ROUND(13.2*2.8*0,0)</f>
        <v>0</v>
      </c>
      <c r="DD20" s="688">
        <v>0</v>
      </c>
      <c r="DE20" s="586">
        <f>ROUND(13.2*2.8*0,0)</f>
        <v>0</v>
      </c>
      <c r="DF20" s="559"/>
      <c r="DG20" s="549"/>
      <c r="DH20" s="693" t="s">
        <v>269</v>
      </c>
      <c r="DI20" s="684"/>
      <c r="DJ20" s="580">
        <v>13.2</v>
      </c>
      <c r="DK20" s="685">
        <v>2.8</v>
      </c>
      <c r="DL20" s="686"/>
      <c r="DM20" s="687">
        <v>0</v>
      </c>
      <c r="DN20" s="584">
        <f>ROUND(13.2*2.8*0,0)</f>
        <v>0</v>
      </c>
      <c r="DO20" s="688">
        <v>0</v>
      </c>
      <c r="DP20" s="584">
        <f>ROUND(13.2*2.8*0,0)</f>
        <v>0</v>
      </c>
      <c r="DQ20" s="688">
        <v>0</v>
      </c>
      <c r="DR20" s="584">
        <f>ROUND(13.2*2.8*0,0)</f>
        <v>0</v>
      </c>
      <c r="DS20" s="688">
        <v>0</v>
      </c>
      <c r="DT20" s="584">
        <f>ROUND(13.2*2.8*0,0)</f>
        <v>0</v>
      </c>
      <c r="DU20" s="688">
        <v>0</v>
      </c>
      <c r="DV20" s="584">
        <f>ROUND(13.2*2.8*0,0)</f>
        <v>0</v>
      </c>
      <c r="DW20" s="688">
        <v>0</v>
      </c>
      <c r="DX20" s="584">
        <f>ROUND(13.2*2.8*0,0)</f>
        <v>0</v>
      </c>
      <c r="DY20" s="688">
        <v>0</v>
      </c>
      <c r="DZ20" s="584">
        <f>ROUND(13.2*2.8*0,0)</f>
        <v>0</v>
      </c>
      <c r="EA20" s="688">
        <v>0</v>
      </c>
      <c r="EB20" s="584">
        <f>ROUND(13.2*2.8*0,0)</f>
        <v>0</v>
      </c>
      <c r="EC20" s="688">
        <v>0.8</v>
      </c>
      <c r="ED20" s="584">
        <f>ROUND(13.2*2.8*0.8,0)</f>
        <v>30</v>
      </c>
      <c r="EE20" s="688">
        <v>1.2</v>
      </c>
      <c r="EF20" s="584">
        <f>ROUND(13.2*2.8*1.2,0)</f>
        <v>44</v>
      </c>
      <c r="EG20" s="688">
        <v>1.5</v>
      </c>
      <c r="EH20" s="584">
        <f>ROUND(13.2*2.8*1.5,0)</f>
        <v>55</v>
      </c>
      <c r="EI20" s="688">
        <v>1.7</v>
      </c>
      <c r="EJ20" s="584">
        <f>ROUND(13.2*2.8*1.7,0)</f>
        <v>63</v>
      </c>
      <c r="EK20" s="688">
        <v>1.7</v>
      </c>
      <c r="EL20" s="584">
        <f>ROUND(13.2*2.8*1.7,0)</f>
        <v>63</v>
      </c>
      <c r="EM20" s="688">
        <v>1.6</v>
      </c>
      <c r="EN20" s="584">
        <f>ROUND(13.2*2.8*1.6,0)</f>
        <v>59</v>
      </c>
      <c r="EO20" s="688">
        <v>1.5</v>
      </c>
      <c r="EP20" s="584">
        <f>ROUND(13.2*2.8*1.5,0)</f>
        <v>55</v>
      </c>
      <c r="EQ20" s="688">
        <v>1.4</v>
      </c>
      <c r="ER20" s="584">
        <f>ROUND(13.2*2.8*1.4,0)</f>
        <v>52</v>
      </c>
      <c r="ES20" s="688">
        <v>1.1000000000000001</v>
      </c>
      <c r="ET20" s="584">
        <f>ROUND(13.2*2.8*1.1,0)</f>
        <v>41</v>
      </c>
      <c r="EU20" s="688">
        <v>0.8</v>
      </c>
      <c r="EV20" s="584">
        <f>ROUND(13.2*2.8*0.8,0)</f>
        <v>30</v>
      </c>
      <c r="EW20" s="688">
        <v>0</v>
      </c>
      <c r="EX20" s="584">
        <f>ROUND(13.2*2.8*0,0)</f>
        <v>0</v>
      </c>
      <c r="EY20" s="688">
        <v>0</v>
      </c>
      <c r="EZ20" s="584">
        <f>ROUND(13.2*2.8*0,0)</f>
        <v>0</v>
      </c>
      <c r="FA20" s="688">
        <v>0</v>
      </c>
      <c r="FB20" s="584">
        <f>ROUND(13.2*2.8*0,0)</f>
        <v>0</v>
      </c>
      <c r="FC20" s="688">
        <v>0</v>
      </c>
      <c r="FD20" s="584">
        <f>ROUND(13.2*2.8*0,0)</f>
        <v>0</v>
      </c>
      <c r="FE20" s="688">
        <v>0</v>
      </c>
      <c r="FF20" s="584">
        <f>ROUND(13.2*2.8*0,0)</f>
        <v>0</v>
      </c>
      <c r="FG20" s="688">
        <v>0</v>
      </c>
      <c r="FH20" s="586">
        <f>ROUND(13.2*2.8*0,0)</f>
        <v>0</v>
      </c>
      <c r="FI20" s="560"/>
      <c r="FJ20" s="561"/>
      <c r="FK20" s="693" t="s">
        <v>269</v>
      </c>
      <c r="FL20" s="684"/>
      <c r="FM20" s="580">
        <v>13.2</v>
      </c>
      <c r="FN20" s="685">
        <v>2.8</v>
      </c>
      <c r="FO20" s="686"/>
      <c r="FP20" s="689">
        <v>9</v>
      </c>
      <c r="FQ20" s="690">
        <v>6</v>
      </c>
      <c r="FR20" s="584">
        <f>ROUND(13.2*2.8*6,0)</f>
        <v>222</v>
      </c>
      <c r="FS20" s="691">
        <v>9</v>
      </c>
      <c r="FT20" s="690">
        <v>6.1</v>
      </c>
      <c r="FU20" s="589">
        <f>ROUND(13.2*2.8*6.1,0)</f>
        <v>225</v>
      </c>
      <c r="FV20" s="590"/>
      <c r="FW20" s="591"/>
      <c r="FX20" s="592"/>
      <c r="FY20" s="593"/>
      <c r="FZ20" s="594"/>
      <c r="GA20" s="595"/>
      <c r="GB20" s="596"/>
      <c r="GC20" s="597"/>
      <c r="GD20" s="596"/>
      <c r="GE20" s="598"/>
      <c r="GF20" s="681"/>
      <c r="GG20" s="599"/>
      <c r="GH20" s="599"/>
      <c r="GI20" s="599"/>
      <c r="GJ20" s="410"/>
      <c r="GK20" s="625"/>
      <c r="GL20" s="626"/>
      <c r="GM20" s="627"/>
      <c r="GN20" s="628"/>
      <c r="GO20" s="629"/>
      <c r="GP20" s="653"/>
      <c r="GQ20" s="630">
        <v>0</v>
      </c>
      <c r="GR20" s="631">
        <v>0</v>
      </c>
      <c r="GS20" s="414"/>
      <c r="GT20" s="654"/>
      <c r="GU20" s="625"/>
      <c r="GV20" s="626"/>
      <c r="GW20" s="632"/>
      <c r="GX20" s="633"/>
      <c r="GY20" s="634"/>
      <c r="GZ20" s="635"/>
      <c r="HA20" s="636">
        <v>0</v>
      </c>
      <c r="HB20" s="637"/>
      <c r="HC20" s="410"/>
      <c r="HD20" s="559"/>
      <c r="HE20" s="416"/>
      <c r="HF20" s="416"/>
      <c r="HG20" s="416"/>
    </row>
    <row r="21" spans="1:218" ht="20.100000000000001" customHeight="1">
      <c r="A21" s="549"/>
      <c r="B21" s="693"/>
      <c r="C21" s="684"/>
      <c r="D21" s="580"/>
      <c r="E21" s="685"/>
      <c r="F21" s="686"/>
      <c r="G21" s="687"/>
      <c r="H21" s="584"/>
      <c r="I21" s="688"/>
      <c r="J21" s="584"/>
      <c r="K21" s="688"/>
      <c r="L21" s="584"/>
      <c r="M21" s="688"/>
      <c r="N21" s="584"/>
      <c r="O21" s="688"/>
      <c r="P21" s="584"/>
      <c r="Q21" s="688"/>
      <c r="R21" s="584"/>
      <c r="S21" s="688"/>
      <c r="T21" s="584"/>
      <c r="U21" s="688"/>
      <c r="V21" s="584"/>
      <c r="W21" s="688"/>
      <c r="X21" s="584"/>
      <c r="Y21" s="688"/>
      <c r="Z21" s="584"/>
      <c r="AA21" s="688"/>
      <c r="AB21" s="584"/>
      <c r="AC21" s="688"/>
      <c r="AD21" s="584"/>
      <c r="AE21" s="688"/>
      <c r="AF21" s="584"/>
      <c r="AG21" s="688"/>
      <c r="AH21" s="584"/>
      <c r="AI21" s="688"/>
      <c r="AJ21" s="584"/>
      <c r="AK21" s="688"/>
      <c r="AL21" s="584"/>
      <c r="AM21" s="688"/>
      <c r="AN21" s="584"/>
      <c r="AO21" s="688"/>
      <c r="AP21" s="584"/>
      <c r="AQ21" s="688"/>
      <c r="AR21" s="584"/>
      <c r="AS21" s="688"/>
      <c r="AT21" s="584"/>
      <c r="AU21" s="688"/>
      <c r="AV21" s="584"/>
      <c r="AW21" s="688"/>
      <c r="AX21" s="584"/>
      <c r="AY21" s="688"/>
      <c r="AZ21" s="584"/>
      <c r="BA21" s="688"/>
      <c r="BB21" s="586"/>
      <c r="BC21" s="559"/>
      <c r="BD21" s="549"/>
      <c r="BE21" s="693"/>
      <c r="BF21" s="684"/>
      <c r="BG21" s="580"/>
      <c r="BH21" s="685"/>
      <c r="BI21" s="686"/>
      <c r="BJ21" s="687"/>
      <c r="BK21" s="584"/>
      <c r="BL21" s="688"/>
      <c r="BM21" s="584"/>
      <c r="BN21" s="688"/>
      <c r="BO21" s="584"/>
      <c r="BP21" s="688"/>
      <c r="BQ21" s="584"/>
      <c r="BR21" s="688"/>
      <c r="BS21" s="584"/>
      <c r="BT21" s="688"/>
      <c r="BU21" s="584"/>
      <c r="BV21" s="688"/>
      <c r="BW21" s="584"/>
      <c r="BX21" s="688"/>
      <c r="BY21" s="584"/>
      <c r="BZ21" s="688"/>
      <c r="CA21" s="584"/>
      <c r="CB21" s="688"/>
      <c r="CC21" s="584"/>
      <c r="CD21" s="688"/>
      <c r="CE21" s="584"/>
      <c r="CF21" s="688"/>
      <c r="CG21" s="584"/>
      <c r="CH21" s="688"/>
      <c r="CI21" s="584"/>
      <c r="CJ21" s="688"/>
      <c r="CK21" s="584"/>
      <c r="CL21" s="688"/>
      <c r="CM21" s="584"/>
      <c r="CN21" s="688"/>
      <c r="CO21" s="584"/>
      <c r="CP21" s="688"/>
      <c r="CQ21" s="584"/>
      <c r="CR21" s="688"/>
      <c r="CS21" s="584"/>
      <c r="CT21" s="688"/>
      <c r="CU21" s="584"/>
      <c r="CV21" s="688"/>
      <c r="CW21" s="584"/>
      <c r="CX21" s="688"/>
      <c r="CY21" s="584"/>
      <c r="CZ21" s="688"/>
      <c r="DA21" s="584"/>
      <c r="DB21" s="688"/>
      <c r="DC21" s="584"/>
      <c r="DD21" s="688"/>
      <c r="DE21" s="586"/>
      <c r="DF21" s="559"/>
      <c r="DG21" s="549"/>
      <c r="DH21" s="693"/>
      <c r="DI21" s="684"/>
      <c r="DJ21" s="580"/>
      <c r="DK21" s="685"/>
      <c r="DL21" s="686"/>
      <c r="DM21" s="687"/>
      <c r="DN21" s="584"/>
      <c r="DO21" s="688"/>
      <c r="DP21" s="584"/>
      <c r="DQ21" s="688"/>
      <c r="DR21" s="584"/>
      <c r="DS21" s="688"/>
      <c r="DT21" s="584"/>
      <c r="DU21" s="688"/>
      <c r="DV21" s="584"/>
      <c r="DW21" s="688"/>
      <c r="DX21" s="584"/>
      <c r="DY21" s="688"/>
      <c r="DZ21" s="584"/>
      <c r="EA21" s="688"/>
      <c r="EB21" s="584"/>
      <c r="EC21" s="688"/>
      <c r="ED21" s="584"/>
      <c r="EE21" s="688"/>
      <c r="EF21" s="584"/>
      <c r="EG21" s="688"/>
      <c r="EH21" s="584"/>
      <c r="EI21" s="688"/>
      <c r="EJ21" s="584"/>
      <c r="EK21" s="688"/>
      <c r="EL21" s="584"/>
      <c r="EM21" s="688"/>
      <c r="EN21" s="584"/>
      <c r="EO21" s="688"/>
      <c r="EP21" s="584"/>
      <c r="EQ21" s="688"/>
      <c r="ER21" s="584"/>
      <c r="ES21" s="688"/>
      <c r="ET21" s="584"/>
      <c r="EU21" s="688"/>
      <c r="EV21" s="584"/>
      <c r="EW21" s="688"/>
      <c r="EX21" s="584"/>
      <c r="EY21" s="688"/>
      <c r="EZ21" s="584"/>
      <c r="FA21" s="688"/>
      <c r="FB21" s="584"/>
      <c r="FC21" s="688"/>
      <c r="FD21" s="584"/>
      <c r="FE21" s="688"/>
      <c r="FF21" s="584"/>
      <c r="FG21" s="688"/>
      <c r="FH21" s="586"/>
      <c r="FI21" s="560"/>
      <c r="FJ21" s="561"/>
      <c r="FK21" s="693"/>
      <c r="FL21" s="684"/>
      <c r="FM21" s="580"/>
      <c r="FN21" s="685"/>
      <c r="FO21" s="686"/>
      <c r="FP21" s="689"/>
      <c r="FQ21" s="690"/>
      <c r="FR21" s="584"/>
      <c r="FS21" s="691"/>
      <c r="FT21" s="690"/>
      <c r="FU21" s="589"/>
      <c r="FV21" s="590"/>
      <c r="FW21" s="591"/>
      <c r="FX21" s="592"/>
      <c r="FY21" s="593"/>
      <c r="FZ21" s="594"/>
      <c r="GA21" s="595"/>
      <c r="GB21" s="596"/>
      <c r="GC21" s="597"/>
      <c r="GD21" s="596"/>
      <c r="GE21" s="598"/>
      <c r="GF21" s="681"/>
      <c r="GG21" s="599"/>
      <c r="GH21" s="599"/>
      <c r="GI21" s="599"/>
      <c r="GJ21" s="410"/>
      <c r="GK21" s="694" t="s">
        <v>463</v>
      </c>
      <c r="GL21" s="695"/>
      <c r="GM21" s="696"/>
      <c r="GN21" s="635">
        <v>0</v>
      </c>
      <c r="GO21" s="697"/>
      <c r="GP21" s="698"/>
      <c r="GQ21" s="630">
        <v>0</v>
      </c>
      <c r="GR21" s="631">
        <v>0</v>
      </c>
      <c r="GS21" s="575"/>
      <c r="GT21" s="670"/>
      <c r="GU21" s="694" t="s">
        <v>463</v>
      </c>
      <c r="GV21" s="695"/>
      <c r="GW21" s="696"/>
      <c r="GX21" s="699">
        <v>0</v>
      </c>
      <c r="GY21" s="700"/>
      <c r="GZ21" s="697"/>
      <c r="HA21" s="701">
        <v>0</v>
      </c>
      <c r="HB21" s="702"/>
      <c r="HC21" s="703"/>
      <c r="HD21" s="559"/>
      <c r="HE21" s="612"/>
      <c r="HF21" s="612"/>
      <c r="HG21" s="416"/>
    </row>
    <row r="22" spans="1:218" ht="20.100000000000001" customHeight="1">
      <c r="A22" s="549"/>
      <c r="B22" s="693"/>
      <c r="C22" s="684"/>
      <c r="D22" s="580"/>
      <c r="E22" s="685"/>
      <c r="F22" s="686"/>
      <c r="G22" s="687"/>
      <c r="H22" s="584"/>
      <c r="I22" s="688"/>
      <c r="J22" s="584"/>
      <c r="K22" s="688"/>
      <c r="L22" s="584"/>
      <c r="M22" s="688"/>
      <c r="N22" s="584"/>
      <c r="O22" s="688"/>
      <c r="P22" s="584"/>
      <c r="Q22" s="688"/>
      <c r="R22" s="584"/>
      <c r="S22" s="688"/>
      <c r="T22" s="584"/>
      <c r="U22" s="688"/>
      <c r="V22" s="584"/>
      <c r="W22" s="688"/>
      <c r="X22" s="584"/>
      <c r="Y22" s="688"/>
      <c r="Z22" s="584"/>
      <c r="AA22" s="688"/>
      <c r="AB22" s="584"/>
      <c r="AC22" s="688"/>
      <c r="AD22" s="584"/>
      <c r="AE22" s="688"/>
      <c r="AF22" s="584"/>
      <c r="AG22" s="688"/>
      <c r="AH22" s="584"/>
      <c r="AI22" s="688"/>
      <c r="AJ22" s="584"/>
      <c r="AK22" s="688"/>
      <c r="AL22" s="584"/>
      <c r="AM22" s="688"/>
      <c r="AN22" s="584"/>
      <c r="AO22" s="688"/>
      <c r="AP22" s="584"/>
      <c r="AQ22" s="688"/>
      <c r="AR22" s="584"/>
      <c r="AS22" s="688"/>
      <c r="AT22" s="584"/>
      <c r="AU22" s="688"/>
      <c r="AV22" s="584"/>
      <c r="AW22" s="688"/>
      <c r="AX22" s="584"/>
      <c r="AY22" s="688"/>
      <c r="AZ22" s="584"/>
      <c r="BA22" s="688"/>
      <c r="BB22" s="586"/>
      <c r="BC22" s="559"/>
      <c r="BD22" s="549"/>
      <c r="BE22" s="693"/>
      <c r="BF22" s="684"/>
      <c r="BG22" s="580"/>
      <c r="BH22" s="685"/>
      <c r="BI22" s="686"/>
      <c r="BJ22" s="687"/>
      <c r="BK22" s="584"/>
      <c r="BL22" s="688"/>
      <c r="BM22" s="584"/>
      <c r="BN22" s="688"/>
      <c r="BO22" s="584"/>
      <c r="BP22" s="688"/>
      <c r="BQ22" s="584"/>
      <c r="BR22" s="688"/>
      <c r="BS22" s="584"/>
      <c r="BT22" s="688"/>
      <c r="BU22" s="584"/>
      <c r="BV22" s="688"/>
      <c r="BW22" s="584"/>
      <c r="BX22" s="688"/>
      <c r="BY22" s="584"/>
      <c r="BZ22" s="688"/>
      <c r="CA22" s="584"/>
      <c r="CB22" s="688"/>
      <c r="CC22" s="584"/>
      <c r="CD22" s="688"/>
      <c r="CE22" s="584"/>
      <c r="CF22" s="688"/>
      <c r="CG22" s="584"/>
      <c r="CH22" s="688"/>
      <c r="CI22" s="584"/>
      <c r="CJ22" s="688"/>
      <c r="CK22" s="584"/>
      <c r="CL22" s="688"/>
      <c r="CM22" s="584"/>
      <c r="CN22" s="688"/>
      <c r="CO22" s="584"/>
      <c r="CP22" s="688"/>
      <c r="CQ22" s="584"/>
      <c r="CR22" s="688"/>
      <c r="CS22" s="584"/>
      <c r="CT22" s="688"/>
      <c r="CU22" s="584"/>
      <c r="CV22" s="688"/>
      <c r="CW22" s="584"/>
      <c r="CX22" s="688"/>
      <c r="CY22" s="584"/>
      <c r="CZ22" s="688"/>
      <c r="DA22" s="584"/>
      <c r="DB22" s="688"/>
      <c r="DC22" s="584"/>
      <c r="DD22" s="688"/>
      <c r="DE22" s="586"/>
      <c r="DF22" s="559"/>
      <c r="DG22" s="549"/>
      <c r="DH22" s="693"/>
      <c r="DI22" s="684"/>
      <c r="DJ22" s="580"/>
      <c r="DK22" s="685"/>
      <c r="DL22" s="686"/>
      <c r="DM22" s="687"/>
      <c r="DN22" s="584"/>
      <c r="DO22" s="688"/>
      <c r="DP22" s="584"/>
      <c r="DQ22" s="688"/>
      <c r="DR22" s="584"/>
      <c r="DS22" s="688"/>
      <c r="DT22" s="584"/>
      <c r="DU22" s="688"/>
      <c r="DV22" s="584"/>
      <c r="DW22" s="688"/>
      <c r="DX22" s="584"/>
      <c r="DY22" s="688"/>
      <c r="DZ22" s="584"/>
      <c r="EA22" s="688"/>
      <c r="EB22" s="584"/>
      <c r="EC22" s="688"/>
      <c r="ED22" s="584"/>
      <c r="EE22" s="688"/>
      <c r="EF22" s="584"/>
      <c r="EG22" s="688"/>
      <c r="EH22" s="584"/>
      <c r="EI22" s="688"/>
      <c r="EJ22" s="584"/>
      <c r="EK22" s="688"/>
      <c r="EL22" s="584"/>
      <c r="EM22" s="688"/>
      <c r="EN22" s="584"/>
      <c r="EO22" s="688"/>
      <c r="EP22" s="584"/>
      <c r="EQ22" s="688"/>
      <c r="ER22" s="584"/>
      <c r="ES22" s="688"/>
      <c r="ET22" s="584"/>
      <c r="EU22" s="688"/>
      <c r="EV22" s="584"/>
      <c r="EW22" s="688"/>
      <c r="EX22" s="584"/>
      <c r="EY22" s="688"/>
      <c r="EZ22" s="584"/>
      <c r="FA22" s="688"/>
      <c r="FB22" s="584"/>
      <c r="FC22" s="688"/>
      <c r="FD22" s="584"/>
      <c r="FE22" s="688"/>
      <c r="FF22" s="584"/>
      <c r="FG22" s="688"/>
      <c r="FH22" s="586"/>
      <c r="FI22" s="560"/>
      <c r="FJ22" s="561"/>
      <c r="FK22" s="693"/>
      <c r="FL22" s="684"/>
      <c r="FM22" s="580"/>
      <c r="FN22" s="685"/>
      <c r="FO22" s="686"/>
      <c r="FP22" s="689"/>
      <c r="FQ22" s="690"/>
      <c r="FR22" s="584"/>
      <c r="FS22" s="691"/>
      <c r="FT22" s="690"/>
      <c r="FU22" s="589"/>
      <c r="FV22" s="590"/>
      <c r="FW22" s="591"/>
      <c r="FX22" s="592"/>
      <c r="FY22" s="593"/>
      <c r="FZ22" s="594"/>
      <c r="GA22" s="595"/>
      <c r="GB22" s="596"/>
      <c r="GC22" s="597"/>
      <c r="GD22" s="596"/>
      <c r="GE22" s="598"/>
      <c r="GF22" s="681"/>
      <c r="GG22" s="599"/>
      <c r="GH22" s="599"/>
      <c r="GI22" s="599"/>
      <c r="GJ22" s="527"/>
      <c r="GK22" s="704" t="s">
        <v>464</v>
      </c>
      <c r="GL22" s="705"/>
      <c r="GM22" s="705"/>
      <c r="GN22" s="706"/>
      <c r="GO22" s="630">
        <v>0</v>
      </c>
      <c r="GP22" s="630">
        <v>1</v>
      </c>
      <c r="GQ22" s="707"/>
      <c r="GR22" s="708"/>
      <c r="GS22" s="575"/>
      <c r="GT22" s="670"/>
      <c r="GU22" s="704" t="s">
        <v>464</v>
      </c>
      <c r="GV22" s="705"/>
      <c r="GW22" s="705"/>
      <c r="GX22" s="705"/>
      <c r="GY22" s="706"/>
      <c r="GZ22" s="630">
        <v>0</v>
      </c>
      <c r="HA22" s="709"/>
      <c r="HB22" s="710"/>
      <c r="HC22" s="414"/>
      <c r="HD22" s="559"/>
      <c r="HE22" s="416"/>
      <c r="HF22" s="416"/>
      <c r="HG22" s="416"/>
    </row>
    <row r="23" spans="1:218" ht="20.100000000000001" customHeight="1">
      <c r="A23" s="549"/>
      <c r="B23" s="693"/>
      <c r="C23" s="684"/>
      <c r="D23" s="580"/>
      <c r="E23" s="685"/>
      <c r="F23" s="686"/>
      <c r="G23" s="687"/>
      <c r="H23" s="584"/>
      <c r="I23" s="688"/>
      <c r="J23" s="584"/>
      <c r="K23" s="688"/>
      <c r="L23" s="584"/>
      <c r="M23" s="688"/>
      <c r="N23" s="584"/>
      <c r="O23" s="688"/>
      <c r="P23" s="584"/>
      <c r="Q23" s="688"/>
      <c r="R23" s="584"/>
      <c r="S23" s="688"/>
      <c r="T23" s="584"/>
      <c r="U23" s="688"/>
      <c r="V23" s="584"/>
      <c r="W23" s="688"/>
      <c r="X23" s="584"/>
      <c r="Y23" s="688"/>
      <c r="Z23" s="584"/>
      <c r="AA23" s="688"/>
      <c r="AB23" s="584"/>
      <c r="AC23" s="688"/>
      <c r="AD23" s="584"/>
      <c r="AE23" s="688"/>
      <c r="AF23" s="584"/>
      <c r="AG23" s="688"/>
      <c r="AH23" s="584"/>
      <c r="AI23" s="688"/>
      <c r="AJ23" s="584"/>
      <c r="AK23" s="688"/>
      <c r="AL23" s="584"/>
      <c r="AM23" s="688"/>
      <c r="AN23" s="584"/>
      <c r="AO23" s="688"/>
      <c r="AP23" s="584"/>
      <c r="AQ23" s="688"/>
      <c r="AR23" s="584"/>
      <c r="AS23" s="688"/>
      <c r="AT23" s="584"/>
      <c r="AU23" s="688"/>
      <c r="AV23" s="584"/>
      <c r="AW23" s="688"/>
      <c r="AX23" s="584"/>
      <c r="AY23" s="688"/>
      <c r="AZ23" s="584"/>
      <c r="BA23" s="688"/>
      <c r="BB23" s="586"/>
      <c r="BC23" s="559"/>
      <c r="BD23" s="549"/>
      <c r="BE23" s="693"/>
      <c r="BF23" s="684"/>
      <c r="BG23" s="580"/>
      <c r="BH23" s="685"/>
      <c r="BI23" s="686"/>
      <c r="BJ23" s="687"/>
      <c r="BK23" s="584"/>
      <c r="BL23" s="688"/>
      <c r="BM23" s="584"/>
      <c r="BN23" s="688"/>
      <c r="BO23" s="584"/>
      <c r="BP23" s="688"/>
      <c r="BQ23" s="584"/>
      <c r="BR23" s="688"/>
      <c r="BS23" s="584"/>
      <c r="BT23" s="688"/>
      <c r="BU23" s="584"/>
      <c r="BV23" s="688"/>
      <c r="BW23" s="584"/>
      <c r="BX23" s="688"/>
      <c r="BY23" s="584"/>
      <c r="BZ23" s="688"/>
      <c r="CA23" s="584"/>
      <c r="CB23" s="688"/>
      <c r="CC23" s="584"/>
      <c r="CD23" s="688"/>
      <c r="CE23" s="584"/>
      <c r="CF23" s="688"/>
      <c r="CG23" s="584"/>
      <c r="CH23" s="688"/>
      <c r="CI23" s="584"/>
      <c r="CJ23" s="688"/>
      <c r="CK23" s="584"/>
      <c r="CL23" s="688"/>
      <c r="CM23" s="584"/>
      <c r="CN23" s="688"/>
      <c r="CO23" s="584"/>
      <c r="CP23" s="688"/>
      <c r="CQ23" s="584"/>
      <c r="CR23" s="688"/>
      <c r="CS23" s="584"/>
      <c r="CT23" s="688"/>
      <c r="CU23" s="584"/>
      <c r="CV23" s="688"/>
      <c r="CW23" s="584"/>
      <c r="CX23" s="688"/>
      <c r="CY23" s="584"/>
      <c r="CZ23" s="688"/>
      <c r="DA23" s="584"/>
      <c r="DB23" s="688"/>
      <c r="DC23" s="584"/>
      <c r="DD23" s="688"/>
      <c r="DE23" s="586"/>
      <c r="DF23" s="559"/>
      <c r="DG23" s="549"/>
      <c r="DH23" s="693"/>
      <c r="DI23" s="684"/>
      <c r="DJ23" s="580"/>
      <c r="DK23" s="685"/>
      <c r="DL23" s="686"/>
      <c r="DM23" s="687"/>
      <c r="DN23" s="584"/>
      <c r="DO23" s="688"/>
      <c r="DP23" s="584"/>
      <c r="DQ23" s="688"/>
      <c r="DR23" s="584"/>
      <c r="DS23" s="688"/>
      <c r="DT23" s="584"/>
      <c r="DU23" s="688"/>
      <c r="DV23" s="584"/>
      <c r="DW23" s="688"/>
      <c r="DX23" s="584"/>
      <c r="DY23" s="688"/>
      <c r="DZ23" s="584"/>
      <c r="EA23" s="688"/>
      <c r="EB23" s="584"/>
      <c r="EC23" s="688"/>
      <c r="ED23" s="584"/>
      <c r="EE23" s="688"/>
      <c r="EF23" s="584"/>
      <c r="EG23" s="688"/>
      <c r="EH23" s="584"/>
      <c r="EI23" s="688"/>
      <c r="EJ23" s="584"/>
      <c r="EK23" s="688"/>
      <c r="EL23" s="584"/>
      <c r="EM23" s="688"/>
      <c r="EN23" s="584"/>
      <c r="EO23" s="688"/>
      <c r="EP23" s="584"/>
      <c r="EQ23" s="688"/>
      <c r="ER23" s="584"/>
      <c r="ES23" s="688"/>
      <c r="ET23" s="584"/>
      <c r="EU23" s="688"/>
      <c r="EV23" s="584"/>
      <c r="EW23" s="688"/>
      <c r="EX23" s="584"/>
      <c r="EY23" s="688"/>
      <c r="EZ23" s="584"/>
      <c r="FA23" s="688"/>
      <c r="FB23" s="584"/>
      <c r="FC23" s="688"/>
      <c r="FD23" s="584"/>
      <c r="FE23" s="688"/>
      <c r="FF23" s="584"/>
      <c r="FG23" s="688"/>
      <c r="FH23" s="586"/>
      <c r="FI23" s="560"/>
      <c r="FJ23" s="561"/>
      <c r="FK23" s="693"/>
      <c r="FL23" s="684"/>
      <c r="FM23" s="580"/>
      <c r="FN23" s="685"/>
      <c r="FO23" s="686"/>
      <c r="FP23" s="689"/>
      <c r="FQ23" s="690"/>
      <c r="FR23" s="584"/>
      <c r="FS23" s="691"/>
      <c r="FT23" s="690"/>
      <c r="FU23" s="589"/>
      <c r="FV23" s="590"/>
      <c r="FW23" s="591"/>
      <c r="FX23" s="592"/>
      <c r="FY23" s="593"/>
      <c r="FZ23" s="594"/>
      <c r="GA23" s="595"/>
      <c r="GB23" s="596"/>
      <c r="GC23" s="597"/>
      <c r="GD23" s="596"/>
      <c r="GE23" s="598"/>
      <c r="GF23" s="681"/>
      <c r="GG23" s="599"/>
      <c r="GH23" s="599"/>
      <c r="GI23" s="599"/>
      <c r="GJ23" s="612"/>
      <c r="GK23" s="577" t="s">
        <v>465</v>
      </c>
      <c r="GL23" s="606"/>
      <c r="GM23" s="711"/>
      <c r="GN23" s="712">
        <v>13.2</v>
      </c>
      <c r="GO23" s="497" t="s">
        <v>320</v>
      </c>
      <c r="GP23" s="712"/>
      <c r="GQ23" s="606"/>
      <c r="GR23" s="612"/>
      <c r="GS23" s="575"/>
      <c r="GT23" s="670"/>
      <c r="GU23" s="606"/>
      <c r="GV23" s="527"/>
      <c r="GW23" s="606"/>
      <c r="GX23" s="606"/>
      <c r="GY23" s="713"/>
      <c r="GZ23" s="714"/>
      <c r="HA23" s="414"/>
      <c r="HB23" s="714" t="s">
        <v>467</v>
      </c>
      <c r="HC23" s="612"/>
      <c r="HD23" s="559"/>
      <c r="HE23" s="414"/>
      <c r="HF23" s="414"/>
      <c r="HG23" s="416"/>
    </row>
    <row r="24" spans="1:218" ht="20.100000000000001" customHeight="1">
      <c r="A24" s="549"/>
      <c r="B24" s="693"/>
      <c r="C24" s="684"/>
      <c r="D24" s="580"/>
      <c r="E24" s="685"/>
      <c r="F24" s="686"/>
      <c r="G24" s="687"/>
      <c r="H24" s="584"/>
      <c r="I24" s="688"/>
      <c r="J24" s="584"/>
      <c r="K24" s="688"/>
      <c r="L24" s="584"/>
      <c r="M24" s="688"/>
      <c r="N24" s="584"/>
      <c r="O24" s="688"/>
      <c r="P24" s="584"/>
      <c r="Q24" s="688"/>
      <c r="R24" s="584"/>
      <c r="S24" s="688"/>
      <c r="T24" s="584"/>
      <c r="U24" s="688"/>
      <c r="V24" s="584"/>
      <c r="W24" s="688"/>
      <c r="X24" s="584"/>
      <c r="Y24" s="688"/>
      <c r="Z24" s="584"/>
      <c r="AA24" s="688"/>
      <c r="AB24" s="584"/>
      <c r="AC24" s="688"/>
      <c r="AD24" s="584"/>
      <c r="AE24" s="688"/>
      <c r="AF24" s="584"/>
      <c r="AG24" s="688"/>
      <c r="AH24" s="584"/>
      <c r="AI24" s="688"/>
      <c r="AJ24" s="584"/>
      <c r="AK24" s="688"/>
      <c r="AL24" s="584"/>
      <c r="AM24" s="688"/>
      <c r="AN24" s="584"/>
      <c r="AO24" s="688"/>
      <c r="AP24" s="584"/>
      <c r="AQ24" s="688"/>
      <c r="AR24" s="584"/>
      <c r="AS24" s="688"/>
      <c r="AT24" s="584"/>
      <c r="AU24" s="688"/>
      <c r="AV24" s="584"/>
      <c r="AW24" s="688"/>
      <c r="AX24" s="584"/>
      <c r="AY24" s="688"/>
      <c r="AZ24" s="584"/>
      <c r="BA24" s="688"/>
      <c r="BB24" s="586"/>
      <c r="BC24" s="559"/>
      <c r="BD24" s="549"/>
      <c r="BE24" s="693"/>
      <c r="BF24" s="684"/>
      <c r="BG24" s="580"/>
      <c r="BH24" s="685"/>
      <c r="BI24" s="686"/>
      <c r="BJ24" s="687"/>
      <c r="BK24" s="584"/>
      <c r="BL24" s="688"/>
      <c r="BM24" s="584"/>
      <c r="BN24" s="688"/>
      <c r="BO24" s="584"/>
      <c r="BP24" s="688"/>
      <c r="BQ24" s="584"/>
      <c r="BR24" s="688"/>
      <c r="BS24" s="584"/>
      <c r="BT24" s="688"/>
      <c r="BU24" s="584"/>
      <c r="BV24" s="688"/>
      <c r="BW24" s="584"/>
      <c r="BX24" s="688"/>
      <c r="BY24" s="584"/>
      <c r="BZ24" s="688"/>
      <c r="CA24" s="584"/>
      <c r="CB24" s="688"/>
      <c r="CC24" s="584"/>
      <c r="CD24" s="688"/>
      <c r="CE24" s="584"/>
      <c r="CF24" s="688"/>
      <c r="CG24" s="584"/>
      <c r="CH24" s="688"/>
      <c r="CI24" s="584"/>
      <c r="CJ24" s="688"/>
      <c r="CK24" s="584"/>
      <c r="CL24" s="688"/>
      <c r="CM24" s="584"/>
      <c r="CN24" s="688"/>
      <c r="CO24" s="584"/>
      <c r="CP24" s="688"/>
      <c r="CQ24" s="584"/>
      <c r="CR24" s="688"/>
      <c r="CS24" s="584"/>
      <c r="CT24" s="688"/>
      <c r="CU24" s="584"/>
      <c r="CV24" s="688"/>
      <c r="CW24" s="584"/>
      <c r="CX24" s="688"/>
      <c r="CY24" s="584"/>
      <c r="CZ24" s="688"/>
      <c r="DA24" s="584"/>
      <c r="DB24" s="688"/>
      <c r="DC24" s="584"/>
      <c r="DD24" s="688"/>
      <c r="DE24" s="586"/>
      <c r="DF24" s="559"/>
      <c r="DG24" s="549"/>
      <c r="DH24" s="693"/>
      <c r="DI24" s="684"/>
      <c r="DJ24" s="580"/>
      <c r="DK24" s="685"/>
      <c r="DL24" s="686"/>
      <c r="DM24" s="687"/>
      <c r="DN24" s="584"/>
      <c r="DO24" s="688"/>
      <c r="DP24" s="584"/>
      <c r="DQ24" s="688"/>
      <c r="DR24" s="584"/>
      <c r="DS24" s="688"/>
      <c r="DT24" s="584"/>
      <c r="DU24" s="688"/>
      <c r="DV24" s="584"/>
      <c r="DW24" s="688"/>
      <c r="DX24" s="584"/>
      <c r="DY24" s="688"/>
      <c r="DZ24" s="584"/>
      <c r="EA24" s="688"/>
      <c r="EB24" s="584"/>
      <c r="EC24" s="688"/>
      <c r="ED24" s="584"/>
      <c r="EE24" s="688"/>
      <c r="EF24" s="584"/>
      <c r="EG24" s="688"/>
      <c r="EH24" s="584"/>
      <c r="EI24" s="688"/>
      <c r="EJ24" s="584"/>
      <c r="EK24" s="688"/>
      <c r="EL24" s="584"/>
      <c r="EM24" s="688"/>
      <c r="EN24" s="584"/>
      <c r="EO24" s="688"/>
      <c r="EP24" s="584"/>
      <c r="EQ24" s="688"/>
      <c r="ER24" s="584"/>
      <c r="ES24" s="688"/>
      <c r="ET24" s="584"/>
      <c r="EU24" s="688"/>
      <c r="EV24" s="584"/>
      <c r="EW24" s="688"/>
      <c r="EX24" s="584"/>
      <c r="EY24" s="688"/>
      <c r="EZ24" s="584"/>
      <c r="FA24" s="688"/>
      <c r="FB24" s="584"/>
      <c r="FC24" s="688"/>
      <c r="FD24" s="584"/>
      <c r="FE24" s="688"/>
      <c r="FF24" s="584"/>
      <c r="FG24" s="688"/>
      <c r="FH24" s="586"/>
      <c r="FI24" s="560"/>
      <c r="FJ24" s="561"/>
      <c r="FK24" s="693"/>
      <c r="FL24" s="684"/>
      <c r="FM24" s="580"/>
      <c r="FN24" s="685"/>
      <c r="FO24" s="686"/>
      <c r="FP24" s="689"/>
      <c r="FQ24" s="690"/>
      <c r="FR24" s="584"/>
      <c r="FS24" s="691"/>
      <c r="FT24" s="690"/>
      <c r="FU24" s="589"/>
      <c r="FV24" s="590"/>
      <c r="FW24" s="591"/>
      <c r="FX24" s="592"/>
      <c r="FY24" s="593"/>
      <c r="FZ24" s="594"/>
      <c r="GA24" s="595"/>
      <c r="GB24" s="596"/>
      <c r="GC24" s="597"/>
      <c r="GD24" s="596"/>
      <c r="GE24" s="598"/>
      <c r="GF24" s="681"/>
      <c r="GG24" s="599"/>
      <c r="GH24" s="599"/>
      <c r="GI24" s="599"/>
      <c r="GJ24" s="612"/>
      <c r="GK24" s="577" t="s">
        <v>468</v>
      </c>
      <c r="GL24" s="606"/>
      <c r="GM24" s="711"/>
      <c r="GN24" s="712">
        <v>0</v>
      </c>
      <c r="GO24" s="712"/>
      <c r="GP24" s="712"/>
      <c r="GQ24" s="606"/>
      <c r="GR24" s="612"/>
      <c r="GS24" s="606"/>
      <c r="GT24" s="670"/>
      <c r="GU24" s="577" t="s">
        <v>469</v>
      </c>
      <c r="GV24" s="606"/>
      <c r="GW24" s="606"/>
      <c r="GX24" s="414"/>
      <c r="GY24" s="715">
        <v>614</v>
      </c>
      <c r="GZ24" s="577" t="s">
        <v>470</v>
      </c>
      <c r="HA24" s="527"/>
      <c r="HB24" s="527"/>
      <c r="HC24" s="612"/>
      <c r="HD24" s="559"/>
      <c r="HE24" s="716"/>
      <c r="HF24" s="416"/>
      <c r="HG24" s="527"/>
      <c r="HH24" s="559"/>
      <c r="HI24" s="416"/>
      <c r="HJ24" s="416"/>
    </row>
    <row r="25" spans="1:218" ht="20.100000000000001" customHeight="1">
      <c r="A25" s="549"/>
      <c r="B25" s="717"/>
      <c r="C25" s="718"/>
      <c r="D25" s="615"/>
      <c r="E25" s="719"/>
      <c r="F25" s="720"/>
      <c r="G25" s="721"/>
      <c r="H25" s="619"/>
      <c r="I25" s="722"/>
      <c r="J25" s="619"/>
      <c r="K25" s="722"/>
      <c r="L25" s="619"/>
      <c r="M25" s="722"/>
      <c r="N25" s="619"/>
      <c r="O25" s="722"/>
      <c r="P25" s="619"/>
      <c r="Q25" s="722"/>
      <c r="R25" s="619"/>
      <c r="S25" s="722"/>
      <c r="T25" s="619"/>
      <c r="U25" s="722"/>
      <c r="V25" s="619"/>
      <c r="W25" s="722"/>
      <c r="X25" s="619"/>
      <c r="Y25" s="722"/>
      <c r="Z25" s="619"/>
      <c r="AA25" s="722"/>
      <c r="AB25" s="619"/>
      <c r="AC25" s="722"/>
      <c r="AD25" s="619"/>
      <c r="AE25" s="722"/>
      <c r="AF25" s="619"/>
      <c r="AG25" s="722"/>
      <c r="AH25" s="619"/>
      <c r="AI25" s="722"/>
      <c r="AJ25" s="619"/>
      <c r="AK25" s="722"/>
      <c r="AL25" s="619"/>
      <c r="AM25" s="722"/>
      <c r="AN25" s="619"/>
      <c r="AO25" s="722"/>
      <c r="AP25" s="619"/>
      <c r="AQ25" s="722"/>
      <c r="AR25" s="619"/>
      <c r="AS25" s="722"/>
      <c r="AT25" s="619"/>
      <c r="AU25" s="722"/>
      <c r="AV25" s="619"/>
      <c r="AW25" s="722"/>
      <c r="AX25" s="619"/>
      <c r="AY25" s="722"/>
      <c r="AZ25" s="619"/>
      <c r="BA25" s="722"/>
      <c r="BB25" s="621"/>
      <c r="BC25" s="559"/>
      <c r="BD25" s="549"/>
      <c r="BE25" s="717"/>
      <c r="BF25" s="718"/>
      <c r="BG25" s="615"/>
      <c r="BH25" s="719"/>
      <c r="BI25" s="720"/>
      <c r="BJ25" s="721"/>
      <c r="BK25" s="619"/>
      <c r="BL25" s="722"/>
      <c r="BM25" s="619"/>
      <c r="BN25" s="722"/>
      <c r="BO25" s="619"/>
      <c r="BP25" s="722"/>
      <c r="BQ25" s="619"/>
      <c r="BR25" s="722"/>
      <c r="BS25" s="619"/>
      <c r="BT25" s="722"/>
      <c r="BU25" s="619"/>
      <c r="BV25" s="722"/>
      <c r="BW25" s="619"/>
      <c r="BX25" s="722"/>
      <c r="BY25" s="619"/>
      <c r="BZ25" s="722"/>
      <c r="CA25" s="619"/>
      <c r="CB25" s="722"/>
      <c r="CC25" s="619"/>
      <c r="CD25" s="722"/>
      <c r="CE25" s="619"/>
      <c r="CF25" s="722"/>
      <c r="CG25" s="619"/>
      <c r="CH25" s="722"/>
      <c r="CI25" s="619"/>
      <c r="CJ25" s="722"/>
      <c r="CK25" s="619"/>
      <c r="CL25" s="722"/>
      <c r="CM25" s="619"/>
      <c r="CN25" s="722"/>
      <c r="CO25" s="619"/>
      <c r="CP25" s="722"/>
      <c r="CQ25" s="619"/>
      <c r="CR25" s="722"/>
      <c r="CS25" s="619"/>
      <c r="CT25" s="722"/>
      <c r="CU25" s="619"/>
      <c r="CV25" s="722"/>
      <c r="CW25" s="619"/>
      <c r="CX25" s="722"/>
      <c r="CY25" s="619"/>
      <c r="CZ25" s="722"/>
      <c r="DA25" s="619"/>
      <c r="DB25" s="722"/>
      <c r="DC25" s="619"/>
      <c r="DD25" s="722"/>
      <c r="DE25" s="621"/>
      <c r="DF25" s="559"/>
      <c r="DG25" s="549"/>
      <c r="DH25" s="717"/>
      <c r="DI25" s="718"/>
      <c r="DJ25" s="615"/>
      <c r="DK25" s="719"/>
      <c r="DL25" s="720"/>
      <c r="DM25" s="721"/>
      <c r="DN25" s="619"/>
      <c r="DO25" s="722"/>
      <c r="DP25" s="619"/>
      <c r="DQ25" s="722"/>
      <c r="DR25" s="619"/>
      <c r="DS25" s="722"/>
      <c r="DT25" s="619"/>
      <c r="DU25" s="722"/>
      <c r="DV25" s="619"/>
      <c r="DW25" s="722"/>
      <c r="DX25" s="619"/>
      <c r="DY25" s="722"/>
      <c r="DZ25" s="619"/>
      <c r="EA25" s="722"/>
      <c r="EB25" s="619"/>
      <c r="EC25" s="722"/>
      <c r="ED25" s="619"/>
      <c r="EE25" s="722"/>
      <c r="EF25" s="619"/>
      <c r="EG25" s="722"/>
      <c r="EH25" s="619"/>
      <c r="EI25" s="722"/>
      <c r="EJ25" s="619"/>
      <c r="EK25" s="722"/>
      <c r="EL25" s="619"/>
      <c r="EM25" s="722"/>
      <c r="EN25" s="619"/>
      <c r="EO25" s="722"/>
      <c r="EP25" s="619"/>
      <c r="EQ25" s="722"/>
      <c r="ER25" s="619"/>
      <c r="ES25" s="722"/>
      <c r="ET25" s="619"/>
      <c r="EU25" s="722"/>
      <c r="EV25" s="619"/>
      <c r="EW25" s="722"/>
      <c r="EX25" s="619"/>
      <c r="EY25" s="722"/>
      <c r="EZ25" s="619"/>
      <c r="FA25" s="722"/>
      <c r="FB25" s="619"/>
      <c r="FC25" s="722"/>
      <c r="FD25" s="619"/>
      <c r="FE25" s="722"/>
      <c r="FF25" s="619"/>
      <c r="FG25" s="722"/>
      <c r="FH25" s="621"/>
      <c r="FI25" s="560"/>
      <c r="FJ25" s="561"/>
      <c r="FK25" s="717"/>
      <c r="FL25" s="718"/>
      <c r="FM25" s="615"/>
      <c r="FN25" s="719"/>
      <c r="FO25" s="720"/>
      <c r="FP25" s="723"/>
      <c r="FQ25" s="724"/>
      <c r="FR25" s="619"/>
      <c r="FS25" s="725"/>
      <c r="FT25" s="724"/>
      <c r="FU25" s="624"/>
      <c r="FV25" s="590"/>
      <c r="FW25" s="591"/>
      <c r="FX25" s="592"/>
      <c r="FY25" s="593"/>
      <c r="FZ25" s="594"/>
      <c r="GA25" s="595"/>
      <c r="GB25" s="596"/>
      <c r="GC25" s="597"/>
      <c r="GD25" s="596"/>
      <c r="GE25" s="598"/>
      <c r="GF25" s="681"/>
      <c r="GG25" s="599"/>
      <c r="GH25" s="599"/>
      <c r="GI25" s="599"/>
      <c r="GJ25" s="497"/>
      <c r="GK25" s="498"/>
      <c r="GL25" s="498"/>
      <c r="GM25" s="498"/>
      <c r="GN25" s="498"/>
      <c r="GO25" s="498"/>
      <c r="GP25" s="498"/>
      <c r="GQ25" s="498"/>
      <c r="GR25" s="498"/>
      <c r="GS25" s="414"/>
      <c r="GT25" s="670"/>
      <c r="GU25" s="577" t="s">
        <v>471</v>
      </c>
      <c r="GV25" s="606"/>
      <c r="GW25" s="606"/>
      <c r="GX25" s="414"/>
      <c r="GY25" s="726">
        <v>1</v>
      </c>
      <c r="GZ25" s="577"/>
      <c r="HA25" s="527"/>
      <c r="HB25" s="527"/>
      <c r="HC25" s="527"/>
      <c r="HD25" s="559"/>
      <c r="HE25" s="559"/>
      <c r="HF25" s="416"/>
      <c r="HG25" s="416"/>
    </row>
    <row r="26" spans="1:218" ht="20.100000000000001" customHeight="1">
      <c r="A26" s="638"/>
      <c r="B26" s="639"/>
      <c r="C26" s="639"/>
      <c r="D26" s="639" t="s">
        <v>321</v>
      </c>
      <c r="E26" s="639"/>
      <c r="F26" s="639"/>
      <c r="G26" s="641"/>
      <c r="H26" s="642">
        <f>SUM(H16:H25)</f>
        <v>0</v>
      </c>
      <c r="I26" s="727"/>
      <c r="J26" s="642">
        <f>SUM(J16:J25)</f>
        <v>0</v>
      </c>
      <c r="K26" s="728"/>
      <c r="L26" s="642">
        <f>SUM(L16:L25)</f>
        <v>0</v>
      </c>
      <c r="M26" s="728"/>
      <c r="N26" s="642">
        <f>SUM(N16:N25)</f>
        <v>0</v>
      </c>
      <c r="O26" s="728"/>
      <c r="P26" s="642">
        <f>SUM(P16:P25)</f>
        <v>0</v>
      </c>
      <c r="Q26" s="728"/>
      <c r="R26" s="642">
        <f>SUM(R16:R25)</f>
        <v>0</v>
      </c>
      <c r="S26" s="728"/>
      <c r="T26" s="642">
        <f>SUM(T16:T25)</f>
        <v>0</v>
      </c>
      <c r="U26" s="728"/>
      <c r="V26" s="642">
        <f>SUM(V16:V25)</f>
        <v>0</v>
      </c>
      <c r="W26" s="728"/>
      <c r="X26" s="642">
        <f>SUM(X16:X25)</f>
        <v>319</v>
      </c>
      <c r="Y26" s="728"/>
      <c r="Z26" s="642">
        <f>SUM(Z16:Z25)</f>
        <v>389</v>
      </c>
      <c r="AA26" s="728"/>
      <c r="AB26" s="642">
        <f>SUM(AB16:AB25)</f>
        <v>431</v>
      </c>
      <c r="AC26" s="728"/>
      <c r="AD26" s="642">
        <f>SUM(AD16:AD25)</f>
        <v>450</v>
      </c>
      <c r="AE26" s="728"/>
      <c r="AF26" s="642">
        <f>SUM(AF16:AF25)</f>
        <v>454</v>
      </c>
      <c r="AG26" s="728"/>
      <c r="AH26" s="642">
        <f>SUM(AH16:AH25)</f>
        <v>448</v>
      </c>
      <c r="AI26" s="728"/>
      <c r="AJ26" s="642">
        <f>SUM(AJ16:AJ25)</f>
        <v>425</v>
      </c>
      <c r="AK26" s="728"/>
      <c r="AL26" s="642">
        <f>SUM(AL16:AL25)</f>
        <v>410</v>
      </c>
      <c r="AM26" s="728"/>
      <c r="AN26" s="642">
        <f>SUM(AN16:AN25)</f>
        <v>374</v>
      </c>
      <c r="AO26" s="728"/>
      <c r="AP26" s="642">
        <f>SUM(AP16:AP25)</f>
        <v>342</v>
      </c>
      <c r="AQ26" s="728"/>
      <c r="AR26" s="642">
        <f>SUM(AR16:AR25)</f>
        <v>0</v>
      </c>
      <c r="AS26" s="728"/>
      <c r="AT26" s="642">
        <f>SUM(AT16:AT25)</f>
        <v>0</v>
      </c>
      <c r="AU26" s="728"/>
      <c r="AV26" s="642">
        <f>SUM(AV16:AV25)</f>
        <v>0</v>
      </c>
      <c r="AW26" s="728"/>
      <c r="AX26" s="642">
        <f>SUM(AX16:AX25)</f>
        <v>0</v>
      </c>
      <c r="AY26" s="728"/>
      <c r="AZ26" s="642">
        <f>SUM(AZ16:AZ25)</f>
        <v>0</v>
      </c>
      <c r="BA26" s="728"/>
      <c r="BB26" s="644">
        <f>SUM(BB16:BB25)</f>
        <v>0</v>
      </c>
      <c r="BC26" s="645"/>
      <c r="BD26" s="638"/>
      <c r="BE26" s="639"/>
      <c r="BF26" s="639"/>
      <c r="BG26" s="639" t="s">
        <v>321</v>
      </c>
      <c r="BH26" s="639"/>
      <c r="BI26" s="639"/>
      <c r="BJ26" s="641"/>
      <c r="BK26" s="642">
        <f>SUM(BK16:BK25)</f>
        <v>0</v>
      </c>
      <c r="BL26" s="727"/>
      <c r="BM26" s="642">
        <f>SUM(BM16:BM25)</f>
        <v>0</v>
      </c>
      <c r="BN26" s="728"/>
      <c r="BO26" s="642">
        <f>SUM(BO16:BO25)</f>
        <v>0</v>
      </c>
      <c r="BP26" s="728"/>
      <c r="BQ26" s="642">
        <f>SUM(BQ16:BQ25)</f>
        <v>0</v>
      </c>
      <c r="BR26" s="728"/>
      <c r="BS26" s="642">
        <f>SUM(BS16:BS25)</f>
        <v>0</v>
      </c>
      <c r="BT26" s="728"/>
      <c r="BU26" s="642">
        <f>SUM(BU16:BU25)</f>
        <v>0</v>
      </c>
      <c r="BV26" s="728"/>
      <c r="BW26" s="642">
        <f>SUM(BW16:BW25)</f>
        <v>0</v>
      </c>
      <c r="BX26" s="728"/>
      <c r="BY26" s="642">
        <f>SUM(BY16:BY25)</f>
        <v>0</v>
      </c>
      <c r="BZ26" s="728"/>
      <c r="CA26" s="642">
        <f>SUM(CA16:CA25)</f>
        <v>378</v>
      </c>
      <c r="CB26" s="728"/>
      <c r="CC26" s="642">
        <f>SUM(CC16:CC25)</f>
        <v>443</v>
      </c>
      <c r="CD26" s="728"/>
      <c r="CE26" s="642">
        <f>SUM(CE16:CE25)</f>
        <v>484</v>
      </c>
      <c r="CF26" s="728"/>
      <c r="CG26" s="642">
        <f>SUM(CG16:CG25)</f>
        <v>484</v>
      </c>
      <c r="CH26" s="728"/>
      <c r="CI26" s="642">
        <f>SUM(CI16:CI25)</f>
        <v>466</v>
      </c>
      <c r="CJ26" s="728"/>
      <c r="CK26" s="642">
        <f>SUM(CK16:CK25)</f>
        <v>438</v>
      </c>
      <c r="CL26" s="728"/>
      <c r="CM26" s="642">
        <f>SUM(CM16:CM25)</f>
        <v>416</v>
      </c>
      <c r="CN26" s="728"/>
      <c r="CO26" s="642">
        <f>SUM(CO16:CO25)</f>
        <v>395</v>
      </c>
      <c r="CP26" s="728"/>
      <c r="CQ26" s="642">
        <f>SUM(CQ16:CQ25)</f>
        <v>369</v>
      </c>
      <c r="CR26" s="728"/>
      <c r="CS26" s="642">
        <f>SUM(CS16:CS25)</f>
        <v>330</v>
      </c>
      <c r="CT26" s="728"/>
      <c r="CU26" s="642">
        <f>SUM(CU16:CU25)</f>
        <v>0</v>
      </c>
      <c r="CV26" s="728"/>
      <c r="CW26" s="642">
        <f>SUM(CW16:CW25)</f>
        <v>0</v>
      </c>
      <c r="CX26" s="728"/>
      <c r="CY26" s="642">
        <f>SUM(CY16:CY25)</f>
        <v>0</v>
      </c>
      <c r="CZ26" s="728"/>
      <c r="DA26" s="642">
        <f>SUM(DA16:DA25)</f>
        <v>0</v>
      </c>
      <c r="DB26" s="728"/>
      <c r="DC26" s="642">
        <f>SUM(DC16:DC25)</f>
        <v>0</v>
      </c>
      <c r="DD26" s="728"/>
      <c r="DE26" s="644">
        <f>SUM(DE16:DE25)</f>
        <v>0</v>
      </c>
      <c r="DF26" s="645"/>
      <c r="DG26" s="638"/>
      <c r="DH26" s="639"/>
      <c r="DI26" s="639"/>
      <c r="DJ26" s="639" t="s">
        <v>321</v>
      </c>
      <c r="DK26" s="639"/>
      <c r="DL26" s="639"/>
      <c r="DM26" s="641"/>
      <c r="DN26" s="642">
        <f>SUM(DN16:DN25)</f>
        <v>0</v>
      </c>
      <c r="DO26" s="727"/>
      <c r="DP26" s="642">
        <f>SUM(DP16:DP25)</f>
        <v>0</v>
      </c>
      <c r="DQ26" s="728"/>
      <c r="DR26" s="642">
        <f>SUM(DR16:DR25)</f>
        <v>0</v>
      </c>
      <c r="DS26" s="728"/>
      <c r="DT26" s="642">
        <f>SUM(DT16:DT25)</f>
        <v>0</v>
      </c>
      <c r="DU26" s="728"/>
      <c r="DV26" s="642">
        <f>SUM(DV16:DV25)</f>
        <v>0</v>
      </c>
      <c r="DW26" s="728"/>
      <c r="DX26" s="642">
        <f>SUM(DX16:DX25)</f>
        <v>0</v>
      </c>
      <c r="DY26" s="728"/>
      <c r="DZ26" s="642">
        <f>SUM(DZ16:DZ25)</f>
        <v>0</v>
      </c>
      <c r="EA26" s="728"/>
      <c r="EB26" s="642">
        <f>SUM(EB16:EB25)</f>
        <v>0</v>
      </c>
      <c r="EC26" s="728"/>
      <c r="ED26" s="642">
        <f>SUM(ED16:ED25)</f>
        <v>279</v>
      </c>
      <c r="EE26" s="728"/>
      <c r="EF26" s="642">
        <f>SUM(EF16:EF25)</f>
        <v>354</v>
      </c>
      <c r="EG26" s="728"/>
      <c r="EH26" s="642">
        <f>SUM(EH16:EH25)</f>
        <v>399</v>
      </c>
      <c r="EI26" s="728"/>
      <c r="EJ26" s="642">
        <f>SUM(EJ16:EJ25)</f>
        <v>409</v>
      </c>
      <c r="EK26" s="728"/>
      <c r="EL26" s="642">
        <f>SUM(EL16:EL25)</f>
        <v>386</v>
      </c>
      <c r="EM26" s="728"/>
      <c r="EN26" s="642">
        <f>SUM(EN16:EN25)</f>
        <v>354</v>
      </c>
      <c r="EO26" s="728"/>
      <c r="EP26" s="642">
        <f>SUM(EP16:EP25)</f>
        <v>330</v>
      </c>
      <c r="EQ26" s="728"/>
      <c r="ER26" s="642">
        <f>SUM(ER16:ER25)</f>
        <v>312</v>
      </c>
      <c r="ES26" s="728"/>
      <c r="ET26" s="642">
        <f>SUM(ET16:ET25)</f>
        <v>275</v>
      </c>
      <c r="EU26" s="728"/>
      <c r="EV26" s="642">
        <f>SUM(EV16:EV25)</f>
        <v>233</v>
      </c>
      <c r="EW26" s="728"/>
      <c r="EX26" s="642">
        <f>SUM(EX16:EX25)</f>
        <v>0</v>
      </c>
      <c r="EY26" s="728"/>
      <c r="EZ26" s="642">
        <f>SUM(EZ16:EZ25)</f>
        <v>0</v>
      </c>
      <c r="FA26" s="728"/>
      <c r="FB26" s="642">
        <f>SUM(FB16:FB25)</f>
        <v>0</v>
      </c>
      <c r="FC26" s="728"/>
      <c r="FD26" s="642">
        <f>SUM(FD16:FD25)</f>
        <v>0</v>
      </c>
      <c r="FE26" s="728"/>
      <c r="FF26" s="642">
        <f>SUM(FF16:FF25)</f>
        <v>0</v>
      </c>
      <c r="FG26" s="728"/>
      <c r="FH26" s="644">
        <f>SUM(FH16:FH25)</f>
        <v>0</v>
      </c>
      <c r="FI26" s="646"/>
      <c r="FJ26" s="561"/>
      <c r="FK26" s="639"/>
      <c r="FL26" s="639"/>
      <c r="FM26" s="639" t="s">
        <v>531</v>
      </c>
      <c r="FN26" s="639"/>
      <c r="FO26" s="639"/>
      <c r="FP26" s="647"/>
      <c r="FQ26" s="648"/>
      <c r="FR26" s="642">
        <f>SUM(FR16:FR25)</f>
        <v>937</v>
      </c>
      <c r="FS26" s="729"/>
      <c r="FT26" s="648"/>
      <c r="FU26" s="650">
        <f>SUM(FU16:FU25)</f>
        <v>957</v>
      </c>
      <c r="FV26" s="590"/>
      <c r="FW26" s="591"/>
      <c r="FX26" s="592"/>
      <c r="FY26" s="593"/>
      <c r="FZ26" s="594"/>
      <c r="GA26" s="595"/>
      <c r="GB26" s="596"/>
      <c r="GC26" s="597"/>
      <c r="GD26" s="596"/>
      <c r="GE26" s="598"/>
      <c r="GF26" s="651"/>
      <c r="GG26" s="652"/>
      <c r="GH26" s="652"/>
      <c r="GI26" s="652"/>
      <c r="GJ26" s="612"/>
      <c r="GK26" s="527" t="s">
        <v>472</v>
      </c>
      <c r="GL26" s="612"/>
      <c r="GM26" s="527"/>
      <c r="GN26" s="612"/>
      <c r="GO26" s="527"/>
      <c r="GP26" s="612"/>
      <c r="GQ26" s="612"/>
      <c r="GR26" s="612"/>
      <c r="GS26" s="576"/>
      <c r="GT26" s="670"/>
      <c r="GU26" s="577" t="s">
        <v>473</v>
      </c>
      <c r="GV26" s="606"/>
      <c r="GW26" s="606"/>
      <c r="GX26" s="414"/>
      <c r="GY26" s="726">
        <v>0</v>
      </c>
      <c r="GZ26" s="577"/>
      <c r="HA26" s="527"/>
      <c r="HB26" s="527"/>
      <c r="HC26" s="527"/>
      <c r="HD26" s="645"/>
      <c r="HE26" s="416"/>
      <c r="HF26" s="416"/>
      <c r="HG26" s="577"/>
      <c r="HH26" s="645"/>
      <c r="HI26" s="416"/>
      <c r="HJ26" s="416"/>
    </row>
    <row r="27" spans="1:218" ht="20.100000000000001" customHeight="1">
      <c r="A27" s="730" t="s">
        <v>564</v>
      </c>
      <c r="B27" s="731"/>
      <c r="C27" s="732"/>
      <c r="D27" s="660"/>
      <c r="E27" s="732"/>
      <c r="F27" s="732"/>
      <c r="G27" s="733" t="s">
        <v>397</v>
      </c>
      <c r="H27" s="660" t="s">
        <v>398</v>
      </c>
      <c r="I27" s="734" t="s">
        <v>397</v>
      </c>
      <c r="J27" s="660" t="s">
        <v>398</v>
      </c>
      <c r="K27" s="735" t="s">
        <v>397</v>
      </c>
      <c r="L27" s="660" t="s">
        <v>398</v>
      </c>
      <c r="M27" s="735" t="s">
        <v>397</v>
      </c>
      <c r="N27" s="660" t="s">
        <v>398</v>
      </c>
      <c r="O27" s="735" t="s">
        <v>397</v>
      </c>
      <c r="P27" s="660" t="s">
        <v>398</v>
      </c>
      <c r="Q27" s="735" t="s">
        <v>397</v>
      </c>
      <c r="R27" s="660" t="s">
        <v>398</v>
      </c>
      <c r="S27" s="735" t="s">
        <v>397</v>
      </c>
      <c r="T27" s="660" t="s">
        <v>398</v>
      </c>
      <c r="U27" s="735" t="s">
        <v>397</v>
      </c>
      <c r="V27" s="660" t="s">
        <v>398</v>
      </c>
      <c r="W27" s="735" t="s">
        <v>397</v>
      </c>
      <c r="X27" s="660" t="s">
        <v>398</v>
      </c>
      <c r="Y27" s="735" t="s">
        <v>397</v>
      </c>
      <c r="Z27" s="660" t="s">
        <v>398</v>
      </c>
      <c r="AA27" s="735" t="s">
        <v>397</v>
      </c>
      <c r="AB27" s="660" t="s">
        <v>398</v>
      </c>
      <c r="AC27" s="735" t="s">
        <v>397</v>
      </c>
      <c r="AD27" s="660" t="s">
        <v>398</v>
      </c>
      <c r="AE27" s="735" t="s">
        <v>397</v>
      </c>
      <c r="AF27" s="660" t="s">
        <v>398</v>
      </c>
      <c r="AG27" s="735" t="s">
        <v>397</v>
      </c>
      <c r="AH27" s="660" t="s">
        <v>398</v>
      </c>
      <c r="AI27" s="735" t="s">
        <v>397</v>
      </c>
      <c r="AJ27" s="660" t="s">
        <v>398</v>
      </c>
      <c r="AK27" s="735" t="s">
        <v>397</v>
      </c>
      <c r="AL27" s="660" t="s">
        <v>398</v>
      </c>
      <c r="AM27" s="735" t="s">
        <v>397</v>
      </c>
      <c r="AN27" s="660" t="s">
        <v>398</v>
      </c>
      <c r="AO27" s="735" t="s">
        <v>397</v>
      </c>
      <c r="AP27" s="660" t="s">
        <v>398</v>
      </c>
      <c r="AQ27" s="735" t="s">
        <v>397</v>
      </c>
      <c r="AR27" s="660" t="s">
        <v>398</v>
      </c>
      <c r="AS27" s="735" t="s">
        <v>397</v>
      </c>
      <c r="AT27" s="660" t="s">
        <v>398</v>
      </c>
      <c r="AU27" s="735" t="s">
        <v>397</v>
      </c>
      <c r="AV27" s="660" t="s">
        <v>398</v>
      </c>
      <c r="AW27" s="735" t="s">
        <v>397</v>
      </c>
      <c r="AX27" s="660" t="s">
        <v>398</v>
      </c>
      <c r="AY27" s="735" t="s">
        <v>397</v>
      </c>
      <c r="AZ27" s="660" t="s">
        <v>398</v>
      </c>
      <c r="BA27" s="735" t="s">
        <v>397</v>
      </c>
      <c r="BB27" s="662" t="s">
        <v>398</v>
      </c>
      <c r="BC27" s="716"/>
      <c r="BD27" s="730" t="s">
        <v>396</v>
      </c>
      <c r="BE27" s="731"/>
      <c r="BF27" s="732"/>
      <c r="BG27" s="660"/>
      <c r="BH27" s="732"/>
      <c r="BI27" s="732"/>
      <c r="BJ27" s="733" t="s">
        <v>397</v>
      </c>
      <c r="BK27" s="660" t="s">
        <v>398</v>
      </c>
      <c r="BL27" s="734" t="s">
        <v>397</v>
      </c>
      <c r="BM27" s="660" t="s">
        <v>398</v>
      </c>
      <c r="BN27" s="735" t="s">
        <v>397</v>
      </c>
      <c r="BO27" s="660" t="s">
        <v>398</v>
      </c>
      <c r="BP27" s="735" t="s">
        <v>397</v>
      </c>
      <c r="BQ27" s="660" t="s">
        <v>398</v>
      </c>
      <c r="BR27" s="735" t="s">
        <v>397</v>
      </c>
      <c r="BS27" s="660" t="s">
        <v>398</v>
      </c>
      <c r="BT27" s="735" t="s">
        <v>397</v>
      </c>
      <c r="BU27" s="660" t="s">
        <v>398</v>
      </c>
      <c r="BV27" s="735" t="s">
        <v>397</v>
      </c>
      <c r="BW27" s="660" t="s">
        <v>398</v>
      </c>
      <c r="BX27" s="735" t="s">
        <v>397</v>
      </c>
      <c r="BY27" s="660" t="s">
        <v>398</v>
      </c>
      <c r="BZ27" s="735" t="s">
        <v>397</v>
      </c>
      <c r="CA27" s="660" t="s">
        <v>398</v>
      </c>
      <c r="CB27" s="735" t="s">
        <v>397</v>
      </c>
      <c r="CC27" s="660" t="s">
        <v>398</v>
      </c>
      <c r="CD27" s="735" t="s">
        <v>397</v>
      </c>
      <c r="CE27" s="660" t="s">
        <v>398</v>
      </c>
      <c r="CF27" s="735" t="s">
        <v>397</v>
      </c>
      <c r="CG27" s="660" t="s">
        <v>398</v>
      </c>
      <c r="CH27" s="735" t="s">
        <v>397</v>
      </c>
      <c r="CI27" s="660" t="s">
        <v>398</v>
      </c>
      <c r="CJ27" s="735" t="s">
        <v>397</v>
      </c>
      <c r="CK27" s="660" t="s">
        <v>398</v>
      </c>
      <c r="CL27" s="735" t="s">
        <v>397</v>
      </c>
      <c r="CM27" s="660" t="s">
        <v>398</v>
      </c>
      <c r="CN27" s="735" t="s">
        <v>397</v>
      </c>
      <c r="CO27" s="660" t="s">
        <v>398</v>
      </c>
      <c r="CP27" s="735" t="s">
        <v>397</v>
      </c>
      <c r="CQ27" s="660" t="s">
        <v>398</v>
      </c>
      <c r="CR27" s="735" t="s">
        <v>397</v>
      </c>
      <c r="CS27" s="660" t="s">
        <v>398</v>
      </c>
      <c r="CT27" s="735" t="s">
        <v>397</v>
      </c>
      <c r="CU27" s="660" t="s">
        <v>398</v>
      </c>
      <c r="CV27" s="735" t="s">
        <v>397</v>
      </c>
      <c r="CW27" s="660" t="s">
        <v>398</v>
      </c>
      <c r="CX27" s="735" t="s">
        <v>397</v>
      </c>
      <c r="CY27" s="660" t="s">
        <v>398</v>
      </c>
      <c r="CZ27" s="735" t="s">
        <v>397</v>
      </c>
      <c r="DA27" s="660" t="s">
        <v>398</v>
      </c>
      <c r="DB27" s="735" t="s">
        <v>397</v>
      </c>
      <c r="DC27" s="660" t="s">
        <v>398</v>
      </c>
      <c r="DD27" s="735" t="s">
        <v>397</v>
      </c>
      <c r="DE27" s="662" t="s">
        <v>398</v>
      </c>
      <c r="DF27" s="716"/>
      <c r="DG27" s="730" t="s">
        <v>396</v>
      </c>
      <c r="DH27" s="736"/>
      <c r="DI27" s="737"/>
      <c r="DJ27" s="738"/>
      <c r="DK27" s="737"/>
      <c r="DL27" s="737"/>
      <c r="DM27" s="733" t="s">
        <v>397</v>
      </c>
      <c r="DN27" s="660" t="s">
        <v>398</v>
      </c>
      <c r="DO27" s="734" t="s">
        <v>397</v>
      </c>
      <c r="DP27" s="660" t="s">
        <v>398</v>
      </c>
      <c r="DQ27" s="735" t="s">
        <v>397</v>
      </c>
      <c r="DR27" s="660" t="s">
        <v>398</v>
      </c>
      <c r="DS27" s="735" t="s">
        <v>397</v>
      </c>
      <c r="DT27" s="660" t="s">
        <v>398</v>
      </c>
      <c r="DU27" s="735" t="s">
        <v>397</v>
      </c>
      <c r="DV27" s="660" t="s">
        <v>398</v>
      </c>
      <c r="DW27" s="735" t="s">
        <v>397</v>
      </c>
      <c r="DX27" s="660" t="s">
        <v>398</v>
      </c>
      <c r="DY27" s="735" t="s">
        <v>397</v>
      </c>
      <c r="DZ27" s="660" t="s">
        <v>398</v>
      </c>
      <c r="EA27" s="735" t="s">
        <v>397</v>
      </c>
      <c r="EB27" s="660" t="s">
        <v>398</v>
      </c>
      <c r="EC27" s="735" t="s">
        <v>397</v>
      </c>
      <c r="ED27" s="660" t="s">
        <v>398</v>
      </c>
      <c r="EE27" s="735" t="s">
        <v>397</v>
      </c>
      <c r="EF27" s="660" t="s">
        <v>398</v>
      </c>
      <c r="EG27" s="735" t="s">
        <v>397</v>
      </c>
      <c r="EH27" s="660" t="s">
        <v>398</v>
      </c>
      <c r="EI27" s="735" t="s">
        <v>397</v>
      </c>
      <c r="EJ27" s="660" t="s">
        <v>398</v>
      </c>
      <c r="EK27" s="735" t="s">
        <v>397</v>
      </c>
      <c r="EL27" s="660" t="s">
        <v>398</v>
      </c>
      <c r="EM27" s="735" t="s">
        <v>397</v>
      </c>
      <c r="EN27" s="660" t="s">
        <v>398</v>
      </c>
      <c r="EO27" s="735" t="s">
        <v>397</v>
      </c>
      <c r="EP27" s="660" t="s">
        <v>398</v>
      </c>
      <c r="EQ27" s="735" t="s">
        <v>397</v>
      </c>
      <c r="ER27" s="660" t="s">
        <v>398</v>
      </c>
      <c r="ES27" s="735" t="s">
        <v>397</v>
      </c>
      <c r="ET27" s="660" t="s">
        <v>398</v>
      </c>
      <c r="EU27" s="735" t="s">
        <v>397</v>
      </c>
      <c r="EV27" s="660" t="s">
        <v>398</v>
      </c>
      <c r="EW27" s="735" t="s">
        <v>397</v>
      </c>
      <c r="EX27" s="660" t="s">
        <v>398</v>
      </c>
      <c r="EY27" s="735" t="s">
        <v>397</v>
      </c>
      <c r="EZ27" s="660" t="s">
        <v>398</v>
      </c>
      <c r="FA27" s="735" t="s">
        <v>397</v>
      </c>
      <c r="FB27" s="660" t="s">
        <v>398</v>
      </c>
      <c r="FC27" s="735" t="s">
        <v>397</v>
      </c>
      <c r="FD27" s="660" t="s">
        <v>398</v>
      </c>
      <c r="FE27" s="735" t="s">
        <v>397</v>
      </c>
      <c r="FF27" s="660" t="s">
        <v>398</v>
      </c>
      <c r="FG27" s="735" t="s">
        <v>397</v>
      </c>
      <c r="FH27" s="662" t="s">
        <v>398</v>
      </c>
      <c r="FI27" s="739"/>
      <c r="FJ27" s="539" t="s">
        <v>396</v>
      </c>
      <c r="FK27" s="736"/>
      <c r="FL27" s="737"/>
      <c r="FM27" s="738"/>
      <c r="FN27" s="737"/>
      <c r="FO27" s="737"/>
      <c r="FP27" s="740" t="s">
        <v>401</v>
      </c>
      <c r="FQ27" s="666" t="s">
        <v>397</v>
      </c>
      <c r="FR27" s="660" t="s">
        <v>402</v>
      </c>
      <c r="FS27" s="741" t="s">
        <v>401</v>
      </c>
      <c r="FT27" s="666" t="s">
        <v>397</v>
      </c>
      <c r="FU27" s="668" t="s">
        <v>402</v>
      </c>
      <c r="FV27" s="590"/>
      <c r="FW27" s="591"/>
      <c r="FX27" s="592"/>
      <c r="FY27" s="593"/>
      <c r="FZ27" s="594"/>
      <c r="GA27" s="595"/>
      <c r="GB27" s="596"/>
      <c r="GC27" s="597"/>
      <c r="GD27" s="596"/>
      <c r="GE27" s="598"/>
      <c r="GF27" s="742"/>
      <c r="GG27" s="743"/>
      <c r="GH27" s="743"/>
      <c r="GI27" s="743"/>
      <c r="GJ27" s="612"/>
      <c r="GK27" s="527" t="s">
        <v>474</v>
      </c>
      <c r="GL27" s="612"/>
      <c r="GM27" s="612"/>
      <c r="GN27" s="612"/>
      <c r="GO27" s="414"/>
      <c r="GP27" s="744">
        <v>27.3</v>
      </c>
      <c r="GQ27" s="414" t="s">
        <v>475</v>
      </c>
      <c r="GR27" s="414"/>
      <c r="GS27" s="576"/>
      <c r="GT27" s="497"/>
      <c r="GU27" s="497"/>
      <c r="GV27" s="497"/>
      <c r="GW27" s="576"/>
      <c r="GX27" s="576"/>
      <c r="GY27" s="576"/>
      <c r="GZ27" s="575"/>
      <c r="HA27" s="497"/>
      <c r="HB27" s="497"/>
      <c r="HC27" s="527"/>
      <c r="HD27" s="410"/>
      <c r="HE27" s="416"/>
      <c r="HF27" s="416"/>
      <c r="HG27" s="416"/>
      <c r="HH27" s="416"/>
    </row>
    <row r="28" spans="1:218" ht="20.100000000000001" customHeight="1">
      <c r="A28" s="549"/>
      <c r="B28" s="745" t="s">
        <v>403</v>
      </c>
      <c r="C28" s="746"/>
      <c r="D28" s="747">
        <v>69</v>
      </c>
      <c r="E28" s="748">
        <v>4</v>
      </c>
      <c r="F28" s="749" t="s">
        <v>404</v>
      </c>
      <c r="G28" s="750"/>
      <c r="H28" s="556"/>
      <c r="I28" s="751"/>
      <c r="J28" s="556"/>
      <c r="K28" s="751"/>
      <c r="L28" s="556"/>
      <c r="M28" s="751"/>
      <c r="N28" s="556"/>
      <c r="O28" s="751"/>
      <c r="P28" s="556"/>
      <c r="Q28" s="751"/>
      <c r="R28" s="556"/>
      <c r="S28" s="751"/>
      <c r="T28" s="556"/>
      <c r="U28" s="751"/>
      <c r="V28" s="556"/>
      <c r="W28" s="751">
        <v>1</v>
      </c>
      <c r="X28" s="556">
        <v>276</v>
      </c>
      <c r="Y28" s="751">
        <v>1</v>
      </c>
      <c r="Z28" s="556">
        <v>276</v>
      </c>
      <c r="AA28" s="751">
        <v>1</v>
      </c>
      <c r="AB28" s="556">
        <v>276</v>
      </c>
      <c r="AC28" s="751">
        <v>1</v>
      </c>
      <c r="AD28" s="556">
        <v>276</v>
      </c>
      <c r="AE28" s="751">
        <v>1</v>
      </c>
      <c r="AF28" s="556">
        <v>276</v>
      </c>
      <c r="AG28" s="751">
        <v>1</v>
      </c>
      <c r="AH28" s="556">
        <v>276</v>
      </c>
      <c r="AI28" s="751">
        <v>1</v>
      </c>
      <c r="AJ28" s="556">
        <v>276</v>
      </c>
      <c r="AK28" s="751">
        <v>1</v>
      </c>
      <c r="AL28" s="556">
        <v>276</v>
      </c>
      <c r="AM28" s="751">
        <v>1</v>
      </c>
      <c r="AN28" s="556">
        <v>276</v>
      </c>
      <c r="AO28" s="751">
        <v>1</v>
      </c>
      <c r="AP28" s="556">
        <v>276</v>
      </c>
      <c r="AQ28" s="751"/>
      <c r="AR28" s="556"/>
      <c r="AS28" s="751"/>
      <c r="AT28" s="556"/>
      <c r="AU28" s="751"/>
      <c r="AV28" s="556"/>
      <c r="AW28" s="751"/>
      <c r="AX28" s="556"/>
      <c r="AY28" s="751"/>
      <c r="AZ28" s="556"/>
      <c r="BA28" s="751"/>
      <c r="BB28" s="677"/>
      <c r="BC28" s="559"/>
      <c r="BD28" s="549"/>
      <c r="BE28" s="745" t="s">
        <v>403</v>
      </c>
      <c r="BF28" s="746"/>
      <c r="BG28" s="747">
        <v>69</v>
      </c>
      <c r="BH28" s="748">
        <v>4</v>
      </c>
      <c r="BI28" s="749" t="s">
        <v>404</v>
      </c>
      <c r="BJ28" s="750"/>
      <c r="BK28" s="556"/>
      <c r="BL28" s="751"/>
      <c r="BM28" s="556"/>
      <c r="BN28" s="751"/>
      <c r="BO28" s="556"/>
      <c r="BP28" s="751"/>
      <c r="BQ28" s="556"/>
      <c r="BR28" s="751"/>
      <c r="BS28" s="556"/>
      <c r="BT28" s="751"/>
      <c r="BU28" s="556"/>
      <c r="BV28" s="751"/>
      <c r="BW28" s="556"/>
      <c r="BX28" s="751"/>
      <c r="BY28" s="556"/>
      <c r="BZ28" s="751">
        <v>1</v>
      </c>
      <c r="CA28" s="556">
        <v>276</v>
      </c>
      <c r="CB28" s="751">
        <v>1</v>
      </c>
      <c r="CC28" s="556">
        <v>276</v>
      </c>
      <c r="CD28" s="751">
        <v>1</v>
      </c>
      <c r="CE28" s="556">
        <v>276</v>
      </c>
      <c r="CF28" s="751">
        <v>1</v>
      </c>
      <c r="CG28" s="556">
        <v>276</v>
      </c>
      <c r="CH28" s="751">
        <v>1</v>
      </c>
      <c r="CI28" s="556">
        <v>276</v>
      </c>
      <c r="CJ28" s="751">
        <v>1</v>
      </c>
      <c r="CK28" s="556">
        <v>276</v>
      </c>
      <c r="CL28" s="751">
        <v>1</v>
      </c>
      <c r="CM28" s="556">
        <v>276</v>
      </c>
      <c r="CN28" s="751">
        <v>1</v>
      </c>
      <c r="CO28" s="556">
        <v>276</v>
      </c>
      <c r="CP28" s="751">
        <v>1</v>
      </c>
      <c r="CQ28" s="556">
        <v>276</v>
      </c>
      <c r="CR28" s="751">
        <v>1</v>
      </c>
      <c r="CS28" s="556">
        <v>276</v>
      </c>
      <c r="CT28" s="751"/>
      <c r="CU28" s="556"/>
      <c r="CV28" s="751"/>
      <c r="CW28" s="556"/>
      <c r="CX28" s="751"/>
      <c r="CY28" s="556"/>
      <c r="CZ28" s="751"/>
      <c r="DA28" s="556"/>
      <c r="DB28" s="751"/>
      <c r="DC28" s="556"/>
      <c r="DD28" s="751"/>
      <c r="DE28" s="677"/>
      <c r="DF28" s="559"/>
      <c r="DG28" s="549"/>
      <c r="DH28" s="745" t="s">
        <v>403</v>
      </c>
      <c r="DI28" s="746"/>
      <c r="DJ28" s="747">
        <v>69</v>
      </c>
      <c r="DK28" s="748">
        <v>4</v>
      </c>
      <c r="DL28" s="749" t="s">
        <v>404</v>
      </c>
      <c r="DM28" s="750"/>
      <c r="DN28" s="556"/>
      <c r="DO28" s="751"/>
      <c r="DP28" s="556"/>
      <c r="DQ28" s="751"/>
      <c r="DR28" s="556"/>
      <c r="DS28" s="751"/>
      <c r="DT28" s="556"/>
      <c r="DU28" s="751"/>
      <c r="DV28" s="556"/>
      <c r="DW28" s="751"/>
      <c r="DX28" s="556"/>
      <c r="DY28" s="751"/>
      <c r="DZ28" s="556"/>
      <c r="EA28" s="751"/>
      <c r="EB28" s="556"/>
      <c r="EC28" s="751">
        <v>1</v>
      </c>
      <c r="ED28" s="556">
        <v>276</v>
      </c>
      <c r="EE28" s="751">
        <v>1</v>
      </c>
      <c r="EF28" s="556">
        <v>276</v>
      </c>
      <c r="EG28" s="751">
        <v>1</v>
      </c>
      <c r="EH28" s="556">
        <v>276</v>
      </c>
      <c r="EI28" s="751">
        <v>1</v>
      </c>
      <c r="EJ28" s="556">
        <v>276</v>
      </c>
      <c r="EK28" s="751">
        <v>1</v>
      </c>
      <c r="EL28" s="556">
        <v>276</v>
      </c>
      <c r="EM28" s="751">
        <v>1</v>
      </c>
      <c r="EN28" s="556">
        <v>276</v>
      </c>
      <c r="EO28" s="751">
        <v>1</v>
      </c>
      <c r="EP28" s="556">
        <v>276</v>
      </c>
      <c r="EQ28" s="751">
        <v>1</v>
      </c>
      <c r="ER28" s="556">
        <v>276</v>
      </c>
      <c r="ES28" s="751">
        <v>1</v>
      </c>
      <c r="ET28" s="556">
        <v>276</v>
      </c>
      <c r="EU28" s="751">
        <v>1</v>
      </c>
      <c r="EV28" s="556">
        <v>276</v>
      </c>
      <c r="EW28" s="751"/>
      <c r="EX28" s="556"/>
      <c r="EY28" s="751"/>
      <c r="EZ28" s="556"/>
      <c r="FA28" s="751"/>
      <c r="FB28" s="556"/>
      <c r="FC28" s="751"/>
      <c r="FD28" s="556"/>
      <c r="FE28" s="751"/>
      <c r="FF28" s="556"/>
      <c r="FG28" s="751"/>
      <c r="FH28" s="677"/>
      <c r="FI28" s="560"/>
      <c r="FJ28" s="561"/>
      <c r="FK28" s="745" t="s">
        <v>403</v>
      </c>
      <c r="FL28" s="746"/>
      <c r="FM28" s="752"/>
      <c r="FN28" s="748">
        <v>0</v>
      </c>
      <c r="FO28" s="749"/>
      <c r="FP28" s="678"/>
      <c r="FQ28" s="753"/>
      <c r="FR28" s="556">
        <v>0</v>
      </c>
      <c r="FS28" s="754"/>
      <c r="FT28" s="753"/>
      <c r="FU28" s="564">
        <v>0</v>
      </c>
      <c r="FV28" s="590"/>
      <c r="FW28" s="591"/>
      <c r="FX28" s="592"/>
      <c r="FY28" s="593"/>
      <c r="FZ28" s="594"/>
      <c r="GA28" s="595"/>
      <c r="GB28" s="596"/>
      <c r="GC28" s="597"/>
      <c r="GD28" s="596"/>
      <c r="GE28" s="598"/>
      <c r="GF28" s="755"/>
      <c r="GG28" s="599"/>
      <c r="GH28" s="599"/>
      <c r="GI28" s="599"/>
      <c r="GJ28" s="612"/>
      <c r="GK28" s="527" t="s">
        <v>476</v>
      </c>
      <c r="GL28" s="414"/>
      <c r="GM28" s="414"/>
      <c r="GN28" s="414"/>
      <c r="GO28" s="527"/>
      <c r="GP28" s="744">
        <v>26</v>
      </c>
      <c r="GQ28" s="414" t="s">
        <v>475</v>
      </c>
      <c r="GR28" s="726"/>
      <c r="GS28" s="527"/>
      <c r="GT28" s="756"/>
      <c r="GU28" s="577" t="s">
        <v>477</v>
      </c>
      <c r="GV28" s="606"/>
      <c r="GW28" s="527"/>
      <c r="GX28" s="526"/>
      <c r="GY28" s="410"/>
      <c r="GZ28" s="612"/>
      <c r="HA28" s="527"/>
      <c r="HB28" s="527"/>
      <c r="HC28" s="527"/>
      <c r="HD28" s="527"/>
      <c r="HE28" s="416"/>
      <c r="HF28" s="416"/>
      <c r="HG28" s="416"/>
      <c r="HH28" s="416"/>
    </row>
    <row r="29" spans="1:218" ht="20.100000000000001" customHeight="1" thickBot="1">
      <c r="A29" s="549"/>
      <c r="B29" s="757" t="s">
        <v>405</v>
      </c>
      <c r="C29" s="758"/>
      <c r="D29" s="759">
        <v>15</v>
      </c>
      <c r="E29" s="760">
        <v>13.2</v>
      </c>
      <c r="F29" s="761" t="s">
        <v>404</v>
      </c>
      <c r="G29" s="762"/>
      <c r="H29" s="584"/>
      <c r="I29" s="763"/>
      <c r="J29" s="584"/>
      <c r="K29" s="763"/>
      <c r="L29" s="584"/>
      <c r="M29" s="763"/>
      <c r="N29" s="584"/>
      <c r="O29" s="763"/>
      <c r="P29" s="584"/>
      <c r="Q29" s="763"/>
      <c r="R29" s="584"/>
      <c r="S29" s="763"/>
      <c r="T29" s="584"/>
      <c r="U29" s="763"/>
      <c r="V29" s="584"/>
      <c r="W29" s="763">
        <v>1</v>
      </c>
      <c r="X29" s="584">
        <v>198</v>
      </c>
      <c r="Y29" s="763">
        <v>1</v>
      </c>
      <c r="Z29" s="584">
        <v>198</v>
      </c>
      <c r="AA29" s="763">
        <v>1</v>
      </c>
      <c r="AB29" s="584">
        <v>198</v>
      </c>
      <c r="AC29" s="763">
        <v>1</v>
      </c>
      <c r="AD29" s="584">
        <v>198</v>
      </c>
      <c r="AE29" s="763">
        <v>1</v>
      </c>
      <c r="AF29" s="584">
        <v>198</v>
      </c>
      <c r="AG29" s="763">
        <v>1</v>
      </c>
      <c r="AH29" s="584">
        <v>198</v>
      </c>
      <c r="AI29" s="763">
        <v>1</v>
      </c>
      <c r="AJ29" s="584">
        <v>198</v>
      </c>
      <c r="AK29" s="763">
        <v>1</v>
      </c>
      <c r="AL29" s="584">
        <v>198</v>
      </c>
      <c r="AM29" s="763">
        <v>1</v>
      </c>
      <c r="AN29" s="584">
        <v>198</v>
      </c>
      <c r="AO29" s="763">
        <v>1</v>
      </c>
      <c r="AP29" s="584">
        <v>198</v>
      </c>
      <c r="AQ29" s="763"/>
      <c r="AR29" s="584"/>
      <c r="AS29" s="763"/>
      <c r="AT29" s="584"/>
      <c r="AU29" s="763"/>
      <c r="AV29" s="584"/>
      <c r="AW29" s="763"/>
      <c r="AX29" s="584"/>
      <c r="AY29" s="763"/>
      <c r="AZ29" s="584"/>
      <c r="BA29" s="763"/>
      <c r="BB29" s="586"/>
      <c r="BC29" s="559"/>
      <c r="BD29" s="549"/>
      <c r="BE29" s="757" t="s">
        <v>405</v>
      </c>
      <c r="BF29" s="758"/>
      <c r="BG29" s="759">
        <v>15</v>
      </c>
      <c r="BH29" s="760">
        <v>13.2</v>
      </c>
      <c r="BI29" s="761" t="s">
        <v>404</v>
      </c>
      <c r="BJ29" s="762"/>
      <c r="BK29" s="584"/>
      <c r="BL29" s="763"/>
      <c r="BM29" s="584"/>
      <c r="BN29" s="763"/>
      <c r="BO29" s="584"/>
      <c r="BP29" s="763"/>
      <c r="BQ29" s="584"/>
      <c r="BR29" s="763"/>
      <c r="BS29" s="584"/>
      <c r="BT29" s="763"/>
      <c r="BU29" s="584"/>
      <c r="BV29" s="763"/>
      <c r="BW29" s="584"/>
      <c r="BX29" s="763"/>
      <c r="BY29" s="584"/>
      <c r="BZ29" s="763">
        <v>1</v>
      </c>
      <c r="CA29" s="584">
        <v>198</v>
      </c>
      <c r="CB29" s="763">
        <v>1</v>
      </c>
      <c r="CC29" s="584">
        <v>198</v>
      </c>
      <c r="CD29" s="763">
        <v>1</v>
      </c>
      <c r="CE29" s="584">
        <v>198</v>
      </c>
      <c r="CF29" s="763">
        <v>1</v>
      </c>
      <c r="CG29" s="584">
        <v>198</v>
      </c>
      <c r="CH29" s="763">
        <v>1</v>
      </c>
      <c r="CI29" s="584">
        <v>198</v>
      </c>
      <c r="CJ29" s="763">
        <v>1</v>
      </c>
      <c r="CK29" s="584">
        <v>198</v>
      </c>
      <c r="CL29" s="763">
        <v>1</v>
      </c>
      <c r="CM29" s="584">
        <v>198</v>
      </c>
      <c r="CN29" s="763">
        <v>1</v>
      </c>
      <c r="CO29" s="584">
        <v>198</v>
      </c>
      <c r="CP29" s="763">
        <v>1</v>
      </c>
      <c r="CQ29" s="584">
        <v>198</v>
      </c>
      <c r="CR29" s="763">
        <v>1</v>
      </c>
      <c r="CS29" s="584">
        <v>198</v>
      </c>
      <c r="CT29" s="763"/>
      <c r="CU29" s="584"/>
      <c r="CV29" s="763"/>
      <c r="CW29" s="584"/>
      <c r="CX29" s="763"/>
      <c r="CY29" s="584"/>
      <c r="CZ29" s="763"/>
      <c r="DA29" s="584"/>
      <c r="DB29" s="763"/>
      <c r="DC29" s="584"/>
      <c r="DD29" s="763"/>
      <c r="DE29" s="586"/>
      <c r="DF29" s="559"/>
      <c r="DG29" s="549"/>
      <c r="DH29" s="757" t="s">
        <v>405</v>
      </c>
      <c r="DI29" s="758"/>
      <c r="DJ29" s="759">
        <v>15</v>
      </c>
      <c r="DK29" s="760">
        <v>13.2</v>
      </c>
      <c r="DL29" s="761" t="s">
        <v>404</v>
      </c>
      <c r="DM29" s="762"/>
      <c r="DN29" s="584"/>
      <c r="DO29" s="763"/>
      <c r="DP29" s="584"/>
      <c r="DQ29" s="763"/>
      <c r="DR29" s="584"/>
      <c r="DS29" s="763"/>
      <c r="DT29" s="584"/>
      <c r="DU29" s="763"/>
      <c r="DV29" s="584"/>
      <c r="DW29" s="763"/>
      <c r="DX29" s="584"/>
      <c r="DY29" s="763"/>
      <c r="DZ29" s="584"/>
      <c r="EA29" s="763"/>
      <c r="EB29" s="584"/>
      <c r="EC29" s="763">
        <v>1</v>
      </c>
      <c r="ED29" s="584">
        <v>198</v>
      </c>
      <c r="EE29" s="763">
        <v>1</v>
      </c>
      <c r="EF29" s="584">
        <v>198</v>
      </c>
      <c r="EG29" s="763">
        <v>1</v>
      </c>
      <c r="EH29" s="584">
        <v>198</v>
      </c>
      <c r="EI29" s="763">
        <v>1</v>
      </c>
      <c r="EJ29" s="584">
        <v>198</v>
      </c>
      <c r="EK29" s="763">
        <v>1</v>
      </c>
      <c r="EL29" s="584">
        <v>198</v>
      </c>
      <c r="EM29" s="763">
        <v>1</v>
      </c>
      <c r="EN29" s="584">
        <v>198</v>
      </c>
      <c r="EO29" s="763">
        <v>1</v>
      </c>
      <c r="EP29" s="584">
        <v>198</v>
      </c>
      <c r="EQ29" s="763">
        <v>1</v>
      </c>
      <c r="ER29" s="584">
        <v>198</v>
      </c>
      <c r="ES29" s="763">
        <v>1</v>
      </c>
      <c r="ET29" s="584">
        <v>198</v>
      </c>
      <c r="EU29" s="763">
        <v>1</v>
      </c>
      <c r="EV29" s="584">
        <v>198</v>
      </c>
      <c r="EW29" s="763"/>
      <c r="EX29" s="584"/>
      <c r="EY29" s="763"/>
      <c r="EZ29" s="584"/>
      <c r="FA29" s="763"/>
      <c r="FB29" s="584"/>
      <c r="FC29" s="763"/>
      <c r="FD29" s="584"/>
      <c r="FE29" s="763"/>
      <c r="FF29" s="584"/>
      <c r="FG29" s="763"/>
      <c r="FH29" s="586"/>
      <c r="FI29" s="560"/>
      <c r="FJ29" s="561"/>
      <c r="FK29" s="757" t="s">
        <v>405</v>
      </c>
      <c r="FL29" s="758"/>
      <c r="FM29" s="764"/>
      <c r="FN29" s="760">
        <v>0</v>
      </c>
      <c r="FO29" s="761"/>
      <c r="FP29" s="689"/>
      <c r="FQ29" s="765"/>
      <c r="FR29" s="584">
        <v>0</v>
      </c>
      <c r="FS29" s="766"/>
      <c r="FT29" s="765"/>
      <c r="FU29" s="589">
        <v>0</v>
      </c>
      <c r="FV29" s="590"/>
      <c r="FW29" s="591"/>
      <c r="FX29" s="592"/>
      <c r="FY29" s="593"/>
      <c r="FZ29" s="594"/>
      <c r="GA29" s="595"/>
      <c r="GB29" s="596"/>
      <c r="GC29" s="597"/>
      <c r="GD29" s="596"/>
      <c r="GE29" s="598"/>
      <c r="GF29" s="755"/>
      <c r="GG29" s="599"/>
      <c r="GH29" s="599"/>
      <c r="GI29" s="599"/>
      <c r="GJ29" s="612"/>
      <c r="GK29" s="767" t="s">
        <v>478</v>
      </c>
      <c r="GL29" s="767"/>
      <c r="GM29" s="767"/>
      <c r="GN29" s="767"/>
      <c r="GO29" s="612"/>
      <c r="GP29" s="744">
        <v>1.3000000000000007</v>
      </c>
      <c r="GQ29" s="414" t="s">
        <v>475</v>
      </c>
      <c r="GR29" s="768"/>
      <c r="GS29" s="527"/>
      <c r="GT29" s="756"/>
      <c r="GU29" s="577" t="s">
        <v>479</v>
      </c>
      <c r="GV29" s="606"/>
      <c r="GW29" s="527"/>
      <c r="GX29" s="526"/>
      <c r="GY29" s="410"/>
      <c r="GZ29" s="527"/>
      <c r="HA29" s="577"/>
      <c r="HB29" s="577"/>
      <c r="HC29" s="576"/>
      <c r="HD29" s="527"/>
      <c r="HE29" s="416"/>
      <c r="HF29" s="416"/>
    </row>
    <row r="30" spans="1:218" ht="20.100000000000001" customHeight="1">
      <c r="A30" s="549"/>
      <c r="B30" s="757" t="s">
        <v>406</v>
      </c>
      <c r="C30" s="759"/>
      <c r="D30" s="760">
        <v>0</v>
      </c>
      <c r="E30" s="769"/>
      <c r="F30" s="770"/>
      <c r="G30" s="762"/>
      <c r="H30" s="584"/>
      <c r="I30" s="763"/>
      <c r="J30" s="584"/>
      <c r="K30" s="763"/>
      <c r="L30" s="584"/>
      <c r="M30" s="763"/>
      <c r="N30" s="584"/>
      <c r="O30" s="763"/>
      <c r="P30" s="584"/>
      <c r="Q30" s="763"/>
      <c r="R30" s="584"/>
      <c r="S30" s="763"/>
      <c r="T30" s="584"/>
      <c r="U30" s="763"/>
      <c r="V30" s="584"/>
      <c r="W30" s="763"/>
      <c r="X30" s="584">
        <v>0</v>
      </c>
      <c r="Y30" s="763"/>
      <c r="Z30" s="584">
        <v>0</v>
      </c>
      <c r="AA30" s="763"/>
      <c r="AB30" s="584">
        <v>0</v>
      </c>
      <c r="AC30" s="763"/>
      <c r="AD30" s="584">
        <v>0</v>
      </c>
      <c r="AE30" s="763"/>
      <c r="AF30" s="584">
        <v>0</v>
      </c>
      <c r="AG30" s="763"/>
      <c r="AH30" s="584">
        <v>0</v>
      </c>
      <c r="AI30" s="763"/>
      <c r="AJ30" s="584">
        <v>0</v>
      </c>
      <c r="AK30" s="763"/>
      <c r="AL30" s="584">
        <v>0</v>
      </c>
      <c r="AM30" s="763"/>
      <c r="AN30" s="584">
        <v>0</v>
      </c>
      <c r="AO30" s="763"/>
      <c r="AP30" s="584">
        <v>0</v>
      </c>
      <c r="AQ30" s="763"/>
      <c r="AR30" s="584"/>
      <c r="AS30" s="763"/>
      <c r="AT30" s="584"/>
      <c r="AU30" s="763"/>
      <c r="AV30" s="584"/>
      <c r="AW30" s="763"/>
      <c r="AX30" s="584"/>
      <c r="AY30" s="763"/>
      <c r="AZ30" s="584"/>
      <c r="BA30" s="763"/>
      <c r="BB30" s="586"/>
      <c r="BC30" s="559"/>
      <c r="BD30" s="549"/>
      <c r="BE30" s="757" t="s">
        <v>406</v>
      </c>
      <c r="BF30" s="759">
        <v>0</v>
      </c>
      <c r="BG30" s="760">
        <v>0</v>
      </c>
      <c r="BH30" s="769">
        <v>0</v>
      </c>
      <c r="BI30" s="770"/>
      <c r="BJ30" s="762"/>
      <c r="BK30" s="584"/>
      <c r="BL30" s="763"/>
      <c r="BM30" s="584"/>
      <c r="BN30" s="763"/>
      <c r="BO30" s="584"/>
      <c r="BP30" s="763"/>
      <c r="BQ30" s="584"/>
      <c r="BR30" s="763"/>
      <c r="BS30" s="584"/>
      <c r="BT30" s="763"/>
      <c r="BU30" s="584"/>
      <c r="BV30" s="763"/>
      <c r="BW30" s="584"/>
      <c r="BX30" s="763"/>
      <c r="BY30" s="584"/>
      <c r="BZ30" s="763"/>
      <c r="CA30" s="584">
        <v>0</v>
      </c>
      <c r="CB30" s="763"/>
      <c r="CC30" s="584">
        <v>0</v>
      </c>
      <c r="CD30" s="763"/>
      <c r="CE30" s="584">
        <v>0</v>
      </c>
      <c r="CF30" s="763"/>
      <c r="CG30" s="584">
        <v>0</v>
      </c>
      <c r="CH30" s="763"/>
      <c r="CI30" s="584">
        <v>0</v>
      </c>
      <c r="CJ30" s="763"/>
      <c r="CK30" s="584">
        <v>0</v>
      </c>
      <c r="CL30" s="763"/>
      <c r="CM30" s="584">
        <v>0</v>
      </c>
      <c r="CN30" s="763"/>
      <c r="CO30" s="584">
        <v>0</v>
      </c>
      <c r="CP30" s="763"/>
      <c r="CQ30" s="584">
        <v>0</v>
      </c>
      <c r="CR30" s="763"/>
      <c r="CS30" s="584">
        <v>0</v>
      </c>
      <c r="CT30" s="763"/>
      <c r="CU30" s="584"/>
      <c r="CV30" s="763"/>
      <c r="CW30" s="584"/>
      <c r="CX30" s="763"/>
      <c r="CY30" s="584"/>
      <c r="CZ30" s="763"/>
      <c r="DA30" s="584"/>
      <c r="DB30" s="763"/>
      <c r="DC30" s="584"/>
      <c r="DD30" s="763"/>
      <c r="DE30" s="586"/>
      <c r="DF30" s="559"/>
      <c r="DG30" s="549"/>
      <c r="DH30" s="757" t="s">
        <v>406</v>
      </c>
      <c r="DI30" s="759">
        <v>0</v>
      </c>
      <c r="DJ30" s="760">
        <v>0</v>
      </c>
      <c r="DK30" s="769">
        <v>0</v>
      </c>
      <c r="DL30" s="770"/>
      <c r="DM30" s="762"/>
      <c r="DN30" s="584"/>
      <c r="DO30" s="763"/>
      <c r="DP30" s="584"/>
      <c r="DQ30" s="763"/>
      <c r="DR30" s="584"/>
      <c r="DS30" s="763"/>
      <c r="DT30" s="584"/>
      <c r="DU30" s="763"/>
      <c r="DV30" s="584"/>
      <c r="DW30" s="763"/>
      <c r="DX30" s="584"/>
      <c r="DY30" s="763"/>
      <c r="DZ30" s="584"/>
      <c r="EA30" s="763"/>
      <c r="EB30" s="584"/>
      <c r="EC30" s="763"/>
      <c r="ED30" s="584">
        <v>0</v>
      </c>
      <c r="EE30" s="763"/>
      <c r="EF30" s="584">
        <v>0</v>
      </c>
      <c r="EG30" s="763"/>
      <c r="EH30" s="584">
        <v>0</v>
      </c>
      <c r="EI30" s="763"/>
      <c r="EJ30" s="584">
        <v>0</v>
      </c>
      <c r="EK30" s="763"/>
      <c r="EL30" s="584">
        <v>0</v>
      </c>
      <c r="EM30" s="763"/>
      <c r="EN30" s="584">
        <v>0</v>
      </c>
      <c r="EO30" s="763"/>
      <c r="EP30" s="584">
        <v>0</v>
      </c>
      <c r="EQ30" s="763"/>
      <c r="ER30" s="584">
        <v>0</v>
      </c>
      <c r="ES30" s="763"/>
      <c r="ET30" s="584">
        <v>0</v>
      </c>
      <c r="EU30" s="763"/>
      <c r="EV30" s="584">
        <v>0</v>
      </c>
      <c r="EW30" s="763"/>
      <c r="EX30" s="584"/>
      <c r="EY30" s="763"/>
      <c r="EZ30" s="584"/>
      <c r="FA30" s="763"/>
      <c r="FB30" s="584"/>
      <c r="FC30" s="763"/>
      <c r="FD30" s="584"/>
      <c r="FE30" s="763"/>
      <c r="FF30" s="584"/>
      <c r="FG30" s="763"/>
      <c r="FH30" s="586"/>
      <c r="FI30" s="560"/>
      <c r="FJ30" s="561"/>
      <c r="FK30" s="757" t="s">
        <v>406</v>
      </c>
      <c r="FL30" s="764"/>
      <c r="FM30" s="760">
        <v>0</v>
      </c>
      <c r="FN30" s="769">
        <v>0</v>
      </c>
      <c r="FO30" s="770"/>
      <c r="FP30" s="689"/>
      <c r="FQ30" s="765"/>
      <c r="FR30" s="584">
        <v>0</v>
      </c>
      <c r="FS30" s="766"/>
      <c r="FT30" s="765"/>
      <c r="FU30" s="589">
        <v>0</v>
      </c>
      <c r="FV30" s="590"/>
      <c r="FW30" s="591"/>
      <c r="FX30" s="592"/>
      <c r="FY30" s="593"/>
      <c r="FZ30" s="594"/>
      <c r="GA30" s="595"/>
      <c r="GB30" s="596"/>
      <c r="GC30" s="597"/>
      <c r="GD30" s="596"/>
      <c r="GE30" s="598"/>
      <c r="GF30" s="755"/>
      <c r="GG30" s="599"/>
      <c r="GH30" s="599"/>
      <c r="GI30" s="599"/>
      <c r="GJ30" s="612"/>
      <c r="GK30" s="767" t="s">
        <v>480</v>
      </c>
      <c r="GL30" s="767"/>
      <c r="GM30" s="767"/>
      <c r="GN30" s="767"/>
      <c r="GO30" s="527"/>
      <c r="GP30" s="771">
        <v>0</v>
      </c>
      <c r="GQ30" s="414"/>
      <c r="GR30" s="414"/>
      <c r="GS30" s="527"/>
      <c r="GT30" s="756"/>
      <c r="GU30" s="772" t="s">
        <v>370</v>
      </c>
      <c r="GV30" s="773"/>
      <c r="GW30" s="774" t="s">
        <v>481</v>
      </c>
      <c r="GX30" s="774"/>
      <c r="GY30" s="774"/>
      <c r="GZ30" s="774"/>
      <c r="HA30" s="775"/>
      <c r="HB30" s="776" t="s">
        <v>482</v>
      </c>
      <c r="HC30" s="576"/>
      <c r="HD30" s="559"/>
      <c r="HE30" s="416"/>
      <c r="HF30" s="416"/>
    </row>
    <row r="31" spans="1:218" ht="20.100000000000001" customHeight="1">
      <c r="A31" s="549"/>
      <c r="B31" s="777" t="s">
        <v>407</v>
      </c>
      <c r="C31" s="777"/>
      <c r="D31" s="778"/>
      <c r="E31" s="779"/>
      <c r="F31" s="780"/>
      <c r="G31" s="762"/>
      <c r="H31" s="584"/>
      <c r="I31" s="763"/>
      <c r="J31" s="584"/>
      <c r="K31" s="763"/>
      <c r="L31" s="584"/>
      <c r="M31" s="763"/>
      <c r="N31" s="584"/>
      <c r="O31" s="763"/>
      <c r="P31" s="584"/>
      <c r="Q31" s="763"/>
      <c r="R31" s="584"/>
      <c r="S31" s="763"/>
      <c r="T31" s="584"/>
      <c r="U31" s="763"/>
      <c r="V31" s="584"/>
      <c r="W31" s="763"/>
      <c r="X31" s="584">
        <v>0</v>
      </c>
      <c r="Y31" s="763"/>
      <c r="Z31" s="584">
        <v>0</v>
      </c>
      <c r="AA31" s="763"/>
      <c r="AB31" s="584">
        <v>0</v>
      </c>
      <c r="AC31" s="763"/>
      <c r="AD31" s="584">
        <v>0</v>
      </c>
      <c r="AE31" s="763"/>
      <c r="AF31" s="584">
        <v>0</v>
      </c>
      <c r="AG31" s="763"/>
      <c r="AH31" s="584">
        <v>0</v>
      </c>
      <c r="AI31" s="763"/>
      <c r="AJ31" s="584">
        <v>0</v>
      </c>
      <c r="AK31" s="763"/>
      <c r="AL31" s="584">
        <v>0</v>
      </c>
      <c r="AM31" s="763"/>
      <c r="AN31" s="584">
        <v>0</v>
      </c>
      <c r="AO31" s="763"/>
      <c r="AP31" s="584">
        <v>0</v>
      </c>
      <c r="AQ31" s="763"/>
      <c r="AR31" s="584"/>
      <c r="AS31" s="763"/>
      <c r="AT31" s="584"/>
      <c r="AU31" s="763"/>
      <c r="AV31" s="584"/>
      <c r="AW31" s="763"/>
      <c r="AX31" s="584"/>
      <c r="AY31" s="763"/>
      <c r="AZ31" s="584"/>
      <c r="BA31" s="763"/>
      <c r="BB31" s="586"/>
      <c r="BC31" s="559"/>
      <c r="BD31" s="549"/>
      <c r="BE31" s="777" t="s">
        <v>407</v>
      </c>
      <c r="BF31" s="777"/>
      <c r="BG31" s="778">
        <v>0</v>
      </c>
      <c r="BH31" s="779">
        <v>0</v>
      </c>
      <c r="BI31" s="780"/>
      <c r="BJ31" s="762"/>
      <c r="BK31" s="584"/>
      <c r="BL31" s="763"/>
      <c r="BM31" s="584"/>
      <c r="BN31" s="763"/>
      <c r="BO31" s="584"/>
      <c r="BP31" s="763"/>
      <c r="BQ31" s="584"/>
      <c r="BR31" s="763"/>
      <c r="BS31" s="584"/>
      <c r="BT31" s="763"/>
      <c r="BU31" s="584"/>
      <c r="BV31" s="763"/>
      <c r="BW31" s="584"/>
      <c r="BX31" s="763"/>
      <c r="BY31" s="584"/>
      <c r="BZ31" s="763"/>
      <c r="CA31" s="584">
        <v>0</v>
      </c>
      <c r="CB31" s="763"/>
      <c r="CC31" s="584">
        <v>0</v>
      </c>
      <c r="CD31" s="763"/>
      <c r="CE31" s="584">
        <v>0</v>
      </c>
      <c r="CF31" s="763"/>
      <c r="CG31" s="584">
        <v>0</v>
      </c>
      <c r="CH31" s="763"/>
      <c r="CI31" s="584">
        <v>0</v>
      </c>
      <c r="CJ31" s="763"/>
      <c r="CK31" s="584">
        <v>0</v>
      </c>
      <c r="CL31" s="763"/>
      <c r="CM31" s="584">
        <v>0</v>
      </c>
      <c r="CN31" s="763"/>
      <c r="CO31" s="584">
        <v>0</v>
      </c>
      <c r="CP31" s="763"/>
      <c r="CQ31" s="584">
        <v>0</v>
      </c>
      <c r="CR31" s="763"/>
      <c r="CS31" s="584">
        <v>0</v>
      </c>
      <c r="CT31" s="763"/>
      <c r="CU31" s="584"/>
      <c r="CV31" s="763"/>
      <c r="CW31" s="584"/>
      <c r="CX31" s="763"/>
      <c r="CY31" s="584"/>
      <c r="CZ31" s="763"/>
      <c r="DA31" s="584"/>
      <c r="DB31" s="763"/>
      <c r="DC31" s="584"/>
      <c r="DD31" s="763"/>
      <c r="DE31" s="586"/>
      <c r="DF31" s="559"/>
      <c r="DG31" s="549"/>
      <c r="DH31" s="777" t="s">
        <v>407</v>
      </c>
      <c r="DI31" s="777"/>
      <c r="DJ31" s="778">
        <v>0</v>
      </c>
      <c r="DK31" s="779">
        <v>0</v>
      </c>
      <c r="DL31" s="780"/>
      <c r="DM31" s="762"/>
      <c r="DN31" s="584"/>
      <c r="DO31" s="763"/>
      <c r="DP31" s="584"/>
      <c r="DQ31" s="763"/>
      <c r="DR31" s="584"/>
      <c r="DS31" s="763"/>
      <c r="DT31" s="584"/>
      <c r="DU31" s="763"/>
      <c r="DV31" s="584"/>
      <c r="DW31" s="763"/>
      <c r="DX31" s="584"/>
      <c r="DY31" s="763"/>
      <c r="DZ31" s="584"/>
      <c r="EA31" s="763"/>
      <c r="EB31" s="584"/>
      <c r="EC31" s="763"/>
      <c r="ED31" s="584">
        <v>0</v>
      </c>
      <c r="EE31" s="763"/>
      <c r="EF31" s="584">
        <v>0</v>
      </c>
      <c r="EG31" s="763"/>
      <c r="EH31" s="584">
        <v>0</v>
      </c>
      <c r="EI31" s="763"/>
      <c r="EJ31" s="584">
        <v>0</v>
      </c>
      <c r="EK31" s="763"/>
      <c r="EL31" s="584">
        <v>0</v>
      </c>
      <c r="EM31" s="763"/>
      <c r="EN31" s="584">
        <v>0</v>
      </c>
      <c r="EO31" s="763"/>
      <c r="EP31" s="584">
        <v>0</v>
      </c>
      <c r="EQ31" s="763"/>
      <c r="ER31" s="584">
        <v>0</v>
      </c>
      <c r="ES31" s="763"/>
      <c r="ET31" s="584">
        <v>0</v>
      </c>
      <c r="EU31" s="763"/>
      <c r="EV31" s="584">
        <v>0</v>
      </c>
      <c r="EW31" s="763"/>
      <c r="EX31" s="584"/>
      <c r="EY31" s="763"/>
      <c r="EZ31" s="584"/>
      <c r="FA31" s="763"/>
      <c r="FB31" s="584"/>
      <c r="FC31" s="763"/>
      <c r="FD31" s="584"/>
      <c r="FE31" s="763"/>
      <c r="FF31" s="584"/>
      <c r="FG31" s="763"/>
      <c r="FH31" s="586"/>
      <c r="FI31" s="560"/>
      <c r="FJ31" s="561"/>
      <c r="FK31" s="777" t="s">
        <v>407</v>
      </c>
      <c r="FL31" s="777"/>
      <c r="FM31" s="781"/>
      <c r="FN31" s="779">
        <v>0</v>
      </c>
      <c r="FO31" s="780"/>
      <c r="FP31" s="689"/>
      <c r="FQ31" s="765"/>
      <c r="FR31" s="584">
        <v>0</v>
      </c>
      <c r="FS31" s="766"/>
      <c r="FT31" s="765"/>
      <c r="FU31" s="589">
        <v>0</v>
      </c>
      <c r="FV31" s="590"/>
      <c r="FW31" s="591"/>
      <c r="FX31" s="592"/>
      <c r="FY31" s="593"/>
      <c r="FZ31" s="594"/>
      <c r="GA31" s="595"/>
      <c r="GB31" s="596"/>
      <c r="GC31" s="597"/>
      <c r="GD31" s="596"/>
      <c r="GE31" s="598"/>
      <c r="GF31" s="755"/>
      <c r="GG31" s="599"/>
      <c r="GH31" s="599"/>
      <c r="GI31" s="599"/>
      <c r="GJ31" s="414"/>
      <c r="GK31" s="577" t="s">
        <v>483</v>
      </c>
      <c r="GL31" s="414"/>
      <c r="GM31" s="577"/>
      <c r="GN31" s="414"/>
      <c r="GO31" s="577"/>
      <c r="GP31" s="771">
        <v>0</v>
      </c>
      <c r="GQ31" s="414"/>
      <c r="GR31" s="414"/>
      <c r="GS31" s="577"/>
      <c r="GT31" s="756"/>
      <c r="GU31" s="772"/>
      <c r="GV31" s="773"/>
      <c r="GW31" s="782" t="s">
        <v>484</v>
      </c>
      <c r="GX31" s="783" t="s">
        <v>485</v>
      </c>
      <c r="GY31" s="784" t="s">
        <v>486</v>
      </c>
      <c r="GZ31" s="785" t="s">
        <v>487</v>
      </c>
      <c r="HA31" s="785" t="s">
        <v>463</v>
      </c>
      <c r="HB31" s="786"/>
      <c r="HC31" s="576"/>
      <c r="HD31" s="559"/>
      <c r="HE31" s="416"/>
      <c r="HF31" s="416"/>
    </row>
    <row r="32" spans="1:218" ht="20.100000000000001" customHeight="1">
      <c r="A32" s="549"/>
      <c r="B32" s="787" t="s">
        <v>408</v>
      </c>
      <c r="C32" s="788"/>
      <c r="D32" s="778"/>
      <c r="E32" s="789"/>
      <c r="F32" s="790"/>
      <c r="G32" s="791"/>
      <c r="H32" s="792"/>
      <c r="I32" s="793"/>
      <c r="J32" s="792"/>
      <c r="K32" s="793"/>
      <c r="L32" s="792"/>
      <c r="M32" s="793"/>
      <c r="N32" s="792"/>
      <c r="O32" s="793"/>
      <c r="P32" s="792"/>
      <c r="Q32" s="793"/>
      <c r="R32" s="792"/>
      <c r="S32" s="793"/>
      <c r="T32" s="792"/>
      <c r="U32" s="793"/>
      <c r="V32" s="792"/>
      <c r="W32" s="793"/>
      <c r="X32" s="792">
        <v>0</v>
      </c>
      <c r="Y32" s="793"/>
      <c r="Z32" s="792">
        <v>0</v>
      </c>
      <c r="AA32" s="793"/>
      <c r="AB32" s="792">
        <v>0</v>
      </c>
      <c r="AC32" s="793"/>
      <c r="AD32" s="792">
        <v>0</v>
      </c>
      <c r="AE32" s="793"/>
      <c r="AF32" s="792">
        <v>0</v>
      </c>
      <c r="AG32" s="793"/>
      <c r="AH32" s="792">
        <v>0</v>
      </c>
      <c r="AI32" s="793"/>
      <c r="AJ32" s="792">
        <v>0</v>
      </c>
      <c r="AK32" s="793"/>
      <c r="AL32" s="792">
        <v>0</v>
      </c>
      <c r="AM32" s="793"/>
      <c r="AN32" s="792">
        <v>0</v>
      </c>
      <c r="AO32" s="793"/>
      <c r="AP32" s="792">
        <v>0</v>
      </c>
      <c r="AQ32" s="793"/>
      <c r="AR32" s="792"/>
      <c r="AS32" s="793"/>
      <c r="AT32" s="792"/>
      <c r="AU32" s="793"/>
      <c r="AV32" s="792"/>
      <c r="AW32" s="793"/>
      <c r="AX32" s="792"/>
      <c r="AY32" s="793"/>
      <c r="AZ32" s="792"/>
      <c r="BA32" s="793"/>
      <c r="BB32" s="794"/>
      <c r="BC32" s="559"/>
      <c r="BD32" s="549"/>
      <c r="BE32" s="787" t="s">
        <v>408</v>
      </c>
      <c r="BF32" s="788"/>
      <c r="BG32" s="778">
        <v>0</v>
      </c>
      <c r="BH32" s="789">
        <v>0</v>
      </c>
      <c r="BI32" s="790"/>
      <c r="BJ32" s="791"/>
      <c r="BK32" s="792"/>
      <c r="BL32" s="793"/>
      <c r="BM32" s="792"/>
      <c r="BN32" s="793"/>
      <c r="BO32" s="792"/>
      <c r="BP32" s="793"/>
      <c r="BQ32" s="792"/>
      <c r="BR32" s="793"/>
      <c r="BS32" s="792"/>
      <c r="BT32" s="793"/>
      <c r="BU32" s="792"/>
      <c r="BV32" s="793"/>
      <c r="BW32" s="792"/>
      <c r="BX32" s="793"/>
      <c r="BY32" s="792"/>
      <c r="BZ32" s="793"/>
      <c r="CA32" s="792">
        <v>0</v>
      </c>
      <c r="CB32" s="793"/>
      <c r="CC32" s="792">
        <v>0</v>
      </c>
      <c r="CD32" s="793"/>
      <c r="CE32" s="792">
        <v>0</v>
      </c>
      <c r="CF32" s="793"/>
      <c r="CG32" s="792">
        <v>0</v>
      </c>
      <c r="CH32" s="793"/>
      <c r="CI32" s="792">
        <v>0</v>
      </c>
      <c r="CJ32" s="793"/>
      <c r="CK32" s="792">
        <v>0</v>
      </c>
      <c r="CL32" s="793"/>
      <c r="CM32" s="792">
        <v>0</v>
      </c>
      <c r="CN32" s="793"/>
      <c r="CO32" s="792">
        <v>0</v>
      </c>
      <c r="CP32" s="793"/>
      <c r="CQ32" s="792">
        <v>0</v>
      </c>
      <c r="CR32" s="793"/>
      <c r="CS32" s="792">
        <v>0</v>
      </c>
      <c r="CT32" s="793"/>
      <c r="CU32" s="792"/>
      <c r="CV32" s="793"/>
      <c r="CW32" s="792"/>
      <c r="CX32" s="793"/>
      <c r="CY32" s="792"/>
      <c r="CZ32" s="793"/>
      <c r="DA32" s="792"/>
      <c r="DB32" s="793"/>
      <c r="DC32" s="792"/>
      <c r="DD32" s="793"/>
      <c r="DE32" s="794"/>
      <c r="DF32" s="559"/>
      <c r="DG32" s="549"/>
      <c r="DH32" s="787" t="s">
        <v>408</v>
      </c>
      <c r="DI32" s="788"/>
      <c r="DJ32" s="778">
        <v>0</v>
      </c>
      <c r="DK32" s="789">
        <v>0</v>
      </c>
      <c r="DL32" s="790"/>
      <c r="DM32" s="791"/>
      <c r="DN32" s="792"/>
      <c r="DO32" s="793"/>
      <c r="DP32" s="792"/>
      <c r="DQ32" s="793"/>
      <c r="DR32" s="792"/>
      <c r="DS32" s="793"/>
      <c r="DT32" s="792"/>
      <c r="DU32" s="793"/>
      <c r="DV32" s="792"/>
      <c r="DW32" s="793"/>
      <c r="DX32" s="792"/>
      <c r="DY32" s="793"/>
      <c r="DZ32" s="792"/>
      <c r="EA32" s="793"/>
      <c r="EB32" s="792"/>
      <c r="EC32" s="793"/>
      <c r="ED32" s="792">
        <v>0</v>
      </c>
      <c r="EE32" s="793"/>
      <c r="EF32" s="792">
        <v>0</v>
      </c>
      <c r="EG32" s="793"/>
      <c r="EH32" s="792">
        <v>0</v>
      </c>
      <c r="EI32" s="793"/>
      <c r="EJ32" s="792">
        <v>0</v>
      </c>
      <c r="EK32" s="793"/>
      <c r="EL32" s="792">
        <v>0</v>
      </c>
      <c r="EM32" s="793"/>
      <c r="EN32" s="792">
        <v>0</v>
      </c>
      <c r="EO32" s="793"/>
      <c r="EP32" s="792">
        <v>0</v>
      </c>
      <c r="EQ32" s="793"/>
      <c r="ER32" s="792">
        <v>0</v>
      </c>
      <c r="ES32" s="793"/>
      <c r="ET32" s="792">
        <v>0</v>
      </c>
      <c r="EU32" s="793"/>
      <c r="EV32" s="792">
        <v>0</v>
      </c>
      <c r="EW32" s="793"/>
      <c r="EX32" s="792"/>
      <c r="EY32" s="793"/>
      <c r="EZ32" s="792"/>
      <c r="FA32" s="793"/>
      <c r="FB32" s="792"/>
      <c r="FC32" s="793"/>
      <c r="FD32" s="792"/>
      <c r="FE32" s="793"/>
      <c r="FF32" s="792"/>
      <c r="FG32" s="793"/>
      <c r="FH32" s="794"/>
      <c r="FI32" s="560"/>
      <c r="FJ32" s="561"/>
      <c r="FK32" s="787" t="s">
        <v>408</v>
      </c>
      <c r="FL32" s="788"/>
      <c r="FM32" s="781"/>
      <c r="FN32" s="789">
        <v>0</v>
      </c>
      <c r="FO32" s="790"/>
      <c r="FP32" s="795"/>
      <c r="FQ32" s="796"/>
      <c r="FR32" s="792">
        <v>0</v>
      </c>
      <c r="FS32" s="797"/>
      <c r="FT32" s="796"/>
      <c r="FU32" s="798">
        <v>0</v>
      </c>
      <c r="FV32" s="590"/>
      <c r="FW32" s="591"/>
      <c r="FX32" s="799"/>
      <c r="FY32" s="593"/>
      <c r="FZ32" s="800"/>
      <c r="GA32" s="595"/>
      <c r="GB32" s="801"/>
      <c r="GC32" s="597"/>
      <c r="GD32" s="801"/>
      <c r="GE32" s="598"/>
      <c r="GF32" s="755"/>
      <c r="GG32" s="599"/>
      <c r="GH32" s="599"/>
      <c r="GI32" s="599"/>
      <c r="GJ32" s="497"/>
      <c r="GK32" s="498"/>
      <c r="GL32" s="498"/>
      <c r="GM32" s="498"/>
      <c r="GN32" s="498"/>
      <c r="GO32" s="498"/>
      <c r="GP32" s="498"/>
      <c r="GQ32" s="498"/>
      <c r="GR32" s="498"/>
      <c r="GS32" s="410"/>
      <c r="GT32" s="756"/>
      <c r="GU32" s="802"/>
      <c r="GV32" s="803"/>
      <c r="GW32" s="782"/>
      <c r="GX32" s="783"/>
      <c r="GY32" s="784"/>
      <c r="GZ32" s="785"/>
      <c r="HA32" s="785"/>
      <c r="HB32" s="786"/>
      <c r="HC32" s="414"/>
      <c r="HD32" s="559"/>
      <c r="HE32" s="416"/>
      <c r="HF32" s="416"/>
    </row>
    <row r="33" spans="1:219" ht="20.100000000000001" customHeight="1">
      <c r="A33" s="638"/>
      <c r="B33" s="639"/>
      <c r="C33" s="639"/>
      <c r="D33" s="640" t="s">
        <v>325</v>
      </c>
      <c r="E33" s="639"/>
      <c r="F33" s="639"/>
      <c r="G33" s="641"/>
      <c r="H33" s="642">
        <v>0</v>
      </c>
      <c r="I33" s="643"/>
      <c r="J33" s="642">
        <v>0</v>
      </c>
      <c r="K33" s="643"/>
      <c r="L33" s="642">
        <v>0</v>
      </c>
      <c r="M33" s="643"/>
      <c r="N33" s="642">
        <v>0</v>
      </c>
      <c r="O33" s="643"/>
      <c r="P33" s="642">
        <v>0</v>
      </c>
      <c r="Q33" s="643"/>
      <c r="R33" s="642">
        <v>0</v>
      </c>
      <c r="S33" s="643"/>
      <c r="T33" s="642">
        <v>0</v>
      </c>
      <c r="U33" s="643"/>
      <c r="V33" s="642">
        <v>0</v>
      </c>
      <c r="W33" s="643"/>
      <c r="X33" s="642">
        <v>474</v>
      </c>
      <c r="Y33" s="643"/>
      <c r="Z33" s="642">
        <v>474</v>
      </c>
      <c r="AA33" s="643"/>
      <c r="AB33" s="642">
        <v>474</v>
      </c>
      <c r="AC33" s="643"/>
      <c r="AD33" s="642">
        <v>474</v>
      </c>
      <c r="AE33" s="643"/>
      <c r="AF33" s="642">
        <v>474</v>
      </c>
      <c r="AG33" s="643"/>
      <c r="AH33" s="642">
        <v>474</v>
      </c>
      <c r="AI33" s="643"/>
      <c r="AJ33" s="642">
        <v>474</v>
      </c>
      <c r="AK33" s="643"/>
      <c r="AL33" s="642">
        <v>474</v>
      </c>
      <c r="AM33" s="643"/>
      <c r="AN33" s="642">
        <v>474</v>
      </c>
      <c r="AO33" s="643"/>
      <c r="AP33" s="642">
        <v>474</v>
      </c>
      <c r="AQ33" s="643"/>
      <c r="AR33" s="642">
        <v>0</v>
      </c>
      <c r="AS33" s="643"/>
      <c r="AT33" s="642">
        <v>0</v>
      </c>
      <c r="AU33" s="643"/>
      <c r="AV33" s="642">
        <v>0</v>
      </c>
      <c r="AW33" s="643"/>
      <c r="AX33" s="642">
        <v>0</v>
      </c>
      <c r="AY33" s="643"/>
      <c r="AZ33" s="642">
        <v>0</v>
      </c>
      <c r="BA33" s="643"/>
      <c r="BB33" s="644">
        <v>0</v>
      </c>
      <c r="BC33" s="645"/>
      <c r="BD33" s="638"/>
      <c r="BE33" s="639"/>
      <c r="BF33" s="639"/>
      <c r="BG33" s="640" t="s">
        <v>409</v>
      </c>
      <c r="BH33" s="639"/>
      <c r="BI33" s="639"/>
      <c r="BJ33" s="641"/>
      <c r="BK33" s="642">
        <v>0</v>
      </c>
      <c r="BL33" s="643"/>
      <c r="BM33" s="642">
        <v>0</v>
      </c>
      <c r="BN33" s="643"/>
      <c r="BO33" s="642">
        <v>0</v>
      </c>
      <c r="BP33" s="643"/>
      <c r="BQ33" s="642">
        <v>0</v>
      </c>
      <c r="BR33" s="643"/>
      <c r="BS33" s="642">
        <v>0</v>
      </c>
      <c r="BT33" s="643"/>
      <c r="BU33" s="642">
        <v>0</v>
      </c>
      <c r="BV33" s="643"/>
      <c r="BW33" s="642">
        <v>0</v>
      </c>
      <c r="BX33" s="643"/>
      <c r="BY33" s="642">
        <v>0</v>
      </c>
      <c r="BZ33" s="643"/>
      <c r="CA33" s="642">
        <v>474</v>
      </c>
      <c r="CB33" s="643"/>
      <c r="CC33" s="642">
        <v>474</v>
      </c>
      <c r="CD33" s="643"/>
      <c r="CE33" s="642">
        <v>474</v>
      </c>
      <c r="CF33" s="643"/>
      <c r="CG33" s="642">
        <v>474</v>
      </c>
      <c r="CH33" s="643"/>
      <c r="CI33" s="642">
        <v>474</v>
      </c>
      <c r="CJ33" s="643"/>
      <c r="CK33" s="642">
        <v>474</v>
      </c>
      <c r="CL33" s="643"/>
      <c r="CM33" s="642">
        <v>474</v>
      </c>
      <c r="CN33" s="643"/>
      <c r="CO33" s="642">
        <v>474</v>
      </c>
      <c r="CP33" s="643"/>
      <c r="CQ33" s="642">
        <v>474</v>
      </c>
      <c r="CR33" s="643"/>
      <c r="CS33" s="642">
        <v>474</v>
      </c>
      <c r="CT33" s="643"/>
      <c r="CU33" s="642">
        <v>0</v>
      </c>
      <c r="CV33" s="643"/>
      <c r="CW33" s="642">
        <v>0</v>
      </c>
      <c r="CX33" s="643"/>
      <c r="CY33" s="642">
        <v>0</v>
      </c>
      <c r="CZ33" s="643"/>
      <c r="DA33" s="642">
        <v>0</v>
      </c>
      <c r="DB33" s="643"/>
      <c r="DC33" s="642">
        <v>0</v>
      </c>
      <c r="DD33" s="643"/>
      <c r="DE33" s="644">
        <v>0</v>
      </c>
      <c r="DF33" s="645"/>
      <c r="DG33" s="638"/>
      <c r="DH33" s="639"/>
      <c r="DI33" s="639"/>
      <c r="DJ33" s="640" t="s">
        <v>409</v>
      </c>
      <c r="DK33" s="639"/>
      <c r="DL33" s="639"/>
      <c r="DM33" s="641"/>
      <c r="DN33" s="642">
        <v>0</v>
      </c>
      <c r="DO33" s="643"/>
      <c r="DP33" s="642">
        <v>0</v>
      </c>
      <c r="DQ33" s="643"/>
      <c r="DR33" s="642">
        <v>0</v>
      </c>
      <c r="DS33" s="643"/>
      <c r="DT33" s="642">
        <v>0</v>
      </c>
      <c r="DU33" s="643"/>
      <c r="DV33" s="642">
        <v>0</v>
      </c>
      <c r="DW33" s="643"/>
      <c r="DX33" s="642">
        <v>0</v>
      </c>
      <c r="DY33" s="643"/>
      <c r="DZ33" s="642">
        <v>0</v>
      </c>
      <c r="EA33" s="643"/>
      <c r="EB33" s="642">
        <v>0</v>
      </c>
      <c r="EC33" s="643"/>
      <c r="ED33" s="642">
        <v>474</v>
      </c>
      <c r="EE33" s="643"/>
      <c r="EF33" s="642">
        <v>474</v>
      </c>
      <c r="EG33" s="643"/>
      <c r="EH33" s="642">
        <v>474</v>
      </c>
      <c r="EI33" s="643"/>
      <c r="EJ33" s="642">
        <v>474</v>
      </c>
      <c r="EK33" s="643"/>
      <c r="EL33" s="642">
        <v>474</v>
      </c>
      <c r="EM33" s="643"/>
      <c r="EN33" s="642">
        <v>474</v>
      </c>
      <c r="EO33" s="643"/>
      <c r="EP33" s="642">
        <v>474</v>
      </c>
      <c r="EQ33" s="643"/>
      <c r="ER33" s="642">
        <v>474</v>
      </c>
      <c r="ES33" s="643"/>
      <c r="ET33" s="642">
        <v>474</v>
      </c>
      <c r="EU33" s="643"/>
      <c r="EV33" s="642">
        <v>474</v>
      </c>
      <c r="EW33" s="643"/>
      <c r="EX33" s="642">
        <v>0</v>
      </c>
      <c r="EY33" s="643"/>
      <c r="EZ33" s="642">
        <v>0</v>
      </c>
      <c r="FA33" s="643"/>
      <c r="FB33" s="642">
        <v>0</v>
      </c>
      <c r="FC33" s="643"/>
      <c r="FD33" s="642">
        <v>0</v>
      </c>
      <c r="FE33" s="643"/>
      <c r="FF33" s="642">
        <v>0</v>
      </c>
      <c r="FG33" s="643"/>
      <c r="FH33" s="644">
        <v>0</v>
      </c>
      <c r="FI33" s="646"/>
      <c r="FJ33" s="561"/>
      <c r="FK33" s="639"/>
      <c r="FL33" s="639"/>
      <c r="FM33" s="640" t="s">
        <v>409</v>
      </c>
      <c r="FN33" s="639"/>
      <c r="FO33" s="639"/>
      <c r="FP33" s="647"/>
      <c r="FQ33" s="648"/>
      <c r="FR33" s="642">
        <v>0</v>
      </c>
      <c r="FS33" s="649"/>
      <c r="FT33" s="648"/>
      <c r="FU33" s="650">
        <v>0</v>
      </c>
      <c r="FV33" s="590"/>
      <c r="FW33" s="591"/>
      <c r="FX33" s="799"/>
      <c r="FY33" s="593"/>
      <c r="FZ33" s="800"/>
      <c r="GA33" s="595"/>
      <c r="GB33" s="801"/>
      <c r="GC33" s="597"/>
      <c r="GD33" s="801"/>
      <c r="GE33" s="598"/>
      <c r="GF33" s="651"/>
      <c r="GG33" s="652"/>
      <c r="GH33" s="652"/>
      <c r="GI33" s="652"/>
      <c r="GJ33" s="576"/>
      <c r="GK33" s="527" t="s">
        <v>488</v>
      </c>
      <c r="GL33" s="576"/>
      <c r="GM33" s="527"/>
      <c r="GN33" s="576"/>
      <c r="GO33" s="527"/>
      <c r="GP33" s="527"/>
      <c r="GQ33" s="527"/>
      <c r="GR33" s="576"/>
      <c r="GS33" s="527"/>
      <c r="GT33" s="756"/>
      <c r="GU33" s="804">
        <v>205</v>
      </c>
      <c r="GV33" s="805"/>
      <c r="GW33" s="806">
        <v>0</v>
      </c>
      <c r="GX33" s="807">
        <v>20.079999999999998</v>
      </c>
      <c r="GY33" s="807">
        <v>26.77</v>
      </c>
      <c r="GZ33" s="807">
        <v>0</v>
      </c>
      <c r="HA33" s="807">
        <v>46.849999999999994</v>
      </c>
      <c r="HB33" s="808">
        <v>13.2</v>
      </c>
      <c r="HC33" s="414"/>
      <c r="HD33" s="645"/>
      <c r="HE33" s="416"/>
      <c r="HF33" s="416"/>
    </row>
    <row r="34" spans="1:219" ht="20.100000000000001" customHeight="1">
      <c r="A34" s="809" t="s">
        <v>410</v>
      </c>
      <c r="B34" s="736"/>
      <c r="C34" s="810"/>
      <c r="D34" s="811"/>
      <c r="E34" s="810"/>
      <c r="F34" s="812"/>
      <c r="G34" s="733" t="s">
        <v>411</v>
      </c>
      <c r="H34" s="660" t="s">
        <v>398</v>
      </c>
      <c r="I34" s="734" t="s">
        <v>411</v>
      </c>
      <c r="J34" s="660" t="s">
        <v>398</v>
      </c>
      <c r="K34" s="735" t="s">
        <v>411</v>
      </c>
      <c r="L34" s="660" t="s">
        <v>398</v>
      </c>
      <c r="M34" s="735" t="s">
        <v>411</v>
      </c>
      <c r="N34" s="660" t="s">
        <v>398</v>
      </c>
      <c r="O34" s="735" t="s">
        <v>411</v>
      </c>
      <c r="P34" s="660" t="s">
        <v>398</v>
      </c>
      <c r="Q34" s="735" t="s">
        <v>411</v>
      </c>
      <c r="R34" s="660" t="s">
        <v>398</v>
      </c>
      <c r="S34" s="735" t="s">
        <v>411</v>
      </c>
      <c r="T34" s="660" t="s">
        <v>398</v>
      </c>
      <c r="U34" s="735" t="s">
        <v>411</v>
      </c>
      <c r="V34" s="660" t="s">
        <v>398</v>
      </c>
      <c r="W34" s="735" t="s">
        <v>411</v>
      </c>
      <c r="X34" s="660" t="s">
        <v>398</v>
      </c>
      <c r="Y34" s="735" t="s">
        <v>411</v>
      </c>
      <c r="Z34" s="660" t="s">
        <v>398</v>
      </c>
      <c r="AA34" s="735" t="s">
        <v>411</v>
      </c>
      <c r="AB34" s="660" t="s">
        <v>398</v>
      </c>
      <c r="AC34" s="735" t="s">
        <v>411</v>
      </c>
      <c r="AD34" s="660" t="s">
        <v>398</v>
      </c>
      <c r="AE34" s="735" t="s">
        <v>411</v>
      </c>
      <c r="AF34" s="660" t="s">
        <v>398</v>
      </c>
      <c r="AG34" s="735" t="s">
        <v>411</v>
      </c>
      <c r="AH34" s="660" t="s">
        <v>398</v>
      </c>
      <c r="AI34" s="735" t="s">
        <v>411</v>
      </c>
      <c r="AJ34" s="660" t="s">
        <v>398</v>
      </c>
      <c r="AK34" s="735" t="s">
        <v>411</v>
      </c>
      <c r="AL34" s="660" t="s">
        <v>398</v>
      </c>
      <c r="AM34" s="735" t="s">
        <v>411</v>
      </c>
      <c r="AN34" s="660" t="s">
        <v>398</v>
      </c>
      <c r="AO34" s="735" t="s">
        <v>411</v>
      </c>
      <c r="AP34" s="660" t="s">
        <v>398</v>
      </c>
      <c r="AQ34" s="735" t="s">
        <v>411</v>
      </c>
      <c r="AR34" s="660" t="s">
        <v>398</v>
      </c>
      <c r="AS34" s="735" t="s">
        <v>411</v>
      </c>
      <c r="AT34" s="660" t="s">
        <v>398</v>
      </c>
      <c r="AU34" s="735" t="s">
        <v>411</v>
      </c>
      <c r="AV34" s="660" t="s">
        <v>398</v>
      </c>
      <c r="AW34" s="735" t="s">
        <v>411</v>
      </c>
      <c r="AX34" s="660" t="s">
        <v>398</v>
      </c>
      <c r="AY34" s="735" t="s">
        <v>411</v>
      </c>
      <c r="AZ34" s="660" t="s">
        <v>398</v>
      </c>
      <c r="BA34" s="735" t="s">
        <v>411</v>
      </c>
      <c r="BB34" s="662" t="s">
        <v>398</v>
      </c>
      <c r="BC34" s="716"/>
      <c r="BD34" s="809" t="s">
        <v>410</v>
      </c>
      <c r="BE34" s="731"/>
      <c r="BF34" s="813"/>
      <c r="BG34" s="814"/>
      <c r="BH34" s="813"/>
      <c r="BI34" s="815"/>
      <c r="BJ34" s="733" t="s">
        <v>411</v>
      </c>
      <c r="BK34" s="660" t="s">
        <v>398</v>
      </c>
      <c r="BL34" s="734" t="s">
        <v>411</v>
      </c>
      <c r="BM34" s="660" t="s">
        <v>398</v>
      </c>
      <c r="BN34" s="735" t="s">
        <v>411</v>
      </c>
      <c r="BO34" s="660" t="s">
        <v>398</v>
      </c>
      <c r="BP34" s="735" t="s">
        <v>411</v>
      </c>
      <c r="BQ34" s="660" t="s">
        <v>398</v>
      </c>
      <c r="BR34" s="735" t="s">
        <v>411</v>
      </c>
      <c r="BS34" s="660" t="s">
        <v>398</v>
      </c>
      <c r="BT34" s="735" t="s">
        <v>411</v>
      </c>
      <c r="BU34" s="660" t="s">
        <v>398</v>
      </c>
      <c r="BV34" s="735" t="s">
        <v>411</v>
      </c>
      <c r="BW34" s="660" t="s">
        <v>398</v>
      </c>
      <c r="BX34" s="735" t="s">
        <v>411</v>
      </c>
      <c r="BY34" s="660" t="s">
        <v>398</v>
      </c>
      <c r="BZ34" s="735" t="s">
        <v>411</v>
      </c>
      <c r="CA34" s="660" t="s">
        <v>398</v>
      </c>
      <c r="CB34" s="735" t="s">
        <v>411</v>
      </c>
      <c r="CC34" s="660" t="s">
        <v>398</v>
      </c>
      <c r="CD34" s="735" t="s">
        <v>411</v>
      </c>
      <c r="CE34" s="660" t="s">
        <v>398</v>
      </c>
      <c r="CF34" s="735" t="s">
        <v>411</v>
      </c>
      <c r="CG34" s="660" t="s">
        <v>398</v>
      </c>
      <c r="CH34" s="735" t="s">
        <v>411</v>
      </c>
      <c r="CI34" s="660" t="s">
        <v>398</v>
      </c>
      <c r="CJ34" s="735" t="s">
        <v>411</v>
      </c>
      <c r="CK34" s="660" t="s">
        <v>398</v>
      </c>
      <c r="CL34" s="735" t="s">
        <v>411</v>
      </c>
      <c r="CM34" s="660" t="s">
        <v>398</v>
      </c>
      <c r="CN34" s="735" t="s">
        <v>411</v>
      </c>
      <c r="CO34" s="660" t="s">
        <v>398</v>
      </c>
      <c r="CP34" s="735" t="s">
        <v>411</v>
      </c>
      <c r="CQ34" s="660" t="s">
        <v>398</v>
      </c>
      <c r="CR34" s="735" t="s">
        <v>411</v>
      </c>
      <c r="CS34" s="660" t="s">
        <v>398</v>
      </c>
      <c r="CT34" s="735" t="s">
        <v>411</v>
      </c>
      <c r="CU34" s="660" t="s">
        <v>398</v>
      </c>
      <c r="CV34" s="735" t="s">
        <v>411</v>
      </c>
      <c r="CW34" s="660" t="s">
        <v>398</v>
      </c>
      <c r="CX34" s="735" t="s">
        <v>411</v>
      </c>
      <c r="CY34" s="660" t="s">
        <v>398</v>
      </c>
      <c r="CZ34" s="735" t="s">
        <v>411</v>
      </c>
      <c r="DA34" s="660" t="s">
        <v>398</v>
      </c>
      <c r="DB34" s="735" t="s">
        <v>411</v>
      </c>
      <c r="DC34" s="660" t="s">
        <v>398</v>
      </c>
      <c r="DD34" s="735" t="s">
        <v>411</v>
      </c>
      <c r="DE34" s="662" t="s">
        <v>398</v>
      </c>
      <c r="DF34" s="716"/>
      <c r="DG34" s="809" t="s">
        <v>410</v>
      </c>
      <c r="DH34" s="731"/>
      <c r="DI34" s="813"/>
      <c r="DJ34" s="814"/>
      <c r="DK34" s="813"/>
      <c r="DL34" s="815"/>
      <c r="DM34" s="733" t="s">
        <v>411</v>
      </c>
      <c r="DN34" s="660" t="s">
        <v>398</v>
      </c>
      <c r="DO34" s="734" t="s">
        <v>411</v>
      </c>
      <c r="DP34" s="660" t="s">
        <v>398</v>
      </c>
      <c r="DQ34" s="735" t="s">
        <v>411</v>
      </c>
      <c r="DR34" s="660" t="s">
        <v>398</v>
      </c>
      <c r="DS34" s="735" t="s">
        <v>411</v>
      </c>
      <c r="DT34" s="660" t="s">
        <v>398</v>
      </c>
      <c r="DU34" s="735" t="s">
        <v>411</v>
      </c>
      <c r="DV34" s="660" t="s">
        <v>398</v>
      </c>
      <c r="DW34" s="735" t="s">
        <v>411</v>
      </c>
      <c r="DX34" s="660" t="s">
        <v>398</v>
      </c>
      <c r="DY34" s="735" t="s">
        <v>411</v>
      </c>
      <c r="DZ34" s="660" t="s">
        <v>398</v>
      </c>
      <c r="EA34" s="735" t="s">
        <v>411</v>
      </c>
      <c r="EB34" s="660" t="s">
        <v>398</v>
      </c>
      <c r="EC34" s="735" t="s">
        <v>411</v>
      </c>
      <c r="ED34" s="660" t="s">
        <v>398</v>
      </c>
      <c r="EE34" s="735" t="s">
        <v>411</v>
      </c>
      <c r="EF34" s="660" t="s">
        <v>398</v>
      </c>
      <c r="EG34" s="735" t="s">
        <v>411</v>
      </c>
      <c r="EH34" s="660" t="s">
        <v>398</v>
      </c>
      <c r="EI34" s="735" t="s">
        <v>411</v>
      </c>
      <c r="EJ34" s="660" t="s">
        <v>398</v>
      </c>
      <c r="EK34" s="735" t="s">
        <v>411</v>
      </c>
      <c r="EL34" s="660" t="s">
        <v>398</v>
      </c>
      <c r="EM34" s="735" t="s">
        <v>411</v>
      </c>
      <c r="EN34" s="660" t="s">
        <v>398</v>
      </c>
      <c r="EO34" s="735" t="s">
        <v>411</v>
      </c>
      <c r="EP34" s="660" t="s">
        <v>398</v>
      </c>
      <c r="EQ34" s="735" t="s">
        <v>411</v>
      </c>
      <c r="ER34" s="660" t="s">
        <v>398</v>
      </c>
      <c r="ES34" s="735" t="s">
        <v>411</v>
      </c>
      <c r="ET34" s="660" t="s">
        <v>398</v>
      </c>
      <c r="EU34" s="735" t="s">
        <v>411</v>
      </c>
      <c r="EV34" s="660" t="s">
        <v>398</v>
      </c>
      <c r="EW34" s="735" t="s">
        <v>411</v>
      </c>
      <c r="EX34" s="660" t="s">
        <v>398</v>
      </c>
      <c r="EY34" s="735" t="s">
        <v>411</v>
      </c>
      <c r="EZ34" s="660" t="s">
        <v>398</v>
      </c>
      <c r="FA34" s="735" t="s">
        <v>411</v>
      </c>
      <c r="FB34" s="660" t="s">
        <v>398</v>
      </c>
      <c r="FC34" s="735" t="s">
        <v>411</v>
      </c>
      <c r="FD34" s="660" t="s">
        <v>398</v>
      </c>
      <c r="FE34" s="735" t="s">
        <v>411</v>
      </c>
      <c r="FF34" s="660" t="s">
        <v>398</v>
      </c>
      <c r="FG34" s="735" t="s">
        <v>411</v>
      </c>
      <c r="FH34" s="662" t="s">
        <v>398</v>
      </c>
      <c r="FI34" s="739"/>
      <c r="FJ34" s="816" t="s">
        <v>410</v>
      </c>
      <c r="FK34" s="731"/>
      <c r="FL34" s="813"/>
      <c r="FM34" s="814"/>
      <c r="FN34" s="813"/>
      <c r="FO34" s="815"/>
      <c r="FP34" s="740" t="s">
        <v>401</v>
      </c>
      <c r="FQ34" s="666" t="s">
        <v>411</v>
      </c>
      <c r="FR34" s="660" t="s">
        <v>402</v>
      </c>
      <c r="FS34" s="741" t="s">
        <v>401</v>
      </c>
      <c r="FT34" s="666" t="s">
        <v>411</v>
      </c>
      <c r="FU34" s="668" t="s">
        <v>402</v>
      </c>
      <c r="FV34" s="590"/>
      <c r="FW34" s="591"/>
      <c r="FX34" s="799"/>
      <c r="FY34" s="593"/>
      <c r="FZ34" s="800"/>
      <c r="GA34" s="595"/>
      <c r="GB34" s="801"/>
      <c r="GC34" s="597"/>
      <c r="GD34" s="801"/>
      <c r="GE34" s="598"/>
      <c r="GF34" s="742"/>
      <c r="GG34" s="743"/>
      <c r="GH34" s="743"/>
      <c r="GI34" s="743"/>
      <c r="GJ34" s="576"/>
      <c r="GK34" s="817" t="s">
        <v>550</v>
      </c>
      <c r="GL34" s="817"/>
      <c r="GM34" s="817"/>
      <c r="GN34" s="817"/>
      <c r="GO34" s="817"/>
      <c r="GP34" s="817"/>
      <c r="GQ34" s="612">
        <v>7</v>
      </c>
      <c r="GR34" s="576" t="s">
        <v>470</v>
      </c>
      <c r="GS34" s="577"/>
      <c r="GT34" s="756"/>
      <c r="GU34" s="818"/>
      <c r="GV34" s="819"/>
      <c r="GW34" s="820"/>
      <c r="GX34" s="630"/>
      <c r="GY34" s="630"/>
      <c r="GZ34" s="630"/>
      <c r="HA34" s="630"/>
      <c r="HB34" s="631"/>
      <c r="HC34" s="527"/>
      <c r="HD34" s="716"/>
      <c r="HE34" s="416"/>
      <c r="HF34" s="416"/>
    </row>
    <row r="35" spans="1:219" ht="20.100000000000001" customHeight="1">
      <c r="A35" s="821"/>
      <c r="B35" s="463" t="s">
        <v>412</v>
      </c>
      <c r="C35" s="464"/>
      <c r="D35" s="822">
        <v>0</v>
      </c>
      <c r="E35" s="823">
        <v>0</v>
      </c>
      <c r="F35" s="824"/>
      <c r="G35" s="825"/>
      <c r="H35" s="826">
        <v>0</v>
      </c>
      <c r="I35" s="827"/>
      <c r="J35" s="792">
        <v>0</v>
      </c>
      <c r="K35" s="828"/>
      <c r="L35" s="792">
        <v>0</v>
      </c>
      <c r="M35" s="828"/>
      <c r="N35" s="792">
        <v>0</v>
      </c>
      <c r="O35" s="828"/>
      <c r="P35" s="792">
        <v>0</v>
      </c>
      <c r="Q35" s="828"/>
      <c r="R35" s="792">
        <v>0</v>
      </c>
      <c r="S35" s="828"/>
      <c r="T35" s="792">
        <v>0</v>
      </c>
      <c r="U35" s="828"/>
      <c r="V35" s="792">
        <v>0</v>
      </c>
      <c r="W35" s="828"/>
      <c r="X35" s="792">
        <v>0</v>
      </c>
      <c r="Y35" s="828"/>
      <c r="Z35" s="792">
        <v>0</v>
      </c>
      <c r="AA35" s="828"/>
      <c r="AB35" s="792">
        <v>0</v>
      </c>
      <c r="AC35" s="828"/>
      <c r="AD35" s="792">
        <v>0</v>
      </c>
      <c r="AE35" s="828"/>
      <c r="AF35" s="792">
        <v>0</v>
      </c>
      <c r="AG35" s="828"/>
      <c r="AH35" s="792">
        <v>0</v>
      </c>
      <c r="AI35" s="828"/>
      <c r="AJ35" s="792">
        <v>0</v>
      </c>
      <c r="AK35" s="828"/>
      <c r="AL35" s="792">
        <v>0</v>
      </c>
      <c r="AM35" s="828"/>
      <c r="AN35" s="792">
        <v>0</v>
      </c>
      <c r="AO35" s="828"/>
      <c r="AP35" s="792">
        <v>0</v>
      </c>
      <c r="AQ35" s="828"/>
      <c r="AR35" s="792">
        <v>0</v>
      </c>
      <c r="AS35" s="828"/>
      <c r="AT35" s="792">
        <v>0</v>
      </c>
      <c r="AU35" s="828"/>
      <c r="AV35" s="792">
        <v>0</v>
      </c>
      <c r="AW35" s="828"/>
      <c r="AX35" s="792">
        <v>0</v>
      </c>
      <c r="AY35" s="828"/>
      <c r="AZ35" s="792">
        <v>0</v>
      </c>
      <c r="BA35" s="828"/>
      <c r="BB35" s="829">
        <v>0</v>
      </c>
      <c r="BC35" s="559"/>
      <c r="BD35" s="821"/>
      <c r="BE35" s="463" t="s">
        <v>326</v>
      </c>
      <c r="BF35" s="464"/>
      <c r="BG35" s="822">
        <v>0</v>
      </c>
      <c r="BH35" s="823">
        <v>0</v>
      </c>
      <c r="BI35" s="824"/>
      <c r="BJ35" s="825"/>
      <c r="BK35" s="826">
        <v>0</v>
      </c>
      <c r="BL35" s="827"/>
      <c r="BM35" s="792">
        <v>0</v>
      </c>
      <c r="BN35" s="828"/>
      <c r="BO35" s="792">
        <v>0</v>
      </c>
      <c r="BP35" s="828"/>
      <c r="BQ35" s="792">
        <v>0</v>
      </c>
      <c r="BR35" s="828"/>
      <c r="BS35" s="792">
        <v>0</v>
      </c>
      <c r="BT35" s="828"/>
      <c r="BU35" s="792">
        <v>0</v>
      </c>
      <c r="BV35" s="828"/>
      <c r="BW35" s="792">
        <v>0</v>
      </c>
      <c r="BX35" s="828"/>
      <c r="BY35" s="792">
        <v>0</v>
      </c>
      <c r="BZ35" s="828"/>
      <c r="CA35" s="792">
        <v>0</v>
      </c>
      <c r="CB35" s="828"/>
      <c r="CC35" s="792">
        <v>0</v>
      </c>
      <c r="CD35" s="828"/>
      <c r="CE35" s="792">
        <v>0</v>
      </c>
      <c r="CF35" s="828"/>
      <c r="CG35" s="792">
        <v>0</v>
      </c>
      <c r="CH35" s="828"/>
      <c r="CI35" s="792">
        <v>0</v>
      </c>
      <c r="CJ35" s="828"/>
      <c r="CK35" s="792">
        <v>0</v>
      </c>
      <c r="CL35" s="828"/>
      <c r="CM35" s="792">
        <v>0</v>
      </c>
      <c r="CN35" s="828"/>
      <c r="CO35" s="792">
        <v>0</v>
      </c>
      <c r="CP35" s="828"/>
      <c r="CQ35" s="792">
        <v>0</v>
      </c>
      <c r="CR35" s="828"/>
      <c r="CS35" s="792">
        <v>0</v>
      </c>
      <c r="CT35" s="828"/>
      <c r="CU35" s="792">
        <v>0</v>
      </c>
      <c r="CV35" s="828"/>
      <c r="CW35" s="792">
        <v>0</v>
      </c>
      <c r="CX35" s="828"/>
      <c r="CY35" s="792">
        <v>0</v>
      </c>
      <c r="CZ35" s="828"/>
      <c r="DA35" s="792">
        <v>0</v>
      </c>
      <c r="DB35" s="828"/>
      <c r="DC35" s="792">
        <v>0</v>
      </c>
      <c r="DD35" s="828"/>
      <c r="DE35" s="829">
        <v>0</v>
      </c>
      <c r="DF35" s="559"/>
      <c r="DG35" s="821"/>
      <c r="DH35" s="463" t="s">
        <v>326</v>
      </c>
      <c r="DI35" s="464"/>
      <c r="DJ35" s="822">
        <v>0</v>
      </c>
      <c r="DK35" s="823">
        <v>0</v>
      </c>
      <c r="DL35" s="824"/>
      <c r="DM35" s="825"/>
      <c r="DN35" s="826">
        <v>0</v>
      </c>
      <c r="DO35" s="827"/>
      <c r="DP35" s="792">
        <v>0</v>
      </c>
      <c r="DQ35" s="828"/>
      <c r="DR35" s="792">
        <v>0</v>
      </c>
      <c r="DS35" s="828"/>
      <c r="DT35" s="792">
        <v>0</v>
      </c>
      <c r="DU35" s="828"/>
      <c r="DV35" s="792">
        <v>0</v>
      </c>
      <c r="DW35" s="828"/>
      <c r="DX35" s="792">
        <v>0</v>
      </c>
      <c r="DY35" s="828"/>
      <c r="DZ35" s="792">
        <v>0</v>
      </c>
      <c r="EA35" s="828"/>
      <c r="EB35" s="792">
        <v>0</v>
      </c>
      <c r="EC35" s="828"/>
      <c r="ED35" s="792">
        <v>0</v>
      </c>
      <c r="EE35" s="828"/>
      <c r="EF35" s="792">
        <v>0</v>
      </c>
      <c r="EG35" s="828"/>
      <c r="EH35" s="792">
        <v>0</v>
      </c>
      <c r="EI35" s="828"/>
      <c r="EJ35" s="792">
        <v>0</v>
      </c>
      <c r="EK35" s="828"/>
      <c r="EL35" s="792">
        <v>0</v>
      </c>
      <c r="EM35" s="828"/>
      <c r="EN35" s="792">
        <v>0</v>
      </c>
      <c r="EO35" s="828"/>
      <c r="EP35" s="792">
        <v>0</v>
      </c>
      <c r="EQ35" s="828"/>
      <c r="ER35" s="792">
        <v>0</v>
      </c>
      <c r="ES35" s="828"/>
      <c r="ET35" s="792">
        <v>0</v>
      </c>
      <c r="EU35" s="828"/>
      <c r="EV35" s="792">
        <v>0</v>
      </c>
      <c r="EW35" s="828"/>
      <c r="EX35" s="792">
        <v>0</v>
      </c>
      <c r="EY35" s="828"/>
      <c r="EZ35" s="792">
        <v>0</v>
      </c>
      <c r="FA35" s="828"/>
      <c r="FB35" s="792">
        <v>0</v>
      </c>
      <c r="FC35" s="828"/>
      <c r="FD35" s="792">
        <v>0</v>
      </c>
      <c r="FE35" s="828"/>
      <c r="FF35" s="792">
        <v>0</v>
      </c>
      <c r="FG35" s="828"/>
      <c r="FH35" s="829">
        <v>0</v>
      </c>
      <c r="FI35" s="560"/>
      <c r="FJ35" s="830"/>
      <c r="FK35" s="463" t="s">
        <v>326</v>
      </c>
      <c r="FL35" s="464"/>
      <c r="FM35" s="822">
        <v>0</v>
      </c>
      <c r="FN35" s="823">
        <v>0</v>
      </c>
      <c r="FO35" s="824"/>
      <c r="FP35" s="831"/>
      <c r="FQ35" s="827"/>
      <c r="FR35" s="826">
        <v>0</v>
      </c>
      <c r="FS35" s="832"/>
      <c r="FT35" s="827"/>
      <c r="FU35" s="798">
        <v>0</v>
      </c>
      <c r="FV35" s="590"/>
      <c r="FW35" s="591"/>
      <c r="FX35" s="799"/>
      <c r="FY35" s="593"/>
      <c r="FZ35" s="800"/>
      <c r="GA35" s="595"/>
      <c r="GB35" s="801"/>
      <c r="GC35" s="597"/>
      <c r="GD35" s="801"/>
      <c r="GE35" s="598"/>
      <c r="GF35" s="833"/>
      <c r="GG35" s="599"/>
      <c r="GH35" s="599"/>
      <c r="GI35" s="599"/>
      <c r="GJ35" s="527"/>
      <c r="GK35" s="527" t="s">
        <v>490</v>
      </c>
      <c r="GL35" s="527"/>
      <c r="GM35" s="576"/>
      <c r="GN35" s="527"/>
      <c r="GO35" s="576"/>
      <c r="GP35" s="576"/>
      <c r="GQ35" s="576"/>
      <c r="GR35" s="576"/>
      <c r="GS35" s="410"/>
      <c r="GT35" s="756"/>
      <c r="GU35" s="818"/>
      <c r="GV35" s="819"/>
      <c r="GW35" s="820"/>
      <c r="GX35" s="630"/>
      <c r="GY35" s="630"/>
      <c r="GZ35" s="630"/>
      <c r="HA35" s="630"/>
      <c r="HB35" s="631"/>
      <c r="HC35" s="527"/>
      <c r="HD35" s="559"/>
      <c r="HE35" s="416"/>
      <c r="HF35" s="416"/>
    </row>
    <row r="36" spans="1:219" ht="20.100000000000001" customHeight="1">
      <c r="A36" s="821"/>
      <c r="B36" s="639"/>
      <c r="C36" s="639"/>
      <c r="D36" s="640" t="s">
        <v>413</v>
      </c>
      <c r="E36" s="639"/>
      <c r="F36" s="639"/>
      <c r="G36" s="834"/>
      <c r="H36" s="835">
        <v>0</v>
      </c>
      <c r="I36" s="836"/>
      <c r="J36" s="837">
        <v>0</v>
      </c>
      <c r="K36" s="838"/>
      <c r="L36" s="837">
        <v>0</v>
      </c>
      <c r="M36" s="838"/>
      <c r="N36" s="837">
        <v>0</v>
      </c>
      <c r="O36" s="838"/>
      <c r="P36" s="837">
        <v>0</v>
      </c>
      <c r="Q36" s="838"/>
      <c r="R36" s="837">
        <v>0</v>
      </c>
      <c r="S36" s="838"/>
      <c r="T36" s="837">
        <v>0</v>
      </c>
      <c r="U36" s="838"/>
      <c r="V36" s="837">
        <v>0</v>
      </c>
      <c r="W36" s="838"/>
      <c r="X36" s="837">
        <v>0</v>
      </c>
      <c r="Y36" s="838"/>
      <c r="Z36" s="837">
        <v>0</v>
      </c>
      <c r="AA36" s="838"/>
      <c r="AB36" s="837">
        <v>0</v>
      </c>
      <c r="AC36" s="838"/>
      <c r="AD36" s="837">
        <v>0</v>
      </c>
      <c r="AE36" s="838"/>
      <c r="AF36" s="837">
        <v>0</v>
      </c>
      <c r="AG36" s="838"/>
      <c r="AH36" s="837">
        <v>0</v>
      </c>
      <c r="AI36" s="838"/>
      <c r="AJ36" s="837">
        <v>0</v>
      </c>
      <c r="AK36" s="838"/>
      <c r="AL36" s="837">
        <v>0</v>
      </c>
      <c r="AM36" s="838"/>
      <c r="AN36" s="837">
        <v>0</v>
      </c>
      <c r="AO36" s="838"/>
      <c r="AP36" s="837">
        <v>0</v>
      </c>
      <c r="AQ36" s="838"/>
      <c r="AR36" s="837">
        <v>0</v>
      </c>
      <c r="AS36" s="838"/>
      <c r="AT36" s="837">
        <v>0</v>
      </c>
      <c r="AU36" s="838"/>
      <c r="AV36" s="837">
        <v>0</v>
      </c>
      <c r="AW36" s="838"/>
      <c r="AX36" s="837">
        <v>0</v>
      </c>
      <c r="AY36" s="838"/>
      <c r="AZ36" s="837">
        <v>0</v>
      </c>
      <c r="BA36" s="838"/>
      <c r="BB36" s="839">
        <v>0</v>
      </c>
      <c r="BC36" s="645"/>
      <c r="BD36" s="821"/>
      <c r="BE36" s="639"/>
      <c r="BF36" s="639"/>
      <c r="BG36" s="640" t="s">
        <v>413</v>
      </c>
      <c r="BH36" s="639"/>
      <c r="BI36" s="639"/>
      <c r="BJ36" s="834"/>
      <c r="BK36" s="835">
        <v>0</v>
      </c>
      <c r="BL36" s="836"/>
      <c r="BM36" s="837">
        <v>0</v>
      </c>
      <c r="BN36" s="838"/>
      <c r="BO36" s="837">
        <v>0</v>
      </c>
      <c r="BP36" s="838"/>
      <c r="BQ36" s="837">
        <v>0</v>
      </c>
      <c r="BR36" s="838"/>
      <c r="BS36" s="837">
        <v>0</v>
      </c>
      <c r="BT36" s="838"/>
      <c r="BU36" s="837">
        <v>0</v>
      </c>
      <c r="BV36" s="838"/>
      <c r="BW36" s="837">
        <v>0</v>
      </c>
      <c r="BX36" s="838"/>
      <c r="BY36" s="837">
        <v>0</v>
      </c>
      <c r="BZ36" s="838"/>
      <c r="CA36" s="837">
        <v>0</v>
      </c>
      <c r="CB36" s="838"/>
      <c r="CC36" s="837">
        <v>0</v>
      </c>
      <c r="CD36" s="838"/>
      <c r="CE36" s="837">
        <v>0</v>
      </c>
      <c r="CF36" s="838"/>
      <c r="CG36" s="837">
        <v>0</v>
      </c>
      <c r="CH36" s="838"/>
      <c r="CI36" s="837">
        <v>0</v>
      </c>
      <c r="CJ36" s="838"/>
      <c r="CK36" s="837">
        <v>0</v>
      </c>
      <c r="CL36" s="838"/>
      <c r="CM36" s="837">
        <v>0</v>
      </c>
      <c r="CN36" s="838"/>
      <c r="CO36" s="837">
        <v>0</v>
      </c>
      <c r="CP36" s="838"/>
      <c r="CQ36" s="837">
        <v>0</v>
      </c>
      <c r="CR36" s="838"/>
      <c r="CS36" s="837">
        <v>0</v>
      </c>
      <c r="CT36" s="838"/>
      <c r="CU36" s="837">
        <v>0</v>
      </c>
      <c r="CV36" s="838"/>
      <c r="CW36" s="837">
        <v>0</v>
      </c>
      <c r="CX36" s="838"/>
      <c r="CY36" s="837">
        <v>0</v>
      </c>
      <c r="CZ36" s="838"/>
      <c r="DA36" s="837">
        <v>0</v>
      </c>
      <c r="DB36" s="838"/>
      <c r="DC36" s="837">
        <v>0</v>
      </c>
      <c r="DD36" s="838"/>
      <c r="DE36" s="839">
        <v>0</v>
      </c>
      <c r="DF36" s="645"/>
      <c r="DG36" s="821"/>
      <c r="DH36" s="639"/>
      <c r="DI36" s="639"/>
      <c r="DJ36" s="640" t="s">
        <v>413</v>
      </c>
      <c r="DK36" s="639"/>
      <c r="DL36" s="639"/>
      <c r="DM36" s="834"/>
      <c r="DN36" s="835">
        <v>0</v>
      </c>
      <c r="DO36" s="836"/>
      <c r="DP36" s="837">
        <v>0</v>
      </c>
      <c r="DQ36" s="838"/>
      <c r="DR36" s="837">
        <v>0</v>
      </c>
      <c r="DS36" s="838"/>
      <c r="DT36" s="837">
        <v>0</v>
      </c>
      <c r="DU36" s="838"/>
      <c r="DV36" s="837">
        <v>0</v>
      </c>
      <c r="DW36" s="838"/>
      <c r="DX36" s="837">
        <v>0</v>
      </c>
      <c r="DY36" s="838"/>
      <c r="DZ36" s="837">
        <v>0</v>
      </c>
      <c r="EA36" s="838"/>
      <c r="EB36" s="837">
        <v>0</v>
      </c>
      <c r="EC36" s="838"/>
      <c r="ED36" s="837">
        <v>0</v>
      </c>
      <c r="EE36" s="838"/>
      <c r="EF36" s="837">
        <v>0</v>
      </c>
      <c r="EG36" s="838"/>
      <c r="EH36" s="837">
        <v>0</v>
      </c>
      <c r="EI36" s="838"/>
      <c r="EJ36" s="837">
        <v>0</v>
      </c>
      <c r="EK36" s="838"/>
      <c r="EL36" s="837">
        <v>0</v>
      </c>
      <c r="EM36" s="838"/>
      <c r="EN36" s="837">
        <v>0</v>
      </c>
      <c r="EO36" s="838"/>
      <c r="EP36" s="837">
        <v>0</v>
      </c>
      <c r="EQ36" s="838"/>
      <c r="ER36" s="837">
        <v>0</v>
      </c>
      <c r="ES36" s="838"/>
      <c r="ET36" s="837">
        <v>0</v>
      </c>
      <c r="EU36" s="838"/>
      <c r="EV36" s="837">
        <v>0</v>
      </c>
      <c r="EW36" s="838"/>
      <c r="EX36" s="837">
        <v>0</v>
      </c>
      <c r="EY36" s="838"/>
      <c r="EZ36" s="837">
        <v>0</v>
      </c>
      <c r="FA36" s="838"/>
      <c r="FB36" s="837">
        <v>0</v>
      </c>
      <c r="FC36" s="838"/>
      <c r="FD36" s="837">
        <v>0</v>
      </c>
      <c r="FE36" s="838"/>
      <c r="FF36" s="837">
        <v>0</v>
      </c>
      <c r="FG36" s="838"/>
      <c r="FH36" s="839">
        <v>0</v>
      </c>
      <c r="FI36" s="646"/>
      <c r="FJ36" s="830"/>
      <c r="FK36" s="639"/>
      <c r="FL36" s="639"/>
      <c r="FM36" s="640" t="s">
        <v>413</v>
      </c>
      <c r="FN36" s="639"/>
      <c r="FO36" s="639"/>
      <c r="FP36" s="647"/>
      <c r="FQ36" s="836"/>
      <c r="FR36" s="835">
        <v>0</v>
      </c>
      <c r="FS36" s="840"/>
      <c r="FT36" s="836"/>
      <c r="FU36" s="841">
        <v>0</v>
      </c>
      <c r="FV36" s="590"/>
      <c r="FW36" s="591"/>
      <c r="FX36" s="799"/>
      <c r="FY36" s="593"/>
      <c r="FZ36" s="800"/>
      <c r="GA36" s="595"/>
      <c r="GB36" s="801"/>
      <c r="GC36" s="597"/>
      <c r="GD36" s="801"/>
      <c r="GE36" s="598"/>
      <c r="GF36" s="651"/>
      <c r="GG36" s="652"/>
      <c r="GH36" s="652"/>
      <c r="GI36" s="652"/>
      <c r="GJ36" s="527"/>
      <c r="GK36" s="817" t="s">
        <v>551</v>
      </c>
      <c r="GL36" s="817"/>
      <c r="GM36" s="817"/>
      <c r="GN36" s="817"/>
      <c r="GO36" s="817"/>
      <c r="GP36" s="817"/>
      <c r="GQ36" s="612">
        <v>10</v>
      </c>
      <c r="GR36" s="576" t="s">
        <v>470</v>
      </c>
      <c r="GS36" s="527"/>
      <c r="GT36" s="756"/>
      <c r="GU36" s="818"/>
      <c r="GV36" s="819"/>
      <c r="GW36" s="820"/>
      <c r="GX36" s="630"/>
      <c r="GY36" s="630"/>
      <c r="GZ36" s="630"/>
      <c r="HA36" s="630"/>
      <c r="HB36" s="631"/>
      <c r="HC36" s="527"/>
      <c r="HD36" s="645"/>
      <c r="HE36" s="416"/>
      <c r="HF36" s="416"/>
    </row>
    <row r="37" spans="1:219" ht="24" customHeight="1">
      <c r="A37" s="842" t="s">
        <v>414</v>
      </c>
      <c r="B37" s="843"/>
      <c r="C37" s="844" t="s">
        <v>415</v>
      </c>
      <c r="D37" s="845"/>
      <c r="E37" s="846" t="s">
        <v>416</v>
      </c>
      <c r="F37" s="847"/>
      <c r="G37" s="659" t="s">
        <v>411</v>
      </c>
      <c r="H37" s="660" t="s">
        <v>417</v>
      </c>
      <c r="I37" s="661" t="s">
        <v>411</v>
      </c>
      <c r="J37" s="660" t="s">
        <v>418</v>
      </c>
      <c r="K37" s="661" t="s">
        <v>411</v>
      </c>
      <c r="L37" s="660" t="s">
        <v>418</v>
      </c>
      <c r="M37" s="661" t="s">
        <v>411</v>
      </c>
      <c r="N37" s="660" t="s">
        <v>418</v>
      </c>
      <c r="O37" s="661" t="s">
        <v>411</v>
      </c>
      <c r="P37" s="660" t="s">
        <v>418</v>
      </c>
      <c r="Q37" s="661" t="s">
        <v>411</v>
      </c>
      <c r="R37" s="660" t="s">
        <v>418</v>
      </c>
      <c r="S37" s="661" t="s">
        <v>411</v>
      </c>
      <c r="T37" s="660" t="s">
        <v>418</v>
      </c>
      <c r="U37" s="661" t="s">
        <v>411</v>
      </c>
      <c r="V37" s="660" t="s">
        <v>418</v>
      </c>
      <c r="W37" s="661" t="s">
        <v>411</v>
      </c>
      <c r="X37" s="660" t="s">
        <v>418</v>
      </c>
      <c r="Y37" s="661" t="s">
        <v>411</v>
      </c>
      <c r="Z37" s="660" t="s">
        <v>418</v>
      </c>
      <c r="AA37" s="661" t="s">
        <v>411</v>
      </c>
      <c r="AB37" s="660" t="s">
        <v>418</v>
      </c>
      <c r="AC37" s="661" t="s">
        <v>411</v>
      </c>
      <c r="AD37" s="660" t="s">
        <v>418</v>
      </c>
      <c r="AE37" s="661" t="s">
        <v>411</v>
      </c>
      <c r="AF37" s="660" t="s">
        <v>418</v>
      </c>
      <c r="AG37" s="661" t="s">
        <v>411</v>
      </c>
      <c r="AH37" s="660" t="s">
        <v>418</v>
      </c>
      <c r="AI37" s="661" t="s">
        <v>411</v>
      </c>
      <c r="AJ37" s="660" t="s">
        <v>418</v>
      </c>
      <c r="AK37" s="661" t="s">
        <v>411</v>
      </c>
      <c r="AL37" s="660" t="s">
        <v>418</v>
      </c>
      <c r="AM37" s="661" t="s">
        <v>411</v>
      </c>
      <c r="AN37" s="660" t="s">
        <v>418</v>
      </c>
      <c r="AO37" s="661" t="s">
        <v>411</v>
      </c>
      <c r="AP37" s="660" t="s">
        <v>418</v>
      </c>
      <c r="AQ37" s="661" t="s">
        <v>411</v>
      </c>
      <c r="AR37" s="660" t="s">
        <v>418</v>
      </c>
      <c r="AS37" s="661" t="s">
        <v>411</v>
      </c>
      <c r="AT37" s="660" t="s">
        <v>418</v>
      </c>
      <c r="AU37" s="661" t="s">
        <v>411</v>
      </c>
      <c r="AV37" s="660" t="s">
        <v>418</v>
      </c>
      <c r="AW37" s="661" t="s">
        <v>411</v>
      </c>
      <c r="AX37" s="660" t="s">
        <v>418</v>
      </c>
      <c r="AY37" s="661" t="s">
        <v>411</v>
      </c>
      <c r="AZ37" s="660" t="s">
        <v>418</v>
      </c>
      <c r="BA37" s="661" t="s">
        <v>411</v>
      </c>
      <c r="BB37" s="662" t="s">
        <v>418</v>
      </c>
      <c r="BC37" s="716"/>
      <c r="BD37" s="842" t="s">
        <v>414</v>
      </c>
      <c r="BE37" s="843"/>
      <c r="BF37" s="844" t="s">
        <v>415</v>
      </c>
      <c r="BG37" s="845"/>
      <c r="BH37" s="846" t="s">
        <v>416</v>
      </c>
      <c r="BI37" s="847"/>
      <c r="BJ37" s="659" t="s">
        <v>411</v>
      </c>
      <c r="BK37" s="660" t="s">
        <v>417</v>
      </c>
      <c r="BL37" s="661" t="s">
        <v>411</v>
      </c>
      <c r="BM37" s="660" t="s">
        <v>418</v>
      </c>
      <c r="BN37" s="661" t="s">
        <v>411</v>
      </c>
      <c r="BO37" s="660" t="s">
        <v>418</v>
      </c>
      <c r="BP37" s="661" t="s">
        <v>411</v>
      </c>
      <c r="BQ37" s="660" t="s">
        <v>418</v>
      </c>
      <c r="BR37" s="661" t="s">
        <v>411</v>
      </c>
      <c r="BS37" s="660" t="s">
        <v>418</v>
      </c>
      <c r="BT37" s="661" t="s">
        <v>411</v>
      </c>
      <c r="BU37" s="660" t="s">
        <v>418</v>
      </c>
      <c r="BV37" s="661" t="s">
        <v>411</v>
      </c>
      <c r="BW37" s="660" t="s">
        <v>418</v>
      </c>
      <c r="BX37" s="661" t="s">
        <v>411</v>
      </c>
      <c r="BY37" s="660" t="s">
        <v>418</v>
      </c>
      <c r="BZ37" s="661" t="s">
        <v>411</v>
      </c>
      <c r="CA37" s="660" t="s">
        <v>418</v>
      </c>
      <c r="CB37" s="661" t="s">
        <v>411</v>
      </c>
      <c r="CC37" s="660" t="s">
        <v>418</v>
      </c>
      <c r="CD37" s="661" t="s">
        <v>411</v>
      </c>
      <c r="CE37" s="660" t="s">
        <v>418</v>
      </c>
      <c r="CF37" s="661" t="s">
        <v>411</v>
      </c>
      <c r="CG37" s="660" t="s">
        <v>418</v>
      </c>
      <c r="CH37" s="661" t="s">
        <v>411</v>
      </c>
      <c r="CI37" s="660" t="s">
        <v>418</v>
      </c>
      <c r="CJ37" s="661" t="s">
        <v>411</v>
      </c>
      <c r="CK37" s="660" t="s">
        <v>418</v>
      </c>
      <c r="CL37" s="661" t="s">
        <v>411</v>
      </c>
      <c r="CM37" s="660" t="s">
        <v>418</v>
      </c>
      <c r="CN37" s="661" t="s">
        <v>411</v>
      </c>
      <c r="CO37" s="660" t="s">
        <v>418</v>
      </c>
      <c r="CP37" s="661" t="s">
        <v>411</v>
      </c>
      <c r="CQ37" s="660" t="s">
        <v>418</v>
      </c>
      <c r="CR37" s="661" t="s">
        <v>411</v>
      </c>
      <c r="CS37" s="660" t="s">
        <v>418</v>
      </c>
      <c r="CT37" s="661" t="s">
        <v>411</v>
      </c>
      <c r="CU37" s="660" t="s">
        <v>418</v>
      </c>
      <c r="CV37" s="661" t="s">
        <v>411</v>
      </c>
      <c r="CW37" s="660" t="s">
        <v>418</v>
      </c>
      <c r="CX37" s="661" t="s">
        <v>411</v>
      </c>
      <c r="CY37" s="660" t="s">
        <v>418</v>
      </c>
      <c r="CZ37" s="661" t="s">
        <v>411</v>
      </c>
      <c r="DA37" s="660" t="s">
        <v>418</v>
      </c>
      <c r="DB37" s="661" t="s">
        <v>411</v>
      </c>
      <c r="DC37" s="660" t="s">
        <v>418</v>
      </c>
      <c r="DD37" s="661" t="s">
        <v>411</v>
      </c>
      <c r="DE37" s="662" t="s">
        <v>418</v>
      </c>
      <c r="DF37" s="716"/>
      <c r="DG37" s="842" t="s">
        <v>414</v>
      </c>
      <c r="DH37" s="843"/>
      <c r="DI37" s="844" t="s">
        <v>415</v>
      </c>
      <c r="DJ37" s="845"/>
      <c r="DK37" s="846" t="s">
        <v>416</v>
      </c>
      <c r="DL37" s="847"/>
      <c r="DM37" s="659" t="s">
        <v>411</v>
      </c>
      <c r="DN37" s="660" t="s">
        <v>417</v>
      </c>
      <c r="DO37" s="661" t="s">
        <v>411</v>
      </c>
      <c r="DP37" s="660" t="s">
        <v>418</v>
      </c>
      <c r="DQ37" s="661" t="s">
        <v>411</v>
      </c>
      <c r="DR37" s="660" t="s">
        <v>418</v>
      </c>
      <c r="DS37" s="661" t="s">
        <v>411</v>
      </c>
      <c r="DT37" s="660" t="s">
        <v>418</v>
      </c>
      <c r="DU37" s="661" t="s">
        <v>411</v>
      </c>
      <c r="DV37" s="660" t="s">
        <v>418</v>
      </c>
      <c r="DW37" s="661" t="s">
        <v>411</v>
      </c>
      <c r="DX37" s="660" t="s">
        <v>418</v>
      </c>
      <c r="DY37" s="661" t="s">
        <v>411</v>
      </c>
      <c r="DZ37" s="660" t="s">
        <v>418</v>
      </c>
      <c r="EA37" s="661" t="s">
        <v>411</v>
      </c>
      <c r="EB37" s="660" t="s">
        <v>418</v>
      </c>
      <c r="EC37" s="661" t="s">
        <v>411</v>
      </c>
      <c r="ED37" s="660" t="s">
        <v>418</v>
      </c>
      <c r="EE37" s="661" t="s">
        <v>411</v>
      </c>
      <c r="EF37" s="660" t="s">
        <v>418</v>
      </c>
      <c r="EG37" s="661" t="s">
        <v>411</v>
      </c>
      <c r="EH37" s="660" t="s">
        <v>418</v>
      </c>
      <c r="EI37" s="661" t="s">
        <v>411</v>
      </c>
      <c r="EJ37" s="660" t="s">
        <v>418</v>
      </c>
      <c r="EK37" s="661" t="s">
        <v>411</v>
      </c>
      <c r="EL37" s="660" t="s">
        <v>418</v>
      </c>
      <c r="EM37" s="661" t="s">
        <v>411</v>
      </c>
      <c r="EN37" s="660" t="s">
        <v>418</v>
      </c>
      <c r="EO37" s="661" t="s">
        <v>411</v>
      </c>
      <c r="EP37" s="660" t="s">
        <v>418</v>
      </c>
      <c r="EQ37" s="661" t="s">
        <v>411</v>
      </c>
      <c r="ER37" s="660" t="s">
        <v>418</v>
      </c>
      <c r="ES37" s="661" t="s">
        <v>411</v>
      </c>
      <c r="ET37" s="660" t="s">
        <v>418</v>
      </c>
      <c r="EU37" s="661" t="s">
        <v>411</v>
      </c>
      <c r="EV37" s="660" t="s">
        <v>418</v>
      </c>
      <c r="EW37" s="661" t="s">
        <v>411</v>
      </c>
      <c r="EX37" s="660" t="s">
        <v>418</v>
      </c>
      <c r="EY37" s="661" t="s">
        <v>411</v>
      </c>
      <c r="EZ37" s="660" t="s">
        <v>418</v>
      </c>
      <c r="FA37" s="661" t="s">
        <v>411</v>
      </c>
      <c r="FB37" s="660" t="s">
        <v>418</v>
      </c>
      <c r="FC37" s="661" t="s">
        <v>411</v>
      </c>
      <c r="FD37" s="660" t="s">
        <v>418</v>
      </c>
      <c r="FE37" s="661" t="s">
        <v>411</v>
      </c>
      <c r="FF37" s="660" t="s">
        <v>418</v>
      </c>
      <c r="FG37" s="661" t="s">
        <v>411</v>
      </c>
      <c r="FH37" s="662" t="s">
        <v>418</v>
      </c>
      <c r="FI37" s="739"/>
      <c r="FJ37" s="816" t="s">
        <v>414</v>
      </c>
      <c r="FK37" s="843"/>
      <c r="FL37" s="844" t="s">
        <v>415</v>
      </c>
      <c r="FM37" s="845"/>
      <c r="FN37" s="846" t="s">
        <v>416</v>
      </c>
      <c r="FO37" s="847"/>
      <c r="FP37" s="665"/>
      <c r="FQ37" s="848" t="s">
        <v>419</v>
      </c>
      <c r="FR37" s="660" t="s">
        <v>418</v>
      </c>
      <c r="FS37" s="667"/>
      <c r="FT37" s="848" t="s">
        <v>419</v>
      </c>
      <c r="FU37" s="668" t="s">
        <v>418</v>
      </c>
      <c r="FV37" s="590"/>
      <c r="FW37" s="591"/>
      <c r="FX37" s="799"/>
      <c r="FY37" s="593"/>
      <c r="FZ37" s="800"/>
      <c r="GA37" s="595"/>
      <c r="GB37" s="801"/>
      <c r="GC37" s="597"/>
      <c r="GD37" s="801"/>
      <c r="GE37" s="598"/>
      <c r="GF37" s="849"/>
      <c r="GG37" s="743"/>
      <c r="GH37" s="743"/>
      <c r="GI37" s="743"/>
      <c r="GJ37" s="527"/>
      <c r="GK37" s="414"/>
      <c r="GL37" s="577"/>
      <c r="GM37" s="414"/>
      <c r="GN37" s="577"/>
      <c r="GO37" s="414"/>
      <c r="GP37" s="414"/>
      <c r="GQ37" s="414"/>
      <c r="GR37" s="414"/>
      <c r="GS37" s="527"/>
      <c r="GT37" s="850"/>
      <c r="GU37" s="818"/>
      <c r="GV37" s="819"/>
      <c r="GW37" s="820"/>
      <c r="GX37" s="630"/>
      <c r="GY37" s="630"/>
      <c r="GZ37" s="630"/>
      <c r="HA37" s="630"/>
      <c r="HB37" s="631"/>
      <c r="HC37" s="527"/>
      <c r="HD37" s="716"/>
      <c r="HE37" s="416"/>
      <c r="HF37" s="416"/>
    </row>
    <row r="38" spans="1:219" ht="20.100000000000001" customHeight="1">
      <c r="A38" s="851"/>
      <c r="B38" s="852" t="s">
        <v>420</v>
      </c>
      <c r="C38" s="853"/>
      <c r="D38" s="854"/>
      <c r="E38" s="855"/>
      <c r="F38" s="856"/>
      <c r="G38" s="675"/>
      <c r="H38" s="857">
        <v>0</v>
      </c>
      <c r="I38" s="676"/>
      <c r="J38" s="857">
        <v>0</v>
      </c>
      <c r="K38" s="676"/>
      <c r="L38" s="857">
        <v>0</v>
      </c>
      <c r="M38" s="676"/>
      <c r="N38" s="857">
        <v>0</v>
      </c>
      <c r="O38" s="676"/>
      <c r="P38" s="857">
        <v>0</v>
      </c>
      <c r="Q38" s="676"/>
      <c r="R38" s="857">
        <v>0</v>
      </c>
      <c r="S38" s="676"/>
      <c r="T38" s="857">
        <v>0</v>
      </c>
      <c r="U38" s="676"/>
      <c r="V38" s="857">
        <v>0</v>
      </c>
      <c r="W38" s="676"/>
      <c r="X38" s="857">
        <v>0</v>
      </c>
      <c r="Y38" s="676"/>
      <c r="Z38" s="857">
        <v>0</v>
      </c>
      <c r="AA38" s="676"/>
      <c r="AB38" s="857">
        <v>0</v>
      </c>
      <c r="AC38" s="676"/>
      <c r="AD38" s="857">
        <v>0</v>
      </c>
      <c r="AE38" s="676"/>
      <c r="AF38" s="857">
        <v>0</v>
      </c>
      <c r="AG38" s="676"/>
      <c r="AH38" s="857">
        <v>0</v>
      </c>
      <c r="AI38" s="676"/>
      <c r="AJ38" s="857">
        <v>0</v>
      </c>
      <c r="AK38" s="676"/>
      <c r="AL38" s="857">
        <v>0</v>
      </c>
      <c r="AM38" s="676"/>
      <c r="AN38" s="857">
        <v>0</v>
      </c>
      <c r="AO38" s="676"/>
      <c r="AP38" s="857">
        <v>0</v>
      </c>
      <c r="AQ38" s="676"/>
      <c r="AR38" s="857">
        <v>0</v>
      </c>
      <c r="AS38" s="676"/>
      <c r="AT38" s="857">
        <v>0</v>
      </c>
      <c r="AU38" s="676"/>
      <c r="AV38" s="857">
        <v>0</v>
      </c>
      <c r="AW38" s="676"/>
      <c r="AX38" s="857">
        <v>0</v>
      </c>
      <c r="AY38" s="676"/>
      <c r="AZ38" s="857">
        <v>0</v>
      </c>
      <c r="BA38" s="676"/>
      <c r="BB38" s="858">
        <v>0</v>
      </c>
      <c r="BC38" s="559"/>
      <c r="BD38" s="851"/>
      <c r="BE38" s="852" t="s">
        <v>271</v>
      </c>
      <c r="BF38" s="859"/>
      <c r="BG38" s="860"/>
      <c r="BH38" s="855"/>
      <c r="BI38" s="856"/>
      <c r="BJ38" s="675"/>
      <c r="BK38" s="857">
        <v>0</v>
      </c>
      <c r="BL38" s="676"/>
      <c r="BM38" s="857">
        <v>0</v>
      </c>
      <c r="BN38" s="676"/>
      <c r="BO38" s="857">
        <v>0</v>
      </c>
      <c r="BP38" s="676"/>
      <c r="BQ38" s="857">
        <v>0</v>
      </c>
      <c r="BR38" s="676"/>
      <c r="BS38" s="857">
        <v>0</v>
      </c>
      <c r="BT38" s="676"/>
      <c r="BU38" s="857">
        <v>0</v>
      </c>
      <c r="BV38" s="676"/>
      <c r="BW38" s="857">
        <v>0</v>
      </c>
      <c r="BX38" s="676"/>
      <c r="BY38" s="857">
        <v>0</v>
      </c>
      <c r="BZ38" s="676"/>
      <c r="CA38" s="857">
        <v>0</v>
      </c>
      <c r="CB38" s="676"/>
      <c r="CC38" s="857">
        <v>0</v>
      </c>
      <c r="CD38" s="676"/>
      <c r="CE38" s="857">
        <v>0</v>
      </c>
      <c r="CF38" s="676"/>
      <c r="CG38" s="857">
        <v>0</v>
      </c>
      <c r="CH38" s="676"/>
      <c r="CI38" s="857">
        <v>0</v>
      </c>
      <c r="CJ38" s="676"/>
      <c r="CK38" s="857">
        <v>0</v>
      </c>
      <c r="CL38" s="676"/>
      <c r="CM38" s="857">
        <v>0</v>
      </c>
      <c r="CN38" s="676"/>
      <c r="CO38" s="857">
        <v>0</v>
      </c>
      <c r="CP38" s="676"/>
      <c r="CQ38" s="857">
        <v>0</v>
      </c>
      <c r="CR38" s="676"/>
      <c r="CS38" s="857">
        <v>0</v>
      </c>
      <c r="CT38" s="676"/>
      <c r="CU38" s="857">
        <v>0</v>
      </c>
      <c r="CV38" s="676"/>
      <c r="CW38" s="857">
        <v>0</v>
      </c>
      <c r="CX38" s="676"/>
      <c r="CY38" s="857">
        <v>0</v>
      </c>
      <c r="CZ38" s="676"/>
      <c r="DA38" s="857">
        <v>0</v>
      </c>
      <c r="DB38" s="676"/>
      <c r="DC38" s="857">
        <v>0</v>
      </c>
      <c r="DD38" s="676"/>
      <c r="DE38" s="858">
        <v>0</v>
      </c>
      <c r="DF38" s="559"/>
      <c r="DG38" s="851"/>
      <c r="DH38" s="852" t="s">
        <v>271</v>
      </c>
      <c r="DI38" s="859"/>
      <c r="DJ38" s="860"/>
      <c r="DK38" s="855"/>
      <c r="DL38" s="856"/>
      <c r="DM38" s="675"/>
      <c r="DN38" s="857">
        <v>0</v>
      </c>
      <c r="DO38" s="676"/>
      <c r="DP38" s="857">
        <v>0</v>
      </c>
      <c r="DQ38" s="676"/>
      <c r="DR38" s="857">
        <v>0</v>
      </c>
      <c r="DS38" s="676"/>
      <c r="DT38" s="857">
        <v>0</v>
      </c>
      <c r="DU38" s="676"/>
      <c r="DV38" s="857">
        <v>0</v>
      </c>
      <c r="DW38" s="676"/>
      <c r="DX38" s="857">
        <v>0</v>
      </c>
      <c r="DY38" s="676"/>
      <c r="DZ38" s="857">
        <v>0</v>
      </c>
      <c r="EA38" s="676"/>
      <c r="EB38" s="857">
        <v>0</v>
      </c>
      <c r="EC38" s="676"/>
      <c r="ED38" s="857">
        <v>0</v>
      </c>
      <c r="EE38" s="676"/>
      <c r="EF38" s="857">
        <v>0</v>
      </c>
      <c r="EG38" s="676"/>
      <c r="EH38" s="857">
        <v>0</v>
      </c>
      <c r="EI38" s="676"/>
      <c r="EJ38" s="857">
        <v>0</v>
      </c>
      <c r="EK38" s="676"/>
      <c r="EL38" s="857">
        <v>0</v>
      </c>
      <c r="EM38" s="676"/>
      <c r="EN38" s="857">
        <v>0</v>
      </c>
      <c r="EO38" s="676"/>
      <c r="EP38" s="857">
        <v>0</v>
      </c>
      <c r="EQ38" s="676"/>
      <c r="ER38" s="857">
        <v>0</v>
      </c>
      <c r="ES38" s="676"/>
      <c r="ET38" s="857">
        <v>0</v>
      </c>
      <c r="EU38" s="676"/>
      <c r="EV38" s="857">
        <v>0</v>
      </c>
      <c r="EW38" s="676"/>
      <c r="EX38" s="857">
        <v>0</v>
      </c>
      <c r="EY38" s="676"/>
      <c r="EZ38" s="857">
        <v>0</v>
      </c>
      <c r="FA38" s="676"/>
      <c r="FB38" s="857">
        <v>0</v>
      </c>
      <c r="FC38" s="676"/>
      <c r="FD38" s="857">
        <v>0</v>
      </c>
      <c r="FE38" s="676"/>
      <c r="FF38" s="857">
        <v>0</v>
      </c>
      <c r="FG38" s="676"/>
      <c r="FH38" s="858">
        <v>0</v>
      </c>
      <c r="FI38" s="560"/>
      <c r="FJ38" s="816"/>
      <c r="FK38" s="852" t="s">
        <v>271</v>
      </c>
      <c r="FL38" s="853"/>
      <c r="FM38" s="854"/>
      <c r="FN38" s="855">
        <v>0</v>
      </c>
      <c r="FO38" s="856"/>
      <c r="FP38" s="678"/>
      <c r="FQ38" s="679"/>
      <c r="FR38" s="556">
        <v>0</v>
      </c>
      <c r="FS38" s="680"/>
      <c r="FT38" s="679"/>
      <c r="FU38" s="564">
        <v>0</v>
      </c>
      <c r="FV38" s="590"/>
      <c r="FW38" s="591"/>
      <c r="FX38" s="799"/>
      <c r="FY38" s="593"/>
      <c r="FZ38" s="800"/>
      <c r="GA38" s="595"/>
      <c r="GB38" s="801"/>
      <c r="GC38" s="597"/>
      <c r="GD38" s="801"/>
      <c r="GE38" s="598"/>
      <c r="GF38" s="681"/>
      <c r="GG38" s="599"/>
      <c r="GH38" s="599"/>
      <c r="GI38" s="599"/>
      <c r="GJ38" s="577"/>
      <c r="GK38" s="414" t="s">
        <v>492</v>
      </c>
      <c r="GL38" s="410"/>
      <c r="GM38" s="414"/>
      <c r="GN38" s="410"/>
      <c r="GO38" s="414"/>
      <c r="GP38" s="414"/>
      <c r="GQ38" s="414"/>
      <c r="GR38" s="414"/>
      <c r="GS38" s="577"/>
      <c r="GT38" s="850"/>
      <c r="GU38" s="861" t="s">
        <v>463</v>
      </c>
      <c r="GV38" s="862"/>
      <c r="GW38" s="862"/>
      <c r="GX38" s="862"/>
      <c r="GY38" s="862"/>
      <c r="GZ38" s="863"/>
      <c r="HA38" s="630">
        <v>46.849999999999994</v>
      </c>
      <c r="HB38" s="864">
        <v>13.2</v>
      </c>
      <c r="HC38" s="527"/>
      <c r="HD38" s="527"/>
      <c r="HE38" s="388"/>
      <c r="HF38" s="388"/>
      <c r="HK38" s="416"/>
    </row>
    <row r="39" spans="1:219" ht="20.100000000000001" customHeight="1">
      <c r="A39" s="821"/>
      <c r="B39" s="865" t="s">
        <v>421</v>
      </c>
      <c r="C39" s="866"/>
      <c r="D39" s="867"/>
      <c r="E39" s="868"/>
      <c r="F39" s="869"/>
      <c r="G39" s="687"/>
      <c r="H39" s="870">
        <v>0</v>
      </c>
      <c r="I39" s="688"/>
      <c r="J39" s="870">
        <v>0</v>
      </c>
      <c r="K39" s="688"/>
      <c r="L39" s="870">
        <v>0</v>
      </c>
      <c r="M39" s="688"/>
      <c r="N39" s="870">
        <v>0</v>
      </c>
      <c r="O39" s="688"/>
      <c r="P39" s="870">
        <v>0</v>
      </c>
      <c r="Q39" s="688"/>
      <c r="R39" s="870">
        <v>0</v>
      </c>
      <c r="S39" s="688"/>
      <c r="T39" s="870">
        <v>0</v>
      </c>
      <c r="U39" s="688"/>
      <c r="V39" s="870">
        <v>0</v>
      </c>
      <c r="W39" s="688"/>
      <c r="X39" s="870">
        <v>0</v>
      </c>
      <c r="Y39" s="688"/>
      <c r="Z39" s="870">
        <v>0</v>
      </c>
      <c r="AA39" s="688"/>
      <c r="AB39" s="870">
        <v>0</v>
      </c>
      <c r="AC39" s="688"/>
      <c r="AD39" s="870">
        <v>0</v>
      </c>
      <c r="AE39" s="688"/>
      <c r="AF39" s="870">
        <v>0</v>
      </c>
      <c r="AG39" s="688"/>
      <c r="AH39" s="870">
        <v>0</v>
      </c>
      <c r="AI39" s="688"/>
      <c r="AJ39" s="870">
        <v>0</v>
      </c>
      <c r="AK39" s="688"/>
      <c r="AL39" s="870">
        <v>0</v>
      </c>
      <c r="AM39" s="688"/>
      <c r="AN39" s="870">
        <v>0</v>
      </c>
      <c r="AO39" s="688"/>
      <c r="AP39" s="870">
        <v>0</v>
      </c>
      <c r="AQ39" s="688"/>
      <c r="AR39" s="870">
        <v>0</v>
      </c>
      <c r="AS39" s="688"/>
      <c r="AT39" s="870">
        <v>0</v>
      </c>
      <c r="AU39" s="688"/>
      <c r="AV39" s="870">
        <v>0</v>
      </c>
      <c r="AW39" s="688"/>
      <c r="AX39" s="870">
        <v>0</v>
      </c>
      <c r="AY39" s="688"/>
      <c r="AZ39" s="870">
        <v>0</v>
      </c>
      <c r="BA39" s="688"/>
      <c r="BB39" s="871">
        <v>0</v>
      </c>
      <c r="BC39" s="559"/>
      <c r="BD39" s="821"/>
      <c r="BE39" s="865" t="s">
        <v>278</v>
      </c>
      <c r="BF39" s="872"/>
      <c r="BG39" s="873"/>
      <c r="BH39" s="868"/>
      <c r="BI39" s="869"/>
      <c r="BJ39" s="687"/>
      <c r="BK39" s="870">
        <v>0</v>
      </c>
      <c r="BL39" s="688"/>
      <c r="BM39" s="870">
        <v>0</v>
      </c>
      <c r="BN39" s="688"/>
      <c r="BO39" s="870">
        <v>0</v>
      </c>
      <c r="BP39" s="688"/>
      <c r="BQ39" s="870">
        <v>0</v>
      </c>
      <c r="BR39" s="688"/>
      <c r="BS39" s="870">
        <v>0</v>
      </c>
      <c r="BT39" s="688"/>
      <c r="BU39" s="870">
        <v>0</v>
      </c>
      <c r="BV39" s="688"/>
      <c r="BW39" s="870">
        <v>0</v>
      </c>
      <c r="BX39" s="688"/>
      <c r="BY39" s="870">
        <v>0</v>
      </c>
      <c r="BZ39" s="688"/>
      <c r="CA39" s="870">
        <v>0</v>
      </c>
      <c r="CB39" s="688"/>
      <c r="CC39" s="870">
        <v>0</v>
      </c>
      <c r="CD39" s="688"/>
      <c r="CE39" s="870">
        <v>0</v>
      </c>
      <c r="CF39" s="688"/>
      <c r="CG39" s="870">
        <v>0</v>
      </c>
      <c r="CH39" s="688"/>
      <c r="CI39" s="870">
        <v>0</v>
      </c>
      <c r="CJ39" s="688"/>
      <c r="CK39" s="870">
        <v>0</v>
      </c>
      <c r="CL39" s="688"/>
      <c r="CM39" s="870">
        <v>0</v>
      </c>
      <c r="CN39" s="688"/>
      <c r="CO39" s="870">
        <v>0</v>
      </c>
      <c r="CP39" s="688"/>
      <c r="CQ39" s="870">
        <v>0</v>
      </c>
      <c r="CR39" s="688"/>
      <c r="CS39" s="870">
        <v>0</v>
      </c>
      <c r="CT39" s="688"/>
      <c r="CU39" s="870">
        <v>0</v>
      </c>
      <c r="CV39" s="688"/>
      <c r="CW39" s="870">
        <v>0</v>
      </c>
      <c r="CX39" s="688"/>
      <c r="CY39" s="870">
        <v>0</v>
      </c>
      <c r="CZ39" s="688"/>
      <c r="DA39" s="870">
        <v>0</v>
      </c>
      <c r="DB39" s="688"/>
      <c r="DC39" s="870">
        <v>0</v>
      </c>
      <c r="DD39" s="688"/>
      <c r="DE39" s="871">
        <v>0</v>
      </c>
      <c r="DF39" s="559"/>
      <c r="DG39" s="821"/>
      <c r="DH39" s="865" t="s">
        <v>278</v>
      </c>
      <c r="DI39" s="872"/>
      <c r="DJ39" s="873"/>
      <c r="DK39" s="868"/>
      <c r="DL39" s="869"/>
      <c r="DM39" s="687"/>
      <c r="DN39" s="870">
        <v>0</v>
      </c>
      <c r="DO39" s="688"/>
      <c r="DP39" s="870">
        <v>0</v>
      </c>
      <c r="DQ39" s="688"/>
      <c r="DR39" s="870">
        <v>0</v>
      </c>
      <c r="DS39" s="688"/>
      <c r="DT39" s="870">
        <v>0</v>
      </c>
      <c r="DU39" s="688"/>
      <c r="DV39" s="870">
        <v>0</v>
      </c>
      <c r="DW39" s="688"/>
      <c r="DX39" s="870">
        <v>0</v>
      </c>
      <c r="DY39" s="688"/>
      <c r="DZ39" s="870">
        <v>0</v>
      </c>
      <c r="EA39" s="688"/>
      <c r="EB39" s="870">
        <v>0</v>
      </c>
      <c r="EC39" s="688"/>
      <c r="ED39" s="870">
        <v>0</v>
      </c>
      <c r="EE39" s="688"/>
      <c r="EF39" s="870">
        <v>0</v>
      </c>
      <c r="EG39" s="688"/>
      <c r="EH39" s="870">
        <v>0</v>
      </c>
      <c r="EI39" s="688"/>
      <c r="EJ39" s="870">
        <v>0</v>
      </c>
      <c r="EK39" s="688"/>
      <c r="EL39" s="870">
        <v>0</v>
      </c>
      <c r="EM39" s="688"/>
      <c r="EN39" s="870">
        <v>0</v>
      </c>
      <c r="EO39" s="688"/>
      <c r="EP39" s="870">
        <v>0</v>
      </c>
      <c r="EQ39" s="688"/>
      <c r="ER39" s="870">
        <v>0</v>
      </c>
      <c r="ES39" s="688"/>
      <c r="ET39" s="870">
        <v>0</v>
      </c>
      <c r="EU39" s="688"/>
      <c r="EV39" s="870">
        <v>0</v>
      </c>
      <c r="EW39" s="688"/>
      <c r="EX39" s="870">
        <v>0</v>
      </c>
      <c r="EY39" s="688"/>
      <c r="EZ39" s="870">
        <v>0</v>
      </c>
      <c r="FA39" s="688"/>
      <c r="FB39" s="870">
        <v>0</v>
      </c>
      <c r="FC39" s="688"/>
      <c r="FD39" s="870">
        <v>0</v>
      </c>
      <c r="FE39" s="688"/>
      <c r="FF39" s="870">
        <v>0</v>
      </c>
      <c r="FG39" s="688"/>
      <c r="FH39" s="871">
        <v>0</v>
      </c>
      <c r="FI39" s="560"/>
      <c r="FJ39" s="830"/>
      <c r="FK39" s="865" t="s">
        <v>278</v>
      </c>
      <c r="FL39" s="866"/>
      <c r="FM39" s="867"/>
      <c r="FN39" s="868">
        <v>0</v>
      </c>
      <c r="FO39" s="869"/>
      <c r="FP39" s="689"/>
      <c r="FQ39" s="690"/>
      <c r="FR39" s="584">
        <v>0</v>
      </c>
      <c r="FS39" s="691"/>
      <c r="FT39" s="690"/>
      <c r="FU39" s="589">
        <v>0</v>
      </c>
      <c r="FV39" s="590"/>
      <c r="FW39" s="591"/>
      <c r="FX39" s="799"/>
      <c r="FY39" s="593"/>
      <c r="FZ39" s="800"/>
      <c r="GA39" s="595"/>
      <c r="GB39" s="801"/>
      <c r="GC39" s="597"/>
      <c r="GD39" s="801"/>
      <c r="GE39" s="598"/>
      <c r="GF39" s="681"/>
      <c r="GG39" s="599"/>
      <c r="GH39" s="599"/>
      <c r="GI39" s="599"/>
      <c r="GJ39" s="410"/>
      <c r="GK39" s="874"/>
      <c r="GL39" s="875"/>
      <c r="GM39" s="876" t="s">
        <v>493</v>
      </c>
      <c r="GN39" s="875"/>
      <c r="GO39" s="876" t="s">
        <v>494</v>
      </c>
      <c r="GP39" s="875"/>
      <c r="GQ39" s="876" t="s">
        <v>495</v>
      </c>
      <c r="GR39" s="877"/>
      <c r="GS39" s="414"/>
      <c r="GT39" s="682"/>
      <c r="GU39" s="527" t="s">
        <v>496</v>
      </c>
      <c r="GV39" s="527"/>
      <c r="GW39" s="527"/>
      <c r="GX39" s="527"/>
      <c r="GY39" s="527"/>
      <c r="GZ39" s="527"/>
      <c r="HA39" s="683">
        <v>3.55</v>
      </c>
      <c r="HB39" s="576"/>
      <c r="HC39" s="527"/>
      <c r="HD39" s="559"/>
    </row>
    <row r="40" spans="1:219" ht="20.100000000000001" customHeight="1">
      <c r="A40" s="878"/>
      <c r="B40" s="639"/>
      <c r="C40" s="639"/>
      <c r="D40" s="640" t="s">
        <v>422</v>
      </c>
      <c r="E40" s="639"/>
      <c r="F40" s="639"/>
      <c r="G40" s="834"/>
      <c r="H40" s="835">
        <v>0</v>
      </c>
      <c r="I40" s="836"/>
      <c r="J40" s="837">
        <v>0</v>
      </c>
      <c r="K40" s="838"/>
      <c r="L40" s="837">
        <v>0</v>
      </c>
      <c r="M40" s="838"/>
      <c r="N40" s="837">
        <v>0</v>
      </c>
      <c r="O40" s="838"/>
      <c r="P40" s="837">
        <v>0</v>
      </c>
      <c r="Q40" s="838"/>
      <c r="R40" s="837">
        <v>0</v>
      </c>
      <c r="S40" s="838"/>
      <c r="T40" s="837">
        <v>0</v>
      </c>
      <c r="U40" s="838"/>
      <c r="V40" s="837">
        <v>0</v>
      </c>
      <c r="W40" s="838"/>
      <c r="X40" s="837">
        <v>0</v>
      </c>
      <c r="Y40" s="838"/>
      <c r="Z40" s="837">
        <v>0</v>
      </c>
      <c r="AA40" s="838"/>
      <c r="AB40" s="837">
        <v>0</v>
      </c>
      <c r="AC40" s="838"/>
      <c r="AD40" s="837">
        <v>0</v>
      </c>
      <c r="AE40" s="838"/>
      <c r="AF40" s="837">
        <v>0</v>
      </c>
      <c r="AG40" s="838"/>
      <c r="AH40" s="837">
        <v>0</v>
      </c>
      <c r="AI40" s="838"/>
      <c r="AJ40" s="837">
        <v>0</v>
      </c>
      <c r="AK40" s="838"/>
      <c r="AL40" s="837">
        <v>0</v>
      </c>
      <c r="AM40" s="838"/>
      <c r="AN40" s="837">
        <v>0</v>
      </c>
      <c r="AO40" s="838"/>
      <c r="AP40" s="837">
        <v>0</v>
      </c>
      <c r="AQ40" s="838"/>
      <c r="AR40" s="837">
        <v>0</v>
      </c>
      <c r="AS40" s="838"/>
      <c r="AT40" s="837">
        <v>0</v>
      </c>
      <c r="AU40" s="838"/>
      <c r="AV40" s="837">
        <v>0</v>
      </c>
      <c r="AW40" s="838"/>
      <c r="AX40" s="837">
        <v>0</v>
      </c>
      <c r="AY40" s="838"/>
      <c r="AZ40" s="837">
        <v>0</v>
      </c>
      <c r="BA40" s="838"/>
      <c r="BB40" s="839">
        <v>0</v>
      </c>
      <c r="BC40" s="645"/>
      <c r="BD40" s="878"/>
      <c r="BE40" s="639"/>
      <c r="BF40" s="639"/>
      <c r="BG40" s="640" t="s">
        <v>422</v>
      </c>
      <c r="BH40" s="639"/>
      <c r="BI40" s="639"/>
      <c r="BJ40" s="834"/>
      <c r="BK40" s="835">
        <v>0</v>
      </c>
      <c r="BL40" s="836"/>
      <c r="BM40" s="837">
        <v>0</v>
      </c>
      <c r="BN40" s="838"/>
      <c r="BO40" s="837">
        <v>0</v>
      </c>
      <c r="BP40" s="838"/>
      <c r="BQ40" s="837">
        <v>0</v>
      </c>
      <c r="BR40" s="838"/>
      <c r="BS40" s="837">
        <v>0</v>
      </c>
      <c r="BT40" s="838"/>
      <c r="BU40" s="837">
        <v>0</v>
      </c>
      <c r="BV40" s="838"/>
      <c r="BW40" s="837">
        <v>0</v>
      </c>
      <c r="BX40" s="838"/>
      <c r="BY40" s="837">
        <v>0</v>
      </c>
      <c r="BZ40" s="838"/>
      <c r="CA40" s="837">
        <v>0</v>
      </c>
      <c r="CB40" s="838"/>
      <c r="CC40" s="837">
        <v>0</v>
      </c>
      <c r="CD40" s="838"/>
      <c r="CE40" s="837">
        <v>0</v>
      </c>
      <c r="CF40" s="838"/>
      <c r="CG40" s="837">
        <v>0</v>
      </c>
      <c r="CH40" s="838"/>
      <c r="CI40" s="837">
        <v>0</v>
      </c>
      <c r="CJ40" s="838"/>
      <c r="CK40" s="837">
        <v>0</v>
      </c>
      <c r="CL40" s="838"/>
      <c r="CM40" s="837">
        <v>0</v>
      </c>
      <c r="CN40" s="838"/>
      <c r="CO40" s="837">
        <v>0</v>
      </c>
      <c r="CP40" s="838"/>
      <c r="CQ40" s="837">
        <v>0</v>
      </c>
      <c r="CR40" s="838"/>
      <c r="CS40" s="837">
        <v>0</v>
      </c>
      <c r="CT40" s="838"/>
      <c r="CU40" s="837">
        <v>0</v>
      </c>
      <c r="CV40" s="838"/>
      <c r="CW40" s="837">
        <v>0</v>
      </c>
      <c r="CX40" s="838"/>
      <c r="CY40" s="837">
        <v>0</v>
      </c>
      <c r="CZ40" s="838"/>
      <c r="DA40" s="837">
        <v>0</v>
      </c>
      <c r="DB40" s="838"/>
      <c r="DC40" s="837">
        <v>0</v>
      </c>
      <c r="DD40" s="838"/>
      <c r="DE40" s="839">
        <v>0</v>
      </c>
      <c r="DF40" s="645"/>
      <c r="DG40" s="878"/>
      <c r="DH40" s="639"/>
      <c r="DI40" s="639"/>
      <c r="DJ40" s="640" t="s">
        <v>422</v>
      </c>
      <c r="DK40" s="639"/>
      <c r="DL40" s="639"/>
      <c r="DM40" s="834"/>
      <c r="DN40" s="835">
        <v>0</v>
      </c>
      <c r="DO40" s="836"/>
      <c r="DP40" s="837">
        <v>0</v>
      </c>
      <c r="DQ40" s="838"/>
      <c r="DR40" s="837">
        <v>0</v>
      </c>
      <c r="DS40" s="838"/>
      <c r="DT40" s="837">
        <v>0</v>
      </c>
      <c r="DU40" s="838"/>
      <c r="DV40" s="837">
        <v>0</v>
      </c>
      <c r="DW40" s="838"/>
      <c r="DX40" s="837">
        <v>0</v>
      </c>
      <c r="DY40" s="838"/>
      <c r="DZ40" s="837">
        <v>0</v>
      </c>
      <c r="EA40" s="838"/>
      <c r="EB40" s="837">
        <v>0</v>
      </c>
      <c r="EC40" s="838"/>
      <c r="ED40" s="837">
        <v>0</v>
      </c>
      <c r="EE40" s="838"/>
      <c r="EF40" s="837">
        <v>0</v>
      </c>
      <c r="EG40" s="838"/>
      <c r="EH40" s="837">
        <v>0</v>
      </c>
      <c r="EI40" s="838"/>
      <c r="EJ40" s="837">
        <v>0</v>
      </c>
      <c r="EK40" s="838"/>
      <c r="EL40" s="837">
        <v>0</v>
      </c>
      <c r="EM40" s="838"/>
      <c r="EN40" s="837">
        <v>0</v>
      </c>
      <c r="EO40" s="838"/>
      <c r="EP40" s="837">
        <v>0</v>
      </c>
      <c r="EQ40" s="838"/>
      <c r="ER40" s="837">
        <v>0</v>
      </c>
      <c r="ES40" s="838"/>
      <c r="ET40" s="837">
        <v>0</v>
      </c>
      <c r="EU40" s="838"/>
      <c r="EV40" s="837">
        <v>0</v>
      </c>
      <c r="EW40" s="838"/>
      <c r="EX40" s="837">
        <v>0</v>
      </c>
      <c r="EY40" s="838"/>
      <c r="EZ40" s="837">
        <v>0</v>
      </c>
      <c r="FA40" s="838"/>
      <c r="FB40" s="837">
        <v>0</v>
      </c>
      <c r="FC40" s="838"/>
      <c r="FD40" s="837">
        <v>0</v>
      </c>
      <c r="FE40" s="838"/>
      <c r="FF40" s="837">
        <v>0</v>
      </c>
      <c r="FG40" s="838"/>
      <c r="FH40" s="839">
        <v>0</v>
      </c>
      <c r="FI40" s="646"/>
      <c r="FJ40" s="830"/>
      <c r="FK40" s="639"/>
      <c r="FL40" s="639"/>
      <c r="FM40" s="640" t="s">
        <v>422</v>
      </c>
      <c r="FN40" s="639"/>
      <c r="FO40" s="639"/>
      <c r="FP40" s="647"/>
      <c r="FQ40" s="836"/>
      <c r="FR40" s="835">
        <v>0</v>
      </c>
      <c r="FS40" s="840"/>
      <c r="FT40" s="836"/>
      <c r="FU40" s="841">
        <v>0</v>
      </c>
      <c r="FV40" s="590"/>
      <c r="FW40" s="591"/>
      <c r="FX40" s="799"/>
      <c r="FY40" s="593"/>
      <c r="FZ40" s="800"/>
      <c r="GA40" s="595"/>
      <c r="GB40" s="801"/>
      <c r="GC40" s="597"/>
      <c r="GD40" s="801"/>
      <c r="GE40" s="598"/>
      <c r="GF40" s="651"/>
      <c r="GG40" s="652"/>
      <c r="GH40" s="652"/>
      <c r="GI40" s="652"/>
      <c r="GJ40" s="527"/>
      <c r="GK40" s="879"/>
      <c r="GL40" s="880"/>
      <c r="GM40" s="880"/>
      <c r="GN40" s="880"/>
      <c r="GO40" s="880"/>
      <c r="GP40" s="880"/>
      <c r="GQ40" s="880"/>
      <c r="GR40" s="881"/>
      <c r="GS40" s="882"/>
      <c r="GT40" s="682"/>
      <c r="GU40" s="527" t="s">
        <v>567</v>
      </c>
      <c r="GV40" s="527"/>
      <c r="GW40" s="527"/>
      <c r="GX40" s="527"/>
      <c r="GY40" s="527"/>
      <c r="GZ40" s="527"/>
      <c r="HA40" s="883">
        <v>60.1</v>
      </c>
      <c r="HB40" s="414"/>
      <c r="HC40" s="527"/>
      <c r="HD40" s="577"/>
      <c r="HK40" s="416"/>
    </row>
    <row r="41" spans="1:219" ht="20.100000000000001" customHeight="1">
      <c r="A41" s="851" t="s">
        <v>423</v>
      </c>
      <c r="B41" s="731"/>
      <c r="C41" s="884"/>
      <c r="D41" s="884"/>
      <c r="E41" s="884"/>
      <c r="F41" s="885"/>
      <c r="G41" s="733"/>
      <c r="H41" s="660" t="s">
        <v>398</v>
      </c>
      <c r="I41" s="734"/>
      <c r="J41" s="660" t="s">
        <v>398</v>
      </c>
      <c r="K41" s="735"/>
      <c r="L41" s="660" t="s">
        <v>398</v>
      </c>
      <c r="M41" s="735"/>
      <c r="N41" s="660" t="s">
        <v>398</v>
      </c>
      <c r="O41" s="735"/>
      <c r="P41" s="660" t="s">
        <v>398</v>
      </c>
      <c r="Q41" s="735"/>
      <c r="R41" s="660" t="s">
        <v>398</v>
      </c>
      <c r="S41" s="735"/>
      <c r="T41" s="660" t="s">
        <v>398</v>
      </c>
      <c r="U41" s="735"/>
      <c r="V41" s="660" t="s">
        <v>398</v>
      </c>
      <c r="W41" s="735"/>
      <c r="X41" s="660" t="s">
        <v>398</v>
      </c>
      <c r="Y41" s="735" t="s">
        <v>411</v>
      </c>
      <c r="Z41" s="660" t="s">
        <v>398</v>
      </c>
      <c r="AA41" s="735" t="s">
        <v>411</v>
      </c>
      <c r="AB41" s="660" t="s">
        <v>398</v>
      </c>
      <c r="AC41" s="735"/>
      <c r="AD41" s="660" t="s">
        <v>398</v>
      </c>
      <c r="AE41" s="735"/>
      <c r="AF41" s="660" t="s">
        <v>398</v>
      </c>
      <c r="AG41" s="735"/>
      <c r="AH41" s="660" t="s">
        <v>398</v>
      </c>
      <c r="AI41" s="735"/>
      <c r="AJ41" s="660" t="s">
        <v>398</v>
      </c>
      <c r="AK41" s="735"/>
      <c r="AL41" s="660" t="s">
        <v>398</v>
      </c>
      <c r="AM41" s="735"/>
      <c r="AN41" s="660" t="s">
        <v>398</v>
      </c>
      <c r="AO41" s="735"/>
      <c r="AP41" s="660" t="s">
        <v>398</v>
      </c>
      <c r="AQ41" s="735"/>
      <c r="AR41" s="660" t="s">
        <v>398</v>
      </c>
      <c r="AS41" s="735"/>
      <c r="AT41" s="660" t="s">
        <v>398</v>
      </c>
      <c r="AU41" s="735"/>
      <c r="AV41" s="660" t="s">
        <v>398</v>
      </c>
      <c r="AW41" s="735"/>
      <c r="AX41" s="660" t="s">
        <v>398</v>
      </c>
      <c r="AY41" s="735"/>
      <c r="AZ41" s="660" t="s">
        <v>398</v>
      </c>
      <c r="BA41" s="735"/>
      <c r="BB41" s="662" t="s">
        <v>398</v>
      </c>
      <c r="BC41" s="716"/>
      <c r="BD41" s="851" t="s">
        <v>423</v>
      </c>
      <c r="BE41" s="731"/>
      <c r="BF41" s="884"/>
      <c r="BG41" s="884"/>
      <c r="BH41" s="884"/>
      <c r="BI41" s="885"/>
      <c r="BJ41" s="733"/>
      <c r="BK41" s="660" t="s">
        <v>398</v>
      </c>
      <c r="BL41" s="734"/>
      <c r="BM41" s="660" t="s">
        <v>398</v>
      </c>
      <c r="BN41" s="735"/>
      <c r="BO41" s="660" t="s">
        <v>398</v>
      </c>
      <c r="BP41" s="735"/>
      <c r="BQ41" s="660" t="s">
        <v>398</v>
      </c>
      <c r="BR41" s="735"/>
      <c r="BS41" s="660" t="s">
        <v>398</v>
      </c>
      <c r="BT41" s="735"/>
      <c r="BU41" s="660" t="s">
        <v>398</v>
      </c>
      <c r="BV41" s="735"/>
      <c r="BW41" s="660" t="s">
        <v>398</v>
      </c>
      <c r="BX41" s="735"/>
      <c r="BY41" s="660" t="s">
        <v>398</v>
      </c>
      <c r="BZ41" s="735"/>
      <c r="CA41" s="660" t="s">
        <v>398</v>
      </c>
      <c r="CB41" s="735" t="s">
        <v>411</v>
      </c>
      <c r="CC41" s="660" t="s">
        <v>398</v>
      </c>
      <c r="CD41" s="735" t="s">
        <v>411</v>
      </c>
      <c r="CE41" s="660" t="s">
        <v>398</v>
      </c>
      <c r="CF41" s="735"/>
      <c r="CG41" s="660" t="s">
        <v>398</v>
      </c>
      <c r="CH41" s="735"/>
      <c r="CI41" s="660" t="s">
        <v>398</v>
      </c>
      <c r="CJ41" s="735"/>
      <c r="CK41" s="660" t="s">
        <v>398</v>
      </c>
      <c r="CL41" s="735"/>
      <c r="CM41" s="660" t="s">
        <v>398</v>
      </c>
      <c r="CN41" s="735"/>
      <c r="CO41" s="660" t="s">
        <v>398</v>
      </c>
      <c r="CP41" s="735"/>
      <c r="CQ41" s="660" t="s">
        <v>398</v>
      </c>
      <c r="CR41" s="735"/>
      <c r="CS41" s="660" t="s">
        <v>398</v>
      </c>
      <c r="CT41" s="735"/>
      <c r="CU41" s="660" t="s">
        <v>398</v>
      </c>
      <c r="CV41" s="735"/>
      <c r="CW41" s="660" t="s">
        <v>398</v>
      </c>
      <c r="CX41" s="735"/>
      <c r="CY41" s="660" t="s">
        <v>398</v>
      </c>
      <c r="CZ41" s="735"/>
      <c r="DA41" s="660" t="s">
        <v>398</v>
      </c>
      <c r="DB41" s="735"/>
      <c r="DC41" s="660" t="s">
        <v>398</v>
      </c>
      <c r="DD41" s="735"/>
      <c r="DE41" s="662" t="s">
        <v>398</v>
      </c>
      <c r="DF41" s="716"/>
      <c r="DG41" s="851" t="s">
        <v>423</v>
      </c>
      <c r="DH41" s="731"/>
      <c r="DI41" s="884"/>
      <c r="DJ41" s="884"/>
      <c r="DK41" s="884"/>
      <c r="DL41" s="885"/>
      <c r="DM41" s="733"/>
      <c r="DN41" s="660" t="s">
        <v>398</v>
      </c>
      <c r="DO41" s="734"/>
      <c r="DP41" s="660" t="s">
        <v>398</v>
      </c>
      <c r="DQ41" s="735"/>
      <c r="DR41" s="660" t="s">
        <v>398</v>
      </c>
      <c r="DS41" s="735"/>
      <c r="DT41" s="660" t="s">
        <v>398</v>
      </c>
      <c r="DU41" s="735"/>
      <c r="DV41" s="660" t="s">
        <v>398</v>
      </c>
      <c r="DW41" s="735"/>
      <c r="DX41" s="660" t="s">
        <v>398</v>
      </c>
      <c r="DY41" s="735"/>
      <c r="DZ41" s="660" t="s">
        <v>398</v>
      </c>
      <c r="EA41" s="735"/>
      <c r="EB41" s="660" t="s">
        <v>398</v>
      </c>
      <c r="EC41" s="735"/>
      <c r="ED41" s="660" t="s">
        <v>398</v>
      </c>
      <c r="EE41" s="735" t="s">
        <v>411</v>
      </c>
      <c r="EF41" s="660" t="s">
        <v>398</v>
      </c>
      <c r="EG41" s="735" t="s">
        <v>411</v>
      </c>
      <c r="EH41" s="660" t="s">
        <v>398</v>
      </c>
      <c r="EI41" s="735"/>
      <c r="EJ41" s="660" t="s">
        <v>398</v>
      </c>
      <c r="EK41" s="735"/>
      <c r="EL41" s="660" t="s">
        <v>398</v>
      </c>
      <c r="EM41" s="735"/>
      <c r="EN41" s="660" t="s">
        <v>398</v>
      </c>
      <c r="EO41" s="735"/>
      <c r="EP41" s="660" t="s">
        <v>398</v>
      </c>
      <c r="EQ41" s="735"/>
      <c r="ER41" s="660" t="s">
        <v>398</v>
      </c>
      <c r="ES41" s="735"/>
      <c r="ET41" s="660" t="s">
        <v>398</v>
      </c>
      <c r="EU41" s="735"/>
      <c r="EV41" s="660" t="s">
        <v>398</v>
      </c>
      <c r="EW41" s="735"/>
      <c r="EX41" s="660" t="s">
        <v>398</v>
      </c>
      <c r="EY41" s="735"/>
      <c r="EZ41" s="660" t="s">
        <v>398</v>
      </c>
      <c r="FA41" s="735"/>
      <c r="FB41" s="660" t="s">
        <v>398</v>
      </c>
      <c r="FC41" s="735"/>
      <c r="FD41" s="660" t="s">
        <v>398</v>
      </c>
      <c r="FE41" s="735"/>
      <c r="FF41" s="660" t="s">
        <v>398</v>
      </c>
      <c r="FG41" s="735"/>
      <c r="FH41" s="662" t="s">
        <v>398</v>
      </c>
      <c r="FI41" s="739"/>
      <c r="FJ41" s="816" t="s">
        <v>423</v>
      </c>
      <c r="FK41" s="736"/>
      <c r="FL41" s="886"/>
      <c r="FM41" s="886"/>
      <c r="FN41" s="886"/>
      <c r="FO41" s="887"/>
      <c r="FP41" s="740"/>
      <c r="FQ41" s="666"/>
      <c r="FR41" s="660" t="s">
        <v>402</v>
      </c>
      <c r="FS41" s="741"/>
      <c r="FT41" s="666"/>
      <c r="FU41" s="668" t="s">
        <v>402</v>
      </c>
      <c r="FV41" s="590"/>
      <c r="FW41" s="591"/>
      <c r="FX41" s="799"/>
      <c r="FY41" s="593"/>
      <c r="FZ41" s="800"/>
      <c r="GA41" s="595"/>
      <c r="GB41" s="801"/>
      <c r="GC41" s="597"/>
      <c r="GD41" s="801"/>
      <c r="GE41" s="598"/>
      <c r="GF41" s="742"/>
      <c r="GG41" s="743"/>
      <c r="GH41" s="743"/>
      <c r="GI41" s="743"/>
      <c r="GJ41" s="577"/>
      <c r="GK41" s="888" t="s">
        <v>497</v>
      </c>
      <c r="GL41" s="889"/>
      <c r="GM41" s="890" t="s">
        <v>498</v>
      </c>
      <c r="GN41" s="890"/>
      <c r="GO41" s="890" t="s">
        <v>499</v>
      </c>
      <c r="GP41" s="890"/>
      <c r="GQ41" s="890"/>
      <c r="GR41" s="891"/>
      <c r="GS41" s="850"/>
      <c r="GT41" s="682"/>
      <c r="GU41" s="527" t="s">
        <v>568</v>
      </c>
      <c r="GV41" s="527"/>
      <c r="GW41" s="527"/>
      <c r="GX41" s="527"/>
      <c r="GY41" s="527"/>
      <c r="GZ41" s="527"/>
      <c r="HA41" s="883">
        <v>39.4</v>
      </c>
      <c r="HB41" s="414"/>
      <c r="HC41" s="527"/>
      <c r="HD41" s="410"/>
    </row>
    <row r="42" spans="1:219" ht="20.100000000000001" customHeight="1">
      <c r="A42" s="821"/>
      <c r="B42" s="892" t="s">
        <v>424</v>
      </c>
      <c r="C42" s="893"/>
      <c r="D42" s="893"/>
      <c r="E42" s="894"/>
      <c r="F42" s="895"/>
      <c r="G42" s="825"/>
      <c r="H42" s="826"/>
      <c r="I42" s="827"/>
      <c r="J42" s="792"/>
      <c r="K42" s="828"/>
      <c r="L42" s="792"/>
      <c r="M42" s="828"/>
      <c r="N42" s="792"/>
      <c r="O42" s="828"/>
      <c r="P42" s="792"/>
      <c r="Q42" s="828"/>
      <c r="R42" s="792"/>
      <c r="S42" s="828"/>
      <c r="T42" s="792"/>
      <c r="U42" s="828"/>
      <c r="V42" s="792"/>
      <c r="W42" s="828"/>
      <c r="X42" s="792">
        <v>224</v>
      </c>
      <c r="Y42" s="828"/>
      <c r="Z42" s="792">
        <v>148</v>
      </c>
      <c r="AA42" s="828"/>
      <c r="AB42" s="792">
        <v>144</v>
      </c>
      <c r="AC42" s="828"/>
      <c r="AD42" s="792">
        <v>140</v>
      </c>
      <c r="AE42" s="828"/>
      <c r="AF42" s="792">
        <v>136</v>
      </c>
      <c r="AG42" s="828"/>
      <c r="AH42" s="792">
        <v>132</v>
      </c>
      <c r="AI42" s="828"/>
      <c r="AJ42" s="792">
        <v>129</v>
      </c>
      <c r="AK42" s="828"/>
      <c r="AL42" s="792">
        <v>127</v>
      </c>
      <c r="AM42" s="828"/>
      <c r="AN42" s="792">
        <v>123</v>
      </c>
      <c r="AO42" s="828"/>
      <c r="AP42" s="792">
        <v>121</v>
      </c>
      <c r="AQ42" s="828"/>
      <c r="AR42" s="792"/>
      <c r="AS42" s="828"/>
      <c r="AT42" s="792"/>
      <c r="AU42" s="828"/>
      <c r="AV42" s="792"/>
      <c r="AW42" s="828"/>
      <c r="AX42" s="792"/>
      <c r="AY42" s="828"/>
      <c r="AZ42" s="792"/>
      <c r="BA42" s="828"/>
      <c r="BB42" s="829"/>
      <c r="BC42" s="559"/>
      <c r="BD42" s="821"/>
      <c r="BE42" s="896" t="s">
        <v>424</v>
      </c>
      <c r="BF42" s="893"/>
      <c r="BG42" s="893"/>
      <c r="BH42" s="894"/>
      <c r="BI42" s="895"/>
      <c r="BJ42" s="825"/>
      <c r="BK42" s="826"/>
      <c r="BL42" s="827"/>
      <c r="BM42" s="792"/>
      <c r="BN42" s="828"/>
      <c r="BO42" s="792"/>
      <c r="BP42" s="828"/>
      <c r="BQ42" s="792"/>
      <c r="BR42" s="828"/>
      <c r="BS42" s="792"/>
      <c r="BT42" s="828"/>
      <c r="BU42" s="792"/>
      <c r="BV42" s="828"/>
      <c r="BW42" s="792"/>
      <c r="BX42" s="828"/>
      <c r="BY42" s="792"/>
      <c r="BZ42" s="828"/>
      <c r="CA42" s="792">
        <v>224</v>
      </c>
      <c r="CB42" s="828"/>
      <c r="CC42" s="792">
        <v>148</v>
      </c>
      <c r="CD42" s="828"/>
      <c r="CE42" s="792">
        <v>144</v>
      </c>
      <c r="CF42" s="828"/>
      <c r="CG42" s="792">
        <v>140</v>
      </c>
      <c r="CH42" s="828"/>
      <c r="CI42" s="792">
        <v>136</v>
      </c>
      <c r="CJ42" s="828"/>
      <c r="CK42" s="792">
        <v>132</v>
      </c>
      <c r="CL42" s="828"/>
      <c r="CM42" s="792">
        <v>129</v>
      </c>
      <c r="CN42" s="828"/>
      <c r="CO42" s="792">
        <v>127</v>
      </c>
      <c r="CP42" s="828"/>
      <c r="CQ42" s="792">
        <v>123</v>
      </c>
      <c r="CR42" s="828"/>
      <c r="CS42" s="792">
        <v>121</v>
      </c>
      <c r="CT42" s="828"/>
      <c r="CU42" s="792"/>
      <c r="CV42" s="828"/>
      <c r="CW42" s="792"/>
      <c r="CX42" s="828"/>
      <c r="CY42" s="792"/>
      <c r="CZ42" s="828"/>
      <c r="DA42" s="792"/>
      <c r="DB42" s="828"/>
      <c r="DC42" s="792"/>
      <c r="DD42" s="828"/>
      <c r="DE42" s="829"/>
      <c r="DF42" s="559"/>
      <c r="DG42" s="821"/>
      <c r="DH42" s="896" t="s">
        <v>424</v>
      </c>
      <c r="DI42" s="893"/>
      <c r="DJ42" s="893"/>
      <c r="DK42" s="894"/>
      <c r="DL42" s="895"/>
      <c r="DM42" s="825"/>
      <c r="DN42" s="826"/>
      <c r="DO42" s="827"/>
      <c r="DP42" s="792"/>
      <c r="DQ42" s="828"/>
      <c r="DR42" s="792"/>
      <c r="DS42" s="828"/>
      <c r="DT42" s="792"/>
      <c r="DU42" s="828"/>
      <c r="DV42" s="792"/>
      <c r="DW42" s="828"/>
      <c r="DX42" s="792"/>
      <c r="DY42" s="828"/>
      <c r="DZ42" s="792"/>
      <c r="EA42" s="828"/>
      <c r="EB42" s="792"/>
      <c r="EC42" s="828"/>
      <c r="ED42" s="792">
        <v>224</v>
      </c>
      <c r="EE42" s="828"/>
      <c r="EF42" s="792">
        <v>148</v>
      </c>
      <c r="EG42" s="828"/>
      <c r="EH42" s="792">
        <v>144</v>
      </c>
      <c r="EI42" s="828"/>
      <c r="EJ42" s="792">
        <v>140</v>
      </c>
      <c r="EK42" s="828"/>
      <c r="EL42" s="792">
        <v>136</v>
      </c>
      <c r="EM42" s="828"/>
      <c r="EN42" s="792">
        <v>132</v>
      </c>
      <c r="EO42" s="828"/>
      <c r="EP42" s="792">
        <v>129</v>
      </c>
      <c r="EQ42" s="828"/>
      <c r="ER42" s="792">
        <v>127</v>
      </c>
      <c r="ES42" s="828"/>
      <c r="ET42" s="792">
        <v>123</v>
      </c>
      <c r="EU42" s="828"/>
      <c r="EV42" s="792">
        <v>121</v>
      </c>
      <c r="EW42" s="828"/>
      <c r="EX42" s="792"/>
      <c r="EY42" s="828"/>
      <c r="EZ42" s="792"/>
      <c r="FA42" s="828"/>
      <c r="FB42" s="792"/>
      <c r="FC42" s="828"/>
      <c r="FD42" s="792"/>
      <c r="FE42" s="828"/>
      <c r="FF42" s="792"/>
      <c r="FG42" s="828"/>
      <c r="FH42" s="829"/>
      <c r="FI42" s="560"/>
      <c r="FJ42" s="830"/>
      <c r="FK42" s="896" t="s">
        <v>424</v>
      </c>
      <c r="FL42" s="893"/>
      <c r="FM42" s="893"/>
      <c r="FN42" s="894"/>
      <c r="FO42" s="895"/>
      <c r="FP42" s="831"/>
      <c r="FQ42" s="827"/>
      <c r="FR42" s="826">
        <v>1049</v>
      </c>
      <c r="FS42" s="832"/>
      <c r="FT42" s="827"/>
      <c r="FU42" s="798">
        <v>1049</v>
      </c>
      <c r="FV42" s="590"/>
      <c r="FW42" s="591"/>
      <c r="FX42" s="799"/>
      <c r="FY42" s="593"/>
      <c r="FZ42" s="800"/>
      <c r="GA42" s="595"/>
      <c r="GB42" s="801"/>
      <c r="GC42" s="597"/>
      <c r="GD42" s="801"/>
      <c r="GE42" s="598"/>
      <c r="GF42" s="833"/>
      <c r="GG42" s="599"/>
      <c r="GH42" s="599"/>
      <c r="GI42" s="599"/>
      <c r="GJ42" s="410"/>
      <c r="GK42" s="897"/>
      <c r="GL42" s="898"/>
      <c r="GM42" s="899">
        <v>7</v>
      </c>
      <c r="GN42" s="899"/>
      <c r="GO42" s="899">
        <v>10</v>
      </c>
      <c r="GP42" s="899"/>
      <c r="GQ42" s="899">
        <v>17</v>
      </c>
      <c r="GR42" s="900"/>
      <c r="GS42" s="577"/>
      <c r="GT42" s="497"/>
      <c r="GU42" s="497"/>
      <c r="GV42" s="497"/>
      <c r="GW42" s="576"/>
      <c r="GX42" s="576"/>
      <c r="GY42" s="576"/>
      <c r="GZ42" s="575"/>
      <c r="HA42" s="497"/>
      <c r="HB42" s="497"/>
      <c r="HC42" s="527"/>
      <c r="HD42" s="527"/>
    </row>
    <row r="43" spans="1:219" ht="20.100000000000001" customHeight="1">
      <c r="A43" s="821"/>
      <c r="B43" s="901" t="s">
        <v>425</v>
      </c>
      <c r="C43" s="902"/>
      <c r="D43" s="902"/>
      <c r="E43" s="902"/>
      <c r="F43" s="903"/>
      <c r="G43" s="687"/>
      <c r="H43" s="904">
        <v>0</v>
      </c>
      <c r="I43" s="688"/>
      <c r="J43" s="904">
        <v>0</v>
      </c>
      <c r="K43" s="688"/>
      <c r="L43" s="904">
        <v>0</v>
      </c>
      <c r="M43" s="688"/>
      <c r="N43" s="904">
        <v>0</v>
      </c>
      <c r="O43" s="688"/>
      <c r="P43" s="904">
        <v>0</v>
      </c>
      <c r="Q43" s="688"/>
      <c r="R43" s="904">
        <v>0</v>
      </c>
      <c r="S43" s="688"/>
      <c r="T43" s="904">
        <v>0</v>
      </c>
      <c r="U43" s="688"/>
      <c r="V43" s="904">
        <v>0</v>
      </c>
      <c r="W43" s="905"/>
      <c r="X43" s="904">
        <v>0</v>
      </c>
      <c r="Y43" s="688"/>
      <c r="Z43" s="904">
        <v>0</v>
      </c>
      <c r="AA43" s="688"/>
      <c r="AB43" s="904">
        <v>0</v>
      </c>
      <c r="AC43" s="688"/>
      <c r="AD43" s="904">
        <v>0</v>
      </c>
      <c r="AE43" s="688"/>
      <c r="AF43" s="904">
        <v>0</v>
      </c>
      <c r="AG43" s="688"/>
      <c r="AH43" s="904">
        <v>0</v>
      </c>
      <c r="AI43" s="688"/>
      <c r="AJ43" s="904">
        <v>0</v>
      </c>
      <c r="AK43" s="688"/>
      <c r="AL43" s="904">
        <v>0</v>
      </c>
      <c r="AM43" s="688"/>
      <c r="AN43" s="904">
        <v>0</v>
      </c>
      <c r="AO43" s="688"/>
      <c r="AP43" s="904">
        <v>0</v>
      </c>
      <c r="AQ43" s="688"/>
      <c r="AR43" s="904">
        <v>0</v>
      </c>
      <c r="AS43" s="688"/>
      <c r="AT43" s="904">
        <v>0</v>
      </c>
      <c r="AU43" s="688"/>
      <c r="AV43" s="904">
        <v>0</v>
      </c>
      <c r="AW43" s="688"/>
      <c r="AX43" s="904">
        <v>0</v>
      </c>
      <c r="AY43" s="688"/>
      <c r="AZ43" s="904">
        <v>0</v>
      </c>
      <c r="BA43" s="688"/>
      <c r="BB43" s="871">
        <v>0</v>
      </c>
      <c r="BC43" s="559"/>
      <c r="BD43" s="821"/>
      <c r="BE43" s="906" t="s">
        <v>425</v>
      </c>
      <c r="BF43" s="902"/>
      <c r="BG43" s="902"/>
      <c r="BH43" s="902"/>
      <c r="BI43" s="903"/>
      <c r="BJ43" s="687"/>
      <c r="BK43" s="904">
        <v>0</v>
      </c>
      <c r="BL43" s="688"/>
      <c r="BM43" s="904">
        <v>0</v>
      </c>
      <c r="BN43" s="688"/>
      <c r="BO43" s="904">
        <v>0</v>
      </c>
      <c r="BP43" s="688"/>
      <c r="BQ43" s="904">
        <v>0</v>
      </c>
      <c r="BR43" s="688"/>
      <c r="BS43" s="904">
        <v>0</v>
      </c>
      <c r="BT43" s="688"/>
      <c r="BU43" s="904">
        <v>0</v>
      </c>
      <c r="BV43" s="688"/>
      <c r="BW43" s="904">
        <v>0</v>
      </c>
      <c r="BX43" s="688"/>
      <c r="BY43" s="904">
        <v>0</v>
      </c>
      <c r="BZ43" s="905"/>
      <c r="CA43" s="904">
        <v>0</v>
      </c>
      <c r="CB43" s="688"/>
      <c r="CC43" s="904">
        <v>0</v>
      </c>
      <c r="CD43" s="688"/>
      <c r="CE43" s="904">
        <v>0</v>
      </c>
      <c r="CF43" s="688"/>
      <c r="CG43" s="904">
        <v>0</v>
      </c>
      <c r="CH43" s="688"/>
      <c r="CI43" s="904">
        <v>0</v>
      </c>
      <c r="CJ43" s="688"/>
      <c r="CK43" s="904">
        <v>0</v>
      </c>
      <c r="CL43" s="688"/>
      <c r="CM43" s="904">
        <v>0</v>
      </c>
      <c r="CN43" s="688"/>
      <c r="CO43" s="904">
        <v>0</v>
      </c>
      <c r="CP43" s="688"/>
      <c r="CQ43" s="904">
        <v>0</v>
      </c>
      <c r="CR43" s="688"/>
      <c r="CS43" s="904">
        <v>0</v>
      </c>
      <c r="CT43" s="688"/>
      <c r="CU43" s="904">
        <v>0</v>
      </c>
      <c r="CV43" s="688"/>
      <c r="CW43" s="904">
        <v>0</v>
      </c>
      <c r="CX43" s="688"/>
      <c r="CY43" s="904">
        <v>0</v>
      </c>
      <c r="CZ43" s="688"/>
      <c r="DA43" s="904">
        <v>0</v>
      </c>
      <c r="DB43" s="688"/>
      <c r="DC43" s="904">
        <v>0</v>
      </c>
      <c r="DD43" s="688"/>
      <c r="DE43" s="871">
        <v>0</v>
      </c>
      <c r="DF43" s="559"/>
      <c r="DG43" s="821"/>
      <c r="DH43" s="906" t="s">
        <v>425</v>
      </c>
      <c r="DI43" s="902"/>
      <c r="DJ43" s="902"/>
      <c r="DK43" s="902"/>
      <c r="DL43" s="903"/>
      <c r="DM43" s="687"/>
      <c r="DN43" s="904">
        <v>0</v>
      </c>
      <c r="DO43" s="688"/>
      <c r="DP43" s="904">
        <v>0</v>
      </c>
      <c r="DQ43" s="688"/>
      <c r="DR43" s="904">
        <v>0</v>
      </c>
      <c r="DS43" s="688"/>
      <c r="DT43" s="904">
        <v>0</v>
      </c>
      <c r="DU43" s="688"/>
      <c r="DV43" s="904">
        <v>0</v>
      </c>
      <c r="DW43" s="688"/>
      <c r="DX43" s="904">
        <v>0</v>
      </c>
      <c r="DY43" s="688"/>
      <c r="DZ43" s="904">
        <v>0</v>
      </c>
      <c r="EA43" s="688"/>
      <c r="EB43" s="904">
        <v>0</v>
      </c>
      <c r="EC43" s="905"/>
      <c r="ED43" s="904">
        <v>0</v>
      </c>
      <c r="EE43" s="688"/>
      <c r="EF43" s="904">
        <v>0</v>
      </c>
      <c r="EG43" s="688"/>
      <c r="EH43" s="904">
        <v>0</v>
      </c>
      <c r="EI43" s="688"/>
      <c r="EJ43" s="904">
        <v>0</v>
      </c>
      <c r="EK43" s="688"/>
      <c r="EL43" s="904">
        <v>0</v>
      </c>
      <c r="EM43" s="688"/>
      <c r="EN43" s="904">
        <v>0</v>
      </c>
      <c r="EO43" s="688"/>
      <c r="EP43" s="904">
        <v>0</v>
      </c>
      <c r="EQ43" s="688"/>
      <c r="ER43" s="904">
        <v>0</v>
      </c>
      <c r="ES43" s="688"/>
      <c r="ET43" s="904">
        <v>0</v>
      </c>
      <c r="EU43" s="688"/>
      <c r="EV43" s="904">
        <v>0</v>
      </c>
      <c r="EW43" s="688"/>
      <c r="EX43" s="904">
        <v>0</v>
      </c>
      <c r="EY43" s="688"/>
      <c r="EZ43" s="904">
        <v>0</v>
      </c>
      <c r="FA43" s="688"/>
      <c r="FB43" s="904">
        <v>0</v>
      </c>
      <c r="FC43" s="688"/>
      <c r="FD43" s="904">
        <v>0</v>
      </c>
      <c r="FE43" s="688"/>
      <c r="FF43" s="904">
        <v>0</v>
      </c>
      <c r="FG43" s="688"/>
      <c r="FH43" s="871">
        <v>0</v>
      </c>
      <c r="FI43" s="560"/>
      <c r="FJ43" s="830"/>
      <c r="FK43" s="906" t="s">
        <v>425</v>
      </c>
      <c r="FL43" s="902"/>
      <c r="FM43" s="902"/>
      <c r="FN43" s="902"/>
      <c r="FO43" s="903"/>
      <c r="FP43" s="689"/>
      <c r="FQ43" s="690"/>
      <c r="FR43" s="584">
        <v>0</v>
      </c>
      <c r="FS43" s="691"/>
      <c r="FT43" s="690"/>
      <c r="FU43" s="589">
        <v>0</v>
      </c>
      <c r="FV43" s="907"/>
      <c r="FW43" s="908"/>
      <c r="FX43" s="909"/>
      <c r="FY43" s="910"/>
      <c r="FZ43" s="911"/>
      <c r="GA43" s="912"/>
      <c r="GB43" s="913"/>
      <c r="GC43" s="914"/>
      <c r="GD43" s="913"/>
      <c r="GE43" s="915"/>
      <c r="GF43" s="681"/>
      <c r="GG43" s="599"/>
      <c r="GH43" s="599"/>
      <c r="GI43" s="599"/>
      <c r="GJ43" s="916"/>
      <c r="GK43" s="917" t="s">
        <v>500</v>
      </c>
      <c r="GL43" s="918"/>
      <c r="GM43" s="919" t="s">
        <v>501</v>
      </c>
      <c r="GN43" s="919"/>
      <c r="GO43" s="919" t="s">
        <v>502</v>
      </c>
      <c r="GP43" s="919"/>
      <c r="GQ43" s="919"/>
      <c r="GR43" s="920"/>
      <c r="GS43" s="577"/>
      <c r="GT43" s="606"/>
      <c r="GU43" s="527" t="s">
        <v>472</v>
      </c>
      <c r="GV43" s="414"/>
      <c r="GW43" s="410"/>
      <c r="GX43" s="414"/>
      <c r="GY43" s="414"/>
      <c r="GZ43" s="414"/>
      <c r="HA43" s="410"/>
      <c r="HB43" s="414"/>
      <c r="HC43" s="921"/>
      <c r="HD43" s="416"/>
    </row>
    <row r="44" spans="1:219" ht="20.100000000000001" customHeight="1" thickBot="1">
      <c r="A44" s="922"/>
      <c r="B44" s="639"/>
      <c r="C44" s="639"/>
      <c r="D44" s="640" t="s">
        <v>426</v>
      </c>
      <c r="E44" s="639"/>
      <c r="F44" s="639"/>
      <c r="G44" s="834"/>
      <c r="H44" s="835">
        <v>0</v>
      </c>
      <c r="I44" s="836"/>
      <c r="J44" s="837">
        <v>0</v>
      </c>
      <c r="K44" s="838"/>
      <c r="L44" s="837">
        <v>0</v>
      </c>
      <c r="M44" s="838"/>
      <c r="N44" s="837">
        <v>0</v>
      </c>
      <c r="O44" s="838"/>
      <c r="P44" s="837">
        <v>0</v>
      </c>
      <c r="Q44" s="838"/>
      <c r="R44" s="837">
        <v>0</v>
      </c>
      <c r="S44" s="838"/>
      <c r="T44" s="837">
        <v>0</v>
      </c>
      <c r="U44" s="838"/>
      <c r="V44" s="837">
        <v>0</v>
      </c>
      <c r="W44" s="838"/>
      <c r="X44" s="837">
        <v>224</v>
      </c>
      <c r="Y44" s="838"/>
      <c r="Z44" s="837">
        <v>148</v>
      </c>
      <c r="AA44" s="838"/>
      <c r="AB44" s="837">
        <v>144</v>
      </c>
      <c r="AC44" s="838"/>
      <c r="AD44" s="837">
        <v>140</v>
      </c>
      <c r="AE44" s="838"/>
      <c r="AF44" s="837">
        <v>136</v>
      </c>
      <c r="AG44" s="838"/>
      <c r="AH44" s="837">
        <v>132</v>
      </c>
      <c r="AI44" s="838"/>
      <c r="AJ44" s="837">
        <v>129</v>
      </c>
      <c r="AK44" s="838"/>
      <c r="AL44" s="837">
        <v>127</v>
      </c>
      <c r="AM44" s="838"/>
      <c r="AN44" s="837">
        <v>123</v>
      </c>
      <c r="AO44" s="838"/>
      <c r="AP44" s="837">
        <v>121</v>
      </c>
      <c r="AQ44" s="838"/>
      <c r="AR44" s="837">
        <v>0</v>
      </c>
      <c r="AS44" s="838"/>
      <c r="AT44" s="837">
        <v>0</v>
      </c>
      <c r="AU44" s="838"/>
      <c r="AV44" s="837">
        <v>0</v>
      </c>
      <c r="AW44" s="838"/>
      <c r="AX44" s="837">
        <v>0</v>
      </c>
      <c r="AY44" s="838"/>
      <c r="AZ44" s="837">
        <v>0</v>
      </c>
      <c r="BA44" s="838"/>
      <c r="BB44" s="839">
        <v>0</v>
      </c>
      <c r="BC44" s="645"/>
      <c r="BD44" s="922"/>
      <c r="BE44" s="639"/>
      <c r="BF44" s="639"/>
      <c r="BG44" s="640" t="s">
        <v>426</v>
      </c>
      <c r="BH44" s="639"/>
      <c r="BI44" s="639"/>
      <c r="BJ44" s="834"/>
      <c r="BK44" s="835">
        <v>0</v>
      </c>
      <c r="BL44" s="836"/>
      <c r="BM44" s="837">
        <v>0</v>
      </c>
      <c r="BN44" s="838"/>
      <c r="BO44" s="837">
        <v>0</v>
      </c>
      <c r="BP44" s="838"/>
      <c r="BQ44" s="837">
        <v>0</v>
      </c>
      <c r="BR44" s="838"/>
      <c r="BS44" s="837">
        <v>0</v>
      </c>
      <c r="BT44" s="838"/>
      <c r="BU44" s="837">
        <v>0</v>
      </c>
      <c r="BV44" s="838"/>
      <c r="BW44" s="837">
        <v>0</v>
      </c>
      <c r="BX44" s="838"/>
      <c r="BY44" s="837">
        <v>0</v>
      </c>
      <c r="BZ44" s="838"/>
      <c r="CA44" s="837">
        <v>224</v>
      </c>
      <c r="CB44" s="838"/>
      <c r="CC44" s="837">
        <v>148</v>
      </c>
      <c r="CD44" s="838"/>
      <c r="CE44" s="837">
        <v>144</v>
      </c>
      <c r="CF44" s="838"/>
      <c r="CG44" s="837">
        <v>140</v>
      </c>
      <c r="CH44" s="838"/>
      <c r="CI44" s="837">
        <v>136</v>
      </c>
      <c r="CJ44" s="838"/>
      <c r="CK44" s="837">
        <v>132</v>
      </c>
      <c r="CL44" s="838"/>
      <c r="CM44" s="837">
        <v>129</v>
      </c>
      <c r="CN44" s="838"/>
      <c r="CO44" s="837">
        <v>127</v>
      </c>
      <c r="CP44" s="838"/>
      <c r="CQ44" s="837">
        <v>123</v>
      </c>
      <c r="CR44" s="838"/>
      <c r="CS44" s="837">
        <v>121</v>
      </c>
      <c r="CT44" s="838"/>
      <c r="CU44" s="837">
        <v>0</v>
      </c>
      <c r="CV44" s="838"/>
      <c r="CW44" s="837">
        <v>0</v>
      </c>
      <c r="CX44" s="838"/>
      <c r="CY44" s="837">
        <v>0</v>
      </c>
      <c r="CZ44" s="838"/>
      <c r="DA44" s="837">
        <v>0</v>
      </c>
      <c r="DB44" s="838"/>
      <c r="DC44" s="837">
        <v>0</v>
      </c>
      <c r="DD44" s="838"/>
      <c r="DE44" s="839">
        <v>0</v>
      </c>
      <c r="DF44" s="645"/>
      <c r="DG44" s="922"/>
      <c r="DH44" s="639"/>
      <c r="DI44" s="639"/>
      <c r="DJ44" s="640" t="s">
        <v>426</v>
      </c>
      <c r="DK44" s="639"/>
      <c r="DL44" s="639"/>
      <c r="DM44" s="834"/>
      <c r="DN44" s="835">
        <v>0</v>
      </c>
      <c r="DO44" s="836"/>
      <c r="DP44" s="837">
        <v>0</v>
      </c>
      <c r="DQ44" s="838"/>
      <c r="DR44" s="837">
        <v>0</v>
      </c>
      <c r="DS44" s="838"/>
      <c r="DT44" s="837">
        <v>0</v>
      </c>
      <c r="DU44" s="838"/>
      <c r="DV44" s="837">
        <v>0</v>
      </c>
      <c r="DW44" s="838"/>
      <c r="DX44" s="837">
        <v>0</v>
      </c>
      <c r="DY44" s="838"/>
      <c r="DZ44" s="837">
        <v>0</v>
      </c>
      <c r="EA44" s="838"/>
      <c r="EB44" s="837">
        <v>0</v>
      </c>
      <c r="EC44" s="838"/>
      <c r="ED44" s="837">
        <v>224</v>
      </c>
      <c r="EE44" s="838"/>
      <c r="EF44" s="837">
        <v>148</v>
      </c>
      <c r="EG44" s="838"/>
      <c r="EH44" s="837">
        <v>144</v>
      </c>
      <c r="EI44" s="838"/>
      <c r="EJ44" s="837">
        <v>140</v>
      </c>
      <c r="EK44" s="838"/>
      <c r="EL44" s="837">
        <v>136</v>
      </c>
      <c r="EM44" s="838"/>
      <c r="EN44" s="837">
        <v>132</v>
      </c>
      <c r="EO44" s="838"/>
      <c r="EP44" s="837">
        <v>129</v>
      </c>
      <c r="EQ44" s="838"/>
      <c r="ER44" s="837">
        <v>127</v>
      </c>
      <c r="ES44" s="838"/>
      <c r="ET44" s="837">
        <v>123</v>
      </c>
      <c r="EU44" s="838"/>
      <c r="EV44" s="837">
        <v>121</v>
      </c>
      <c r="EW44" s="838"/>
      <c r="EX44" s="837">
        <v>0</v>
      </c>
      <c r="EY44" s="838"/>
      <c r="EZ44" s="837">
        <v>0</v>
      </c>
      <c r="FA44" s="838"/>
      <c r="FB44" s="837">
        <v>0</v>
      </c>
      <c r="FC44" s="838"/>
      <c r="FD44" s="837">
        <v>0</v>
      </c>
      <c r="FE44" s="838"/>
      <c r="FF44" s="837">
        <v>0</v>
      </c>
      <c r="FG44" s="838"/>
      <c r="FH44" s="839">
        <v>0</v>
      </c>
      <c r="FI44" s="646"/>
      <c r="FJ44" s="923"/>
      <c r="FK44" s="639"/>
      <c r="FL44" s="639"/>
      <c r="FM44" s="640" t="s">
        <v>426</v>
      </c>
      <c r="FN44" s="639"/>
      <c r="FO44" s="639"/>
      <c r="FP44" s="647"/>
      <c r="FQ44" s="836"/>
      <c r="FR44" s="835">
        <v>1049</v>
      </c>
      <c r="FS44" s="840"/>
      <c r="FT44" s="836"/>
      <c r="FU44" s="841">
        <v>1049</v>
      </c>
      <c r="FV44" s="590" t="s">
        <v>327</v>
      </c>
      <c r="FW44" s="591"/>
      <c r="FX44" s="799" t="s">
        <v>328</v>
      </c>
      <c r="FY44" s="593"/>
      <c r="FZ44" s="800" t="s">
        <v>329</v>
      </c>
      <c r="GA44" s="595"/>
      <c r="GB44" s="801" t="s">
        <v>330</v>
      </c>
      <c r="GC44" s="597"/>
      <c r="GD44" s="801" t="s">
        <v>331</v>
      </c>
      <c r="GE44" s="598"/>
      <c r="GF44" s="651"/>
      <c r="GG44" s="652"/>
      <c r="GH44" s="652"/>
      <c r="GI44" s="652"/>
      <c r="GJ44" s="527"/>
      <c r="GK44" s="897"/>
      <c r="GL44" s="898"/>
      <c r="GM44" s="924">
        <v>4.5999999999999996</v>
      </c>
      <c r="GN44" s="924"/>
      <c r="GO44" s="924">
        <v>7</v>
      </c>
      <c r="GP44" s="924"/>
      <c r="GQ44" s="899">
        <v>11.6</v>
      </c>
      <c r="GR44" s="900"/>
      <c r="GS44" s="925"/>
      <c r="GT44" s="926"/>
      <c r="GU44" s="527" t="s">
        <v>503</v>
      </c>
      <c r="GV44" s="612"/>
      <c r="GW44" s="612"/>
      <c r="GX44" s="612"/>
      <c r="GY44" s="414"/>
      <c r="GZ44" s="414"/>
      <c r="HA44" s="744">
        <v>1.5</v>
      </c>
      <c r="HB44" s="414" t="s">
        <v>475</v>
      </c>
      <c r="HC44" s="927"/>
      <c r="HD44" s="416"/>
    </row>
    <row r="45" spans="1:219" ht="20.100000000000001" customHeight="1" thickTop="1">
      <c r="A45" s="928" t="s">
        <v>427</v>
      </c>
      <c r="B45" s="929"/>
      <c r="C45" s="929"/>
      <c r="D45" s="929"/>
      <c r="E45" s="929"/>
      <c r="F45" s="930"/>
      <c r="G45" s="931"/>
      <c r="H45" s="932">
        <v>0</v>
      </c>
      <c r="I45" s="933"/>
      <c r="J45" s="932">
        <v>0</v>
      </c>
      <c r="K45" s="933"/>
      <c r="L45" s="932">
        <v>0</v>
      </c>
      <c r="M45" s="933"/>
      <c r="N45" s="932">
        <v>0</v>
      </c>
      <c r="O45" s="933"/>
      <c r="P45" s="932">
        <v>0</v>
      </c>
      <c r="Q45" s="933"/>
      <c r="R45" s="932">
        <v>0</v>
      </c>
      <c r="S45" s="933"/>
      <c r="T45" s="932">
        <v>0</v>
      </c>
      <c r="U45" s="933"/>
      <c r="V45" s="932">
        <v>0</v>
      </c>
      <c r="W45" s="933"/>
      <c r="X45" s="932">
        <v>1017</v>
      </c>
      <c r="Y45" s="933"/>
      <c r="Z45" s="932">
        <v>1011</v>
      </c>
      <c r="AA45" s="933"/>
      <c r="AB45" s="932">
        <v>1049</v>
      </c>
      <c r="AC45" s="933"/>
      <c r="AD45" s="932">
        <v>1064</v>
      </c>
      <c r="AE45" s="933"/>
      <c r="AF45" s="932">
        <v>1064</v>
      </c>
      <c r="AG45" s="933"/>
      <c r="AH45" s="932">
        <v>1054</v>
      </c>
      <c r="AI45" s="933"/>
      <c r="AJ45" s="932">
        <v>1028</v>
      </c>
      <c r="AK45" s="933"/>
      <c r="AL45" s="932">
        <v>1011</v>
      </c>
      <c r="AM45" s="933"/>
      <c r="AN45" s="932">
        <v>971</v>
      </c>
      <c r="AO45" s="933"/>
      <c r="AP45" s="932">
        <v>937</v>
      </c>
      <c r="AQ45" s="933"/>
      <c r="AR45" s="932">
        <v>0</v>
      </c>
      <c r="AS45" s="933"/>
      <c r="AT45" s="932">
        <v>0</v>
      </c>
      <c r="AU45" s="933"/>
      <c r="AV45" s="932">
        <v>0</v>
      </c>
      <c r="AW45" s="933"/>
      <c r="AX45" s="932">
        <v>0</v>
      </c>
      <c r="AY45" s="933"/>
      <c r="AZ45" s="932">
        <v>0</v>
      </c>
      <c r="BA45" s="933"/>
      <c r="BB45" s="934">
        <v>0</v>
      </c>
      <c r="BC45" s="645"/>
      <c r="BD45" s="928" t="s">
        <v>427</v>
      </c>
      <c r="BE45" s="929"/>
      <c r="BF45" s="929"/>
      <c r="BG45" s="929"/>
      <c r="BH45" s="929"/>
      <c r="BI45" s="930"/>
      <c r="BJ45" s="931"/>
      <c r="BK45" s="932">
        <v>0</v>
      </c>
      <c r="BL45" s="933"/>
      <c r="BM45" s="932">
        <v>0</v>
      </c>
      <c r="BN45" s="933"/>
      <c r="BO45" s="932">
        <v>0</v>
      </c>
      <c r="BP45" s="933"/>
      <c r="BQ45" s="932">
        <v>0</v>
      </c>
      <c r="BR45" s="933"/>
      <c r="BS45" s="932">
        <v>0</v>
      </c>
      <c r="BT45" s="933"/>
      <c r="BU45" s="932">
        <v>0</v>
      </c>
      <c r="BV45" s="933"/>
      <c r="BW45" s="932">
        <v>0</v>
      </c>
      <c r="BX45" s="933"/>
      <c r="BY45" s="932">
        <v>0</v>
      </c>
      <c r="BZ45" s="933"/>
      <c r="CA45" s="932">
        <v>1076</v>
      </c>
      <c r="CB45" s="933"/>
      <c r="CC45" s="932">
        <v>1065</v>
      </c>
      <c r="CD45" s="933"/>
      <c r="CE45" s="932">
        <v>1102</v>
      </c>
      <c r="CF45" s="933"/>
      <c r="CG45" s="932">
        <v>1098</v>
      </c>
      <c r="CH45" s="933"/>
      <c r="CI45" s="932">
        <v>1076</v>
      </c>
      <c r="CJ45" s="933"/>
      <c r="CK45" s="932">
        <v>1044</v>
      </c>
      <c r="CL45" s="933"/>
      <c r="CM45" s="932">
        <v>1019</v>
      </c>
      <c r="CN45" s="933"/>
      <c r="CO45" s="932">
        <v>996</v>
      </c>
      <c r="CP45" s="933"/>
      <c r="CQ45" s="932">
        <v>966</v>
      </c>
      <c r="CR45" s="933"/>
      <c r="CS45" s="932">
        <v>925</v>
      </c>
      <c r="CT45" s="933"/>
      <c r="CU45" s="932">
        <v>0</v>
      </c>
      <c r="CV45" s="933"/>
      <c r="CW45" s="932">
        <v>0</v>
      </c>
      <c r="CX45" s="933"/>
      <c r="CY45" s="932">
        <v>0</v>
      </c>
      <c r="CZ45" s="933"/>
      <c r="DA45" s="932">
        <v>0</v>
      </c>
      <c r="DB45" s="933"/>
      <c r="DC45" s="932">
        <v>0</v>
      </c>
      <c r="DD45" s="933"/>
      <c r="DE45" s="934">
        <v>0</v>
      </c>
      <c r="DF45" s="645"/>
      <c r="DG45" s="928" t="s">
        <v>427</v>
      </c>
      <c r="DH45" s="929"/>
      <c r="DI45" s="929"/>
      <c r="DJ45" s="929"/>
      <c r="DK45" s="929"/>
      <c r="DL45" s="930"/>
      <c r="DM45" s="931"/>
      <c r="DN45" s="932">
        <v>0</v>
      </c>
      <c r="DO45" s="933"/>
      <c r="DP45" s="932">
        <v>0</v>
      </c>
      <c r="DQ45" s="933"/>
      <c r="DR45" s="932">
        <v>0</v>
      </c>
      <c r="DS45" s="933"/>
      <c r="DT45" s="932">
        <v>0</v>
      </c>
      <c r="DU45" s="933"/>
      <c r="DV45" s="932">
        <v>0</v>
      </c>
      <c r="DW45" s="933"/>
      <c r="DX45" s="932">
        <v>0</v>
      </c>
      <c r="DY45" s="933"/>
      <c r="DZ45" s="932">
        <v>0</v>
      </c>
      <c r="EA45" s="933"/>
      <c r="EB45" s="932">
        <v>0</v>
      </c>
      <c r="EC45" s="933"/>
      <c r="ED45" s="932">
        <v>977</v>
      </c>
      <c r="EE45" s="933"/>
      <c r="EF45" s="932">
        <v>976</v>
      </c>
      <c r="EG45" s="933"/>
      <c r="EH45" s="932">
        <v>1017</v>
      </c>
      <c r="EI45" s="933"/>
      <c r="EJ45" s="932">
        <v>1023</v>
      </c>
      <c r="EK45" s="933"/>
      <c r="EL45" s="932">
        <v>996</v>
      </c>
      <c r="EM45" s="933"/>
      <c r="EN45" s="932">
        <v>960</v>
      </c>
      <c r="EO45" s="933"/>
      <c r="EP45" s="932">
        <v>933</v>
      </c>
      <c r="EQ45" s="933"/>
      <c r="ER45" s="932">
        <v>913</v>
      </c>
      <c r="ES45" s="933"/>
      <c r="ET45" s="932">
        <v>872</v>
      </c>
      <c r="EU45" s="933"/>
      <c r="EV45" s="932">
        <v>828</v>
      </c>
      <c r="EW45" s="933"/>
      <c r="EX45" s="932">
        <v>0</v>
      </c>
      <c r="EY45" s="933"/>
      <c r="EZ45" s="932">
        <v>0</v>
      </c>
      <c r="FA45" s="933"/>
      <c r="FB45" s="932">
        <v>0</v>
      </c>
      <c r="FC45" s="933"/>
      <c r="FD45" s="932">
        <v>0</v>
      </c>
      <c r="FE45" s="933"/>
      <c r="FF45" s="932">
        <v>0</v>
      </c>
      <c r="FG45" s="933"/>
      <c r="FH45" s="934">
        <v>0</v>
      </c>
      <c r="FI45" s="645"/>
      <c r="FJ45" s="928" t="s">
        <v>427</v>
      </c>
      <c r="FK45" s="929"/>
      <c r="FL45" s="929"/>
      <c r="FM45" s="929"/>
      <c r="FN45" s="929"/>
      <c r="FO45" s="930"/>
      <c r="FP45" s="935"/>
      <c r="FQ45" s="936"/>
      <c r="FR45" s="932">
        <v>1986</v>
      </c>
      <c r="FS45" s="937"/>
      <c r="FT45" s="936"/>
      <c r="FU45" s="938">
        <v>2006</v>
      </c>
      <c r="FV45" s="590"/>
      <c r="FW45" s="591"/>
      <c r="FX45" s="799"/>
      <c r="FY45" s="593"/>
      <c r="FZ45" s="800"/>
      <c r="GA45" s="595"/>
      <c r="GB45" s="801"/>
      <c r="GC45" s="597"/>
      <c r="GD45" s="801"/>
      <c r="GE45" s="598"/>
      <c r="GF45" s="651"/>
      <c r="GG45" s="652"/>
      <c r="GH45" s="652"/>
      <c r="GI45" s="652"/>
      <c r="GJ45" s="497"/>
      <c r="GK45" s="939"/>
      <c r="GL45" s="939"/>
      <c r="GM45" s="940"/>
      <c r="GN45" s="940"/>
      <c r="GO45" s="941"/>
      <c r="GP45" s="939"/>
      <c r="GQ45" s="939"/>
      <c r="GR45" s="939"/>
      <c r="GS45" s="942"/>
      <c r="GT45" s="850"/>
      <c r="GU45" s="527" t="s">
        <v>504</v>
      </c>
      <c r="GV45" s="414"/>
      <c r="GW45" s="414"/>
      <c r="GX45" s="414"/>
      <c r="GY45" s="527"/>
      <c r="GZ45" s="726"/>
      <c r="HA45" s="744">
        <v>22</v>
      </c>
      <c r="HB45" s="414" t="s">
        <v>475</v>
      </c>
      <c r="HC45" s="927"/>
      <c r="HD45" s="416"/>
    </row>
    <row r="46" spans="1:219" ht="20.100000000000001" customHeight="1">
      <c r="A46" s="943" t="s">
        <v>428</v>
      </c>
      <c r="B46" s="944"/>
      <c r="C46" s="944"/>
      <c r="D46" s="944"/>
      <c r="E46" s="944"/>
      <c r="F46" s="945"/>
      <c r="G46" s="946" t="s">
        <v>429</v>
      </c>
      <c r="H46" s="947"/>
      <c r="I46" s="948" t="s">
        <v>429</v>
      </c>
      <c r="J46" s="947"/>
      <c r="K46" s="948" t="s">
        <v>429</v>
      </c>
      <c r="L46" s="947"/>
      <c r="M46" s="948" t="s">
        <v>429</v>
      </c>
      <c r="N46" s="947"/>
      <c r="O46" s="948" t="s">
        <v>429</v>
      </c>
      <c r="P46" s="947"/>
      <c r="Q46" s="948" t="s">
        <v>429</v>
      </c>
      <c r="R46" s="947"/>
      <c r="S46" s="948" t="s">
        <v>429</v>
      </c>
      <c r="T46" s="947"/>
      <c r="U46" s="948" t="s">
        <v>429</v>
      </c>
      <c r="V46" s="947"/>
      <c r="W46" s="948" t="s">
        <v>429</v>
      </c>
      <c r="X46" s="947"/>
      <c r="Y46" s="948" t="s">
        <v>429</v>
      </c>
      <c r="Z46" s="947"/>
      <c r="AA46" s="948" t="s">
        <v>429</v>
      </c>
      <c r="AB46" s="947"/>
      <c r="AC46" s="948" t="s">
        <v>429</v>
      </c>
      <c r="AD46" s="947"/>
      <c r="AE46" s="948" t="s">
        <v>429</v>
      </c>
      <c r="AF46" s="947"/>
      <c r="AG46" s="948" t="s">
        <v>429</v>
      </c>
      <c r="AH46" s="947"/>
      <c r="AI46" s="948" t="s">
        <v>429</v>
      </c>
      <c r="AJ46" s="947"/>
      <c r="AK46" s="948" t="s">
        <v>429</v>
      </c>
      <c r="AL46" s="947"/>
      <c r="AM46" s="948" t="s">
        <v>429</v>
      </c>
      <c r="AN46" s="947"/>
      <c r="AO46" s="948" t="s">
        <v>429</v>
      </c>
      <c r="AP46" s="947"/>
      <c r="AQ46" s="948" t="s">
        <v>429</v>
      </c>
      <c r="AR46" s="947"/>
      <c r="AS46" s="948" t="s">
        <v>429</v>
      </c>
      <c r="AT46" s="947"/>
      <c r="AU46" s="948" t="s">
        <v>429</v>
      </c>
      <c r="AV46" s="947"/>
      <c r="AW46" s="948" t="s">
        <v>429</v>
      </c>
      <c r="AX46" s="947"/>
      <c r="AY46" s="948" t="s">
        <v>429</v>
      </c>
      <c r="AZ46" s="949"/>
      <c r="BA46" s="950" t="s">
        <v>429</v>
      </c>
      <c r="BB46" s="951"/>
      <c r="BC46" s="952"/>
      <c r="BD46" s="943" t="s">
        <v>430</v>
      </c>
      <c r="BE46" s="944"/>
      <c r="BF46" s="944"/>
      <c r="BG46" s="944"/>
      <c r="BH46" s="944"/>
      <c r="BI46" s="945"/>
      <c r="BJ46" s="946" t="s">
        <v>429</v>
      </c>
      <c r="BK46" s="947"/>
      <c r="BL46" s="948" t="s">
        <v>429</v>
      </c>
      <c r="BM46" s="947"/>
      <c r="BN46" s="948" t="s">
        <v>429</v>
      </c>
      <c r="BO46" s="947"/>
      <c r="BP46" s="948" t="s">
        <v>429</v>
      </c>
      <c r="BQ46" s="947"/>
      <c r="BR46" s="948" t="s">
        <v>429</v>
      </c>
      <c r="BS46" s="947"/>
      <c r="BT46" s="948" t="s">
        <v>429</v>
      </c>
      <c r="BU46" s="947"/>
      <c r="BV46" s="948" t="s">
        <v>429</v>
      </c>
      <c r="BW46" s="947"/>
      <c r="BX46" s="948" t="s">
        <v>429</v>
      </c>
      <c r="BY46" s="947"/>
      <c r="BZ46" s="948" t="s">
        <v>429</v>
      </c>
      <c r="CA46" s="947"/>
      <c r="CB46" s="948" t="s">
        <v>429</v>
      </c>
      <c r="CC46" s="947"/>
      <c r="CD46" s="948" t="s">
        <v>429</v>
      </c>
      <c r="CE46" s="947"/>
      <c r="CF46" s="948" t="s">
        <v>429</v>
      </c>
      <c r="CG46" s="947"/>
      <c r="CH46" s="948" t="s">
        <v>429</v>
      </c>
      <c r="CI46" s="947"/>
      <c r="CJ46" s="948" t="s">
        <v>429</v>
      </c>
      <c r="CK46" s="947"/>
      <c r="CL46" s="948" t="s">
        <v>429</v>
      </c>
      <c r="CM46" s="947"/>
      <c r="CN46" s="948" t="s">
        <v>429</v>
      </c>
      <c r="CO46" s="947"/>
      <c r="CP46" s="948" t="s">
        <v>429</v>
      </c>
      <c r="CQ46" s="947"/>
      <c r="CR46" s="948" t="s">
        <v>429</v>
      </c>
      <c r="CS46" s="947"/>
      <c r="CT46" s="948" t="s">
        <v>429</v>
      </c>
      <c r="CU46" s="947"/>
      <c r="CV46" s="948" t="s">
        <v>429</v>
      </c>
      <c r="CW46" s="947"/>
      <c r="CX46" s="948" t="s">
        <v>429</v>
      </c>
      <c r="CY46" s="947"/>
      <c r="CZ46" s="948" t="s">
        <v>429</v>
      </c>
      <c r="DA46" s="947"/>
      <c r="DB46" s="948" t="s">
        <v>429</v>
      </c>
      <c r="DC46" s="949"/>
      <c r="DD46" s="950" t="s">
        <v>429</v>
      </c>
      <c r="DE46" s="951"/>
      <c r="DF46" s="952"/>
      <c r="DG46" s="943" t="s">
        <v>430</v>
      </c>
      <c r="DH46" s="944"/>
      <c r="DI46" s="944"/>
      <c r="DJ46" s="944"/>
      <c r="DK46" s="944"/>
      <c r="DL46" s="945"/>
      <c r="DM46" s="946" t="s">
        <v>429</v>
      </c>
      <c r="DN46" s="947"/>
      <c r="DO46" s="948" t="s">
        <v>429</v>
      </c>
      <c r="DP46" s="947"/>
      <c r="DQ46" s="948" t="s">
        <v>429</v>
      </c>
      <c r="DR46" s="947"/>
      <c r="DS46" s="948" t="s">
        <v>429</v>
      </c>
      <c r="DT46" s="947"/>
      <c r="DU46" s="948" t="s">
        <v>429</v>
      </c>
      <c r="DV46" s="947"/>
      <c r="DW46" s="948" t="s">
        <v>429</v>
      </c>
      <c r="DX46" s="947"/>
      <c r="DY46" s="948" t="s">
        <v>429</v>
      </c>
      <c r="DZ46" s="947"/>
      <c r="EA46" s="948" t="s">
        <v>429</v>
      </c>
      <c r="EB46" s="947"/>
      <c r="EC46" s="948" t="s">
        <v>429</v>
      </c>
      <c r="ED46" s="947"/>
      <c r="EE46" s="948" t="s">
        <v>429</v>
      </c>
      <c r="EF46" s="947"/>
      <c r="EG46" s="948" t="s">
        <v>429</v>
      </c>
      <c r="EH46" s="947"/>
      <c r="EI46" s="948" t="s">
        <v>429</v>
      </c>
      <c r="EJ46" s="947"/>
      <c r="EK46" s="948" t="s">
        <v>429</v>
      </c>
      <c r="EL46" s="947"/>
      <c r="EM46" s="948" t="s">
        <v>429</v>
      </c>
      <c r="EN46" s="947"/>
      <c r="EO46" s="948" t="s">
        <v>429</v>
      </c>
      <c r="EP46" s="947"/>
      <c r="EQ46" s="948" t="s">
        <v>429</v>
      </c>
      <c r="ER46" s="947"/>
      <c r="ES46" s="948" t="s">
        <v>429</v>
      </c>
      <c r="ET46" s="947"/>
      <c r="EU46" s="948" t="s">
        <v>429</v>
      </c>
      <c r="EV46" s="947"/>
      <c r="EW46" s="948" t="s">
        <v>429</v>
      </c>
      <c r="EX46" s="947"/>
      <c r="EY46" s="948" t="s">
        <v>429</v>
      </c>
      <c r="EZ46" s="947"/>
      <c r="FA46" s="948" t="s">
        <v>429</v>
      </c>
      <c r="FB46" s="947"/>
      <c r="FC46" s="948" t="s">
        <v>429</v>
      </c>
      <c r="FD46" s="947"/>
      <c r="FE46" s="948" t="s">
        <v>429</v>
      </c>
      <c r="FF46" s="949"/>
      <c r="FG46" s="950" t="s">
        <v>429</v>
      </c>
      <c r="FH46" s="951"/>
      <c r="FI46" s="952"/>
      <c r="FJ46" s="943" t="s">
        <v>431</v>
      </c>
      <c r="FK46" s="944"/>
      <c r="FL46" s="944"/>
      <c r="FM46" s="944"/>
      <c r="FN46" s="944"/>
      <c r="FO46" s="945"/>
      <c r="FP46" s="953"/>
      <c r="FQ46" s="954">
        <v>1</v>
      </c>
      <c r="FR46" s="947"/>
      <c r="FS46" s="955"/>
      <c r="FT46" s="956">
        <v>1</v>
      </c>
      <c r="FU46" s="957"/>
      <c r="FV46" s="907"/>
      <c r="FW46" s="908"/>
      <c r="FX46" s="909"/>
      <c r="FY46" s="910"/>
      <c r="FZ46" s="911"/>
      <c r="GA46" s="912"/>
      <c r="GB46" s="913"/>
      <c r="GC46" s="914"/>
      <c r="GD46" s="913"/>
      <c r="GE46" s="915"/>
      <c r="GF46" s="681"/>
      <c r="GG46" s="958"/>
      <c r="GH46" s="958"/>
      <c r="GI46" s="958"/>
      <c r="GJ46" s="414"/>
      <c r="GK46" s="410" t="s">
        <v>505</v>
      </c>
      <c r="GL46" s="414"/>
      <c r="GM46" s="743"/>
      <c r="GN46" s="743"/>
      <c r="GO46" s="743"/>
      <c r="GP46" s="743"/>
      <c r="GQ46" s="743"/>
      <c r="GR46" s="850"/>
      <c r="GS46" s="577"/>
      <c r="GT46" s="756"/>
      <c r="GU46" s="767" t="s">
        <v>506</v>
      </c>
      <c r="GV46" s="767"/>
      <c r="GW46" s="767"/>
      <c r="GX46" s="767"/>
      <c r="GY46" s="612"/>
      <c r="GZ46" s="768"/>
      <c r="HA46" s="744">
        <v>20.5</v>
      </c>
      <c r="HB46" s="414" t="s">
        <v>475</v>
      </c>
      <c r="HC46" s="927"/>
      <c r="HD46" s="416"/>
    </row>
    <row r="47" spans="1:219" ht="20.100000000000001" customHeight="1" thickBot="1">
      <c r="A47" s="959" t="s">
        <v>432</v>
      </c>
      <c r="B47" s="960"/>
      <c r="C47" s="960"/>
      <c r="D47" s="961"/>
      <c r="E47" s="962"/>
      <c r="F47" s="962"/>
      <c r="G47" s="963"/>
      <c r="H47" s="964">
        <v>0</v>
      </c>
      <c r="I47" s="965"/>
      <c r="J47" s="964">
        <v>0</v>
      </c>
      <c r="K47" s="965"/>
      <c r="L47" s="964">
        <v>0</v>
      </c>
      <c r="M47" s="965"/>
      <c r="N47" s="964">
        <v>0</v>
      </c>
      <c r="O47" s="965"/>
      <c r="P47" s="964">
        <v>0</v>
      </c>
      <c r="Q47" s="965"/>
      <c r="R47" s="964">
        <v>0</v>
      </c>
      <c r="S47" s="965"/>
      <c r="T47" s="964">
        <v>0</v>
      </c>
      <c r="U47" s="965"/>
      <c r="V47" s="964">
        <v>0</v>
      </c>
      <c r="W47" s="965"/>
      <c r="X47" s="964">
        <v>1068</v>
      </c>
      <c r="Y47" s="965"/>
      <c r="Z47" s="964">
        <v>1062</v>
      </c>
      <c r="AA47" s="965"/>
      <c r="AB47" s="964">
        <v>1101</v>
      </c>
      <c r="AC47" s="965"/>
      <c r="AD47" s="964">
        <v>1117</v>
      </c>
      <c r="AE47" s="965"/>
      <c r="AF47" s="964">
        <v>1117</v>
      </c>
      <c r="AG47" s="965"/>
      <c r="AH47" s="964">
        <v>1107</v>
      </c>
      <c r="AI47" s="965"/>
      <c r="AJ47" s="964">
        <v>1079</v>
      </c>
      <c r="AK47" s="965"/>
      <c r="AL47" s="964">
        <v>1062</v>
      </c>
      <c r="AM47" s="965"/>
      <c r="AN47" s="964">
        <v>1020</v>
      </c>
      <c r="AO47" s="965"/>
      <c r="AP47" s="964">
        <v>984</v>
      </c>
      <c r="AQ47" s="965"/>
      <c r="AR47" s="964">
        <v>0</v>
      </c>
      <c r="AS47" s="965"/>
      <c r="AT47" s="964">
        <v>0</v>
      </c>
      <c r="AU47" s="965"/>
      <c r="AV47" s="964">
        <v>0</v>
      </c>
      <c r="AW47" s="965"/>
      <c r="AX47" s="964">
        <v>0</v>
      </c>
      <c r="AY47" s="966"/>
      <c r="AZ47" s="967">
        <v>0</v>
      </c>
      <c r="BA47" s="968"/>
      <c r="BB47" s="969">
        <v>0</v>
      </c>
      <c r="BC47" s="970"/>
      <c r="BD47" s="959" t="s">
        <v>432</v>
      </c>
      <c r="BE47" s="960"/>
      <c r="BF47" s="960"/>
      <c r="BG47" s="961"/>
      <c r="BH47" s="962"/>
      <c r="BI47" s="962"/>
      <c r="BJ47" s="963"/>
      <c r="BK47" s="964">
        <v>0</v>
      </c>
      <c r="BL47" s="965"/>
      <c r="BM47" s="964">
        <v>0</v>
      </c>
      <c r="BN47" s="965"/>
      <c r="BO47" s="964">
        <v>0</v>
      </c>
      <c r="BP47" s="965"/>
      <c r="BQ47" s="964">
        <v>0</v>
      </c>
      <c r="BR47" s="965"/>
      <c r="BS47" s="964">
        <v>0</v>
      </c>
      <c r="BT47" s="965"/>
      <c r="BU47" s="964">
        <v>0</v>
      </c>
      <c r="BV47" s="965"/>
      <c r="BW47" s="964">
        <v>0</v>
      </c>
      <c r="BX47" s="965"/>
      <c r="BY47" s="964">
        <v>0</v>
      </c>
      <c r="BZ47" s="965"/>
      <c r="CA47" s="964">
        <v>1130</v>
      </c>
      <c r="CB47" s="965"/>
      <c r="CC47" s="964">
        <v>1118</v>
      </c>
      <c r="CD47" s="965"/>
      <c r="CE47" s="964">
        <v>1157</v>
      </c>
      <c r="CF47" s="965"/>
      <c r="CG47" s="964">
        <v>1153</v>
      </c>
      <c r="CH47" s="965"/>
      <c r="CI47" s="964">
        <v>1130</v>
      </c>
      <c r="CJ47" s="965"/>
      <c r="CK47" s="964">
        <v>1096</v>
      </c>
      <c r="CL47" s="965"/>
      <c r="CM47" s="964">
        <v>1070</v>
      </c>
      <c r="CN47" s="965"/>
      <c r="CO47" s="964">
        <v>1046</v>
      </c>
      <c r="CP47" s="965"/>
      <c r="CQ47" s="964">
        <v>1014</v>
      </c>
      <c r="CR47" s="965"/>
      <c r="CS47" s="964">
        <v>971</v>
      </c>
      <c r="CT47" s="965"/>
      <c r="CU47" s="964">
        <v>0</v>
      </c>
      <c r="CV47" s="965"/>
      <c r="CW47" s="964">
        <v>0</v>
      </c>
      <c r="CX47" s="965"/>
      <c r="CY47" s="964">
        <v>0</v>
      </c>
      <c r="CZ47" s="965"/>
      <c r="DA47" s="964">
        <v>0</v>
      </c>
      <c r="DB47" s="966"/>
      <c r="DC47" s="967">
        <v>0</v>
      </c>
      <c r="DD47" s="968"/>
      <c r="DE47" s="969">
        <v>0</v>
      </c>
      <c r="DF47" s="970"/>
      <c r="DG47" s="959" t="s">
        <v>432</v>
      </c>
      <c r="DH47" s="960"/>
      <c r="DI47" s="960"/>
      <c r="DJ47" s="961"/>
      <c r="DK47" s="962"/>
      <c r="DL47" s="962"/>
      <c r="DM47" s="963"/>
      <c r="DN47" s="964">
        <v>0</v>
      </c>
      <c r="DO47" s="965"/>
      <c r="DP47" s="964">
        <v>0</v>
      </c>
      <c r="DQ47" s="965"/>
      <c r="DR47" s="964">
        <v>0</v>
      </c>
      <c r="DS47" s="965"/>
      <c r="DT47" s="964">
        <v>0</v>
      </c>
      <c r="DU47" s="965"/>
      <c r="DV47" s="964">
        <v>0</v>
      </c>
      <c r="DW47" s="965"/>
      <c r="DX47" s="964">
        <v>0</v>
      </c>
      <c r="DY47" s="965"/>
      <c r="DZ47" s="964">
        <v>0</v>
      </c>
      <c r="EA47" s="965"/>
      <c r="EB47" s="964">
        <v>0</v>
      </c>
      <c r="EC47" s="965"/>
      <c r="ED47" s="964">
        <v>1026</v>
      </c>
      <c r="EE47" s="965"/>
      <c r="EF47" s="964">
        <v>1025</v>
      </c>
      <c r="EG47" s="965"/>
      <c r="EH47" s="964">
        <v>1068</v>
      </c>
      <c r="EI47" s="965"/>
      <c r="EJ47" s="964">
        <v>1074</v>
      </c>
      <c r="EK47" s="965"/>
      <c r="EL47" s="964">
        <v>1046</v>
      </c>
      <c r="EM47" s="965"/>
      <c r="EN47" s="964">
        <v>1008</v>
      </c>
      <c r="EO47" s="965"/>
      <c r="EP47" s="964">
        <v>980</v>
      </c>
      <c r="EQ47" s="965"/>
      <c r="ER47" s="964">
        <v>959</v>
      </c>
      <c r="ES47" s="965"/>
      <c r="ET47" s="964">
        <v>916</v>
      </c>
      <c r="EU47" s="965"/>
      <c r="EV47" s="964">
        <v>869</v>
      </c>
      <c r="EW47" s="965"/>
      <c r="EX47" s="964">
        <v>0</v>
      </c>
      <c r="EY47" s="965"/>
      <c r="EZ47" s="964">
        <v>0</v>
      </c>
      <c r="FA47" s="965"/>
      <c r="FB47" s="964">
        <v>0</v>
      </c>
      <c r="FC47" s="965"/>
      <c r="FD47" s="964">
        <v>0</v>
      </c>
      <c r="FE47" s="966"/>
      <c r="FF47" s="967">
        <v>0</v>
      </c>
      <c r="FG47" s="968"/>
      <c r="FH47" s="969">
        <v>0</v>
      </c>
      <c r="FI47" s="970"/>
      <c r="FJ47" s="959" t="s">
        <v>432</v>
      </c>
      <c r="FK47" s="960"/>
      <c r="FL47" s="960"/>
      <c r="FM47" s="961"/>
      <c r="FN47" s="962"/>
      <c r="FO47" s="962"/>
      <c r="FP47" s="971"/>
      <c r="FQ47" s="972"/>
      <c r="FR47" s="964">
        <v>1986</v>
      </c>
      <c r="FS47" s="973"/>
      <c r="FT47" s="972"/>
      <c r="FU47" s="974">
        <v>2006</v>
      </c>
      <c r="FV47" s="975">
        <v>13</v>
      </c>
      <c r="FW47" s="964">
        <v>1117</v>
      </c>
      <c r="FX47" s="976">
        <v>11</v>
      </c>
      <c r="FY47" s="964">
        <v>1157</v>
      </c>
      <c r="FZ47" s="976">
        <v>12</v>
      </c>
      <c r="GA47" s="964">
        <v>1074</v>
      </c>
      <c r="GB47" s="977" t="s">
        <v>560</v>
      </c>
      <c r="GC47" s="964">
        <v>1157</v>
      </c>
      <c r="GD47" s="977" t="s">
        <v>360</v>
      </c>
      <c r="GE47" s="978">
        <v>2006</v>
      </c>
      <c r="GF47" s="681"/>
      <c r="GG47" s="979"/>
      <c r="GH47" s="979"/>
      <c r="GI47" s="979"/>
      <c r="GJ47" s="882"/>
      <c r="GK47" s="414" t="s">
        <v>507</v>
      </c>
      <c r="GL47" s="882"/>
      <c r="GM47" s="527"/>
      <c r="GN47" s="882"/>
      <c r="GO47" s="527"/>
      <c r="GP47" s="527"/>
      <c r="GQ47" s="527"/>
      <c r="GR47" s="882"/>
      <c r="GS47" s="527"/>
      <c r="GT47" s="756"/>
      <c r="GU47" s="767" t="s">
        <v>508</v>
      </c>
      <c r="GV47" s="767"/>
      <c r="GW47" s="767"/>
      <c r="GX47" s="767"/>
      <c r="GY47" s="527"/>
      <c r="GZ47" s="414"/>
      <c r="HA47" s="771">
        <v>0</v>
      </c>
      <c r="HB47" s="414"/>
      <c r="HC47" s="970"/>
      <c r="HD47" s="416"/>
    </row>
    <row r="48" spans="1:219" ht="20.100000000000001" customHeight="1">
      <c r="A48" s="980" t="s">
        <v>433</v>
      </c>
      <c r="B48" s="981" t="s">
        <v>434</v>
      </c>
      <c r="C48" s="884"/>
      <c r="D48" s="814"/>
      <c r="E48" s="814"/>
      <c r="F48" s="815"/>
      <c r="G48" s="733" t="s">
        <v>435</v>
      </c>
      <c r="H48" s="660" t="s">
        <v>398</v>
      </c>
      <c r="I48" s="735" t="s">
        <v>435</v>
      </c>
      <c r="J48" s="982" t="s">
        <v>398</v>
      </c>
      <c r="K48" s="735" t="s">
        <v>435</v>
      </c>
      <c r="L48" s="982" t="s">
        <v>398</v>
      </c>
      <c r="M48" s="735" t="s">
        <v>435</v>
      </c>
      <c r="N48" s="982" t="s">
        <v>398</v>
      </c>
      <c r="O48" s="735" t="s">
        <v>435</v>
      </c>
      <c r="P48" s="982" t="s">
        <v>398</v>
      </c>
      <c r="Q48" s="735" t="s">
        <v>435</v>
      </c>
      <c r="R48" s="982" t="s">
        <v>398</v>
      </c>
      <c r="S48" s="735" t="s">
        <v>435</v>
      </c>
      <c r="T48" s="982" t="s">
        <v>398</v>
      </c>
      <c r="U48" s="735" t="s">
        <v>435</v>
      </c>
      <c r="V48" s="982" t="s">
        <v>398</v>
      </c>
      <c r="W48" s="735" t="s">
        <v>435</v>
      </c>
      <c r="X48" s="982" t="s">
        <v>398</v>
      </c>
      <c r="Y48" s="735" t="s">
        <v>435</v>
      </c>
      <c r="Z48" s="982" t="s">
        <v>398</v>
      </c>
      <c r="AA48" s="735" t="s">
        <v>435</v>
      </c>
      <c r="AB48" s="982" t="s">
        <v>398</v>
      </c>
      <c r="AC48" s="735" t="s">
        <v>435</v>
      </c>
      <c r="AD48" s="982" t="s">
        <v>398</v>
      </c>
      <c r="AE48" s="735" t="s">
        <v>435</v>
      </c>
      <c r="AF48" s="982" t="s">
        <v>398</v>
      </c>
      <c r="AG48" s="735" t="s">
        <v>435</v>
      </c>
      <c r="AH48" s="982" t="s">
        <v>398</v>
      </c>
      <c r="AI48" s="735" t="s">
        <v>435</v>
      </c>
      <c r="AJ48" s="982" t="s">
        <v>398</v>
      </c>
      <c r="AK48" s="735" t="s">
        <v>435</v>
      </c>
      <c r="AL48" s="982" t="s">
        <v>398</v>
      </c>
      <c r="AM48" s="735" t="s">
        <v>435</v>
      </c>
      <c r="AN48" s="982" t="s">
        <v>398</v>
      </c>
      <c r="AO48" s="735" t="s">
        <v>435</v>
      </c>
      <c r="AP48" s="982" t="s">
        <v>398</v>
      </c>
      <c r="AQ48" s="735" t="s">
        <v>435</v>
      </c>
      <c r="AR48" s="982" t="s">
        <v>398</v>
      </c>
      <c r="AS48" s="735" t="s">
        <v>435</v>
      </c>
      <c r="AT48" s="982" t="s">
        <v>398</v>
      </c>
      <c r="AU48" s="735" t="s">
        <v>435</v>
      </c>
      <c r="AV48" s="982" t="s">
        <v>398</v>
      </c>
      <c r="AW48" s="735" t="s">
        <v>435</v>
      </c>
      <c r="AX48" s="982" t="s">
        <v>398</v>
      </c>
      <c r="AY48" s="735" t="s">
        <v>435</v>
      </c>
      <c r="AZ48" s="983" t="s">
        <v>398</v>
      </c>
      <c r="BA48" s="984" t="s">
        <v>435</v>
      </c>
      <c r="BB48" s="985" t="s">
        <v>398</v>
      </c>
      <c r="BC48" s="921"/>
      <c r="BD48" s="980" t="s">
        <v>433</v>
      </c>
      <c r="BE48" s="981" t="s">
        <v>434</v>
      </c>
      <c r="BF48" s="884"/>
      <c r="BG48" s="814"/>
      <c r="BH48" s="814"/>
      <c r="BI48" s="815"/>
      <c r="BJ48" s="733" t="s">
        <v>435</v>
      </c>
      <c r="BK48" s="660" t="s">
        <v>398</v>
      </c>
      <c r="BL48" s="735" t="s">
        <v>435</v>
      </c>
      <c r="BM48" s="982" t="s">
        <v>398</v>
      </c>
      <c r="BN48" s="735" t="s">
        <v>435</v>
      </c>
      <c r="BO48" s="982" t="s">
        <v>398</v>
      </c>
      <c r="BP48" s="735" t="s">
        <v>435</v>
      </c>
      <c r="BQ48" s="982" t="s">
        <v>398</v>
      </c>
      <c r="BR48" s="735" t="s">
        <v>435</v>
      </c>
      <c r="BS48" s="982" t="s">
        <v>398</v>
      </c>
      <c r="BT48" s="735" t="s">
        <v>435</v>
      </c>
      <c r="BU48" s="982" t="s">
        <v>398</v>
      </c>
      <c r="BV48" s="735" t="s">
        <v>435</v>
      </c>
      <c r="BW48" s="982" t="s">
        <v>398</v>
      </c>
      <c r="BX48" s="735" t="s">
        <v>435</v>
      </c>
      <c r="BY48" s="982" t="s">
        <v>398</v>
      </c>
      <c r="BZ48" s="735" t="s">
        <v>435</v>
      </c>
      <c r="CA48" s="982" t="s">
        <v>398</v>
      </c>
      <c r="CB48" s="735" t="s">
        <v>435</v>
      </c>
      <c r="CC48" s="982" t="s">
        <v>398</v>
      </c>
      <c r="CD48" s="735" t="s">
        <v>435</v>
      </c>
      <c r="CE48" s="982" t="s">
        <v>398</v>
      </c>
      <c r="CF48" s="735" t="s">
        <v>435</v>
      </c>
      <c r="CG48" s="982" t="s">
        <v>398</v>
      </c>
      <c r="CH48" s="735" t="s">
        <v>435</v>
      </c>
      <c r="CI48" s="982" t="s">
        <v>398</v>
      </c>
      <c r="CJ48" s="735" t="s">
        <v>435</v>
      </c>
      <c r="CK48" s="982" t="s">
        <v>398</v>
      </c>
      <c r="CL48" s="735" t="s">
        <v>435</v>
      </c>
      <c r="CM48" s="982" t="s">
        <v>398</v>
      </c>
      <c r="CN48" s="735" t="s">
        <v>435</v>
      </c>
      <c r="CO48" s="982" t="s">
        <v>398</v>
      </c>
      <c r="CP48" s="735" t="s">
        <v>435</v>
      </c>
      <c r="CQ48" s="982" t="s">
        <v>398</v>
      </c>
      <c r="CR48" s="735" t="s">
        <v>435</v>
      </c>
      <c r="CS48" s="982" t="s">
        <v>398</v>
      </c>
      <c r="CT48" s="735" t="s">
        <v>435</v>
      </c>
      <c r="CU48" s="982" t="s">
        <v>398</v>
      </c>
      <c r="CV48" s="735" t="s">
        <v>435</v>
      </c>
      <c r="CW48" s="982" t="s">
        <v>398</v>
      </c>
      <c r="CX48" s="735" t="s">
        <v>435</v>
      </c>
      <c r="CY48" s="982" t="s">
        <v>398</v>
      </c>
      <c r="CZ48" s="735" t="s">
        <v>435</v>
      </c>
      <c r="DA48" s="982" t="s">
        <v>398</v>
      </c>
      <c r="DB48" s="735" t="s">
        <v>435</v>
      </c>
      <c r="DC48" s="983" t="s">
        <v>398</v>
      </c>
      <c r="DD48" s="984" t="s">
        <v>435</v>
      </c>
      <c r="DE48" s="985" t="s">
        <v>398</v>
      </c>
      <c r="DF48" s="921"/>
      <c r="DG48" s="980" t="s">
        <v>433</v>
      </c>
      <c r="DH48" s="981" t="s">
        <v>434</v>
      </c>
      <c r="DI48" s="884"/>
      <c r="DJ48" s="814"/>
      <c r="DK48" s="814"/>
      <c r="DL48" s="815"/>
      <c r="DM48" s="733" t="s">
        <v>435</v>
      </c>
      <c r="DN48" s="660" t="s">
        <v>398</v>
      </c>
      <c r="DO48" s="735" t="s">
        <v>435</v>
      </c>
      <c r="DP48" s="982" t="s">
        <v>398</v>
      </c>
      <c r="DQ48" s="735" t="s">
        <v>435</v>
      </c>
      <c r="DR48" s="982" t="s">
        <v>398</v>
      </c>
      <c r="DS48" s="735" t="s">
        <v>435</v>
      </c>
      <c r="DT48" s="982" t="s">
        <v>398</v>
      </c>
      <c r="DU48" s="735" t="s">
        <v>435</v>
      </c>
      <c r="DV48" s="982" t="s">
        <v>398</v>
      </c>
      <c r="DW48" s="735" t="s">
        <v>435</v>
      </c>
      <c r="DX48" s="982" t="s">
        <v>398</v>
      </c>
      <c r="DY48" s="735" t="s">
        <v>435</v>
      </c>
      <c r="DZ48" s="982" t="s">
        <v>398</v>
      </c>
      <c r="EA48" s="735" t="s">
        <v>435</v>
      </c>
      <c r="EB48" s="982" t="s">
        <v>398</v>
      </c>
      <c r="EC48" s="735" t="s">
        <v>435</v>
      </c>
      <c r="ED48" s="982" t="s">
        <v>398</v>
      </c>
      <c r="EE48" s="735" t="s">
        <v>435</v>
      </c>
      <c r="EF48" s="982" t="s">
        <v>398</v>
      </c>
      <c r="EG48" s="735" t="s">
        <v>435</v>
      </c>
      <c r="EH48" s="982" t="s">
        <v>398</v>
      </c>
      <c r="EI48" s="735" t="s">
        <v>435</v>
      </c>
      <c r="EJ48" s="982" t="s">
        <v>398</v>
      </c>
      <c r="EK48" s="735" t="s">
        <v>435</v>
      </c>
      <c r="EL48" s="982" t="s">
        <v>398</v>
      </c>
      <c r="EM48" s="735" t="s">
        <v>435</v>
      </c>
      <c r="EN48" s="982" t="s">
        <v>398</v>
      </c>
      <c r="EO48" s="735" t="s">
        <v>435</v>
      </c>
      <c r="EP48" s="982" t="s">
        <v>398</v>
      </c>
      <c r="EQ48" s="735" t="s">
        <v>435</v>
      </c>
      <c r="ER48" s="982" t="s">
        <v>398</v>
      </c>
      <c r="ES48" s="735" t="s">
        <v>435</v>
      </c>
      <c r="ET48" s="982" t="s">
        <v>398</v>
      </c>
      <c r="EU48" s="735" t="s">
        <v>435</v>
      </c>
      <c r="EV48" s="982" t="s">
        <v>398</v>
      </c>
      <c r="EW48" s="735" t="s">
        <v>435</v>
      </c>
      <c r="EX48" s="982" t="s">
        <v>398</v>
      </c>
      <c r="EY48" s="735" t="s">
        <v>435</v>
      </c>
      <c r="EZ48" s="982" t="s">
        <v>398</v>
      </c>
      <c r="FA48" s="735" t="s">
        <v>435</v>
      </c>
      <c r="FB48" s="982" t="s">
        <v>398</v>
      </c>
      <c r="FC48" s="735" t="s">
        <v>435</v>
      </c>
      <c r="FD48" s="982" t="s">
        <v>398</v>
      </c>
      <c r="FE48" s="735" t="s">
        <v>435</v>
      </c>
      <c r="FF48" s="983" t="s">
        <v>398</v>
      </c>
      <c r="FG48" s="984" t="s">
        <v>435</v>
      </c>
      <c r="FH48" s="985" t="s">
        <v>398</v>
      </c>
      <c r="FI48" s="921"/>
      <c r="FJ48" s="980" t="s">
        <v>433</v>
      </c>
      <c r="FK48" s="731" t="s">
        <v>434</v>
      </c>
      <c r="FL48" s="884"/>
      <c r="FM48" s="814"/>
      <c r="FN48" s="814"/>
      <c r="FO48" s="815"/>
      <c r="FP48" s="740" t="s">
        <v>401</v>
      </c>
      <c r="FQ48" s="666" t="s">
        <v>435</v>
      </c>
      <c r="FR48" s="660" t="s">
        <v>402</v>
      </c>
      <c r="FS48" s="986" t="s">
        <v>401</v>
      </c>
      <c r="FT48" s="666" t="s">
        <v>435</v>
      </c>
      <c r="FU48" s="987" t="s">
        <v>402</v>
      </c>
      <c r="FV48" s="988"/>
      <c r="FW48" s="982" t="s">
        <v>322</v>
      </c>
      <c r="FX48" s="986"/>
      <c r="FY48" s="982" t="s">
        <v>322</v>
      </c>
      <c r="FZ48" s="986"/>
      <c r="GA48" s="982" t="s">
        <v>322</v>
      </c>
      <c r="GB48" s="986"/>
      <c r="GC48" s="982" t="s">
        <v>322</v>
      </c>
      <c r="GD48" s="986"/>
      <c r="GE48" s="989" t="s">
        <v>324</v>
      </c>
      <c r="GF48" s="681"/>
      <c r="GG48" s="652"/>
      <c r="GH48" s="652"/>
      <c r="GI48" s="652"/>
      <c r="GJ48" s="527"/>
      <c r="GK48" s="612" t="s">
        <v>509</v>
      </c>
      <c r="GL48" s="527"/>
      <c r="GM48" s="612"/>
      <c r="GN48" s="527"/>
      <c r="GO48" s="612"/>
      <c r="GP48" s="612"/>
      <c r="GQ48" s="612"/>
      <c r="GR48" s="527"/>
      <c r="GS48" s="527"/>
      <c r="GT48" s="497"/>
      <c r="GU48" s="497"/>
      <c r="GV48" s="497"/>
      <c r="GW48" s="576"/>
      <c r="GX48" s="576"/>
      <c r="GY48" s="576"/>
      <c r="GZ48" s="575"/>
      <c r="HA48" s="497"/>
      <c r="HB48" s="497"/>
      <c r="HC48" s="970"/>
      <c r="HD48" s="416"/>
    </row>
    <row r="49" spans="1:212" ht="20.100000000000001" customHeight="1">
      <c r="A49" s="990"/>
      <c r="B49" s="745" t="s">
        <v>403</v>
      </c>
      <c r="C49" s="991"/>
      <c r="D49" s="747">
        <v>53</v>
      </c>
      <c r="E49" s="748">
        <v>4</v>
      </c>
      <c r="F49" s="992" t="s">
        <v>404</v>
      </c>
      <c r="G49" s="750"/>
      <c r="H49" s="556"/>
      <c r="I49" s="751"/>
      <c r="J49" s="556"/>
      <c r="K49" s="751"/>
      <c r="L49" s="556"/>
      <c r="M49" s="751"/>
      <c r="N49" s="556"/>
      <c r="O49" s="751"/>
      <c r="P49" s="556"/>
      <c r="Q49" s="751"/>
      <c r="R49" s="556"/>
      <c r="S49" s="751"/>
      <c r="T49" s="556"/>
      <c r="U49" s="751"/>
      <c r="V49" s="556"/>
      <c r="W49" s="751">
        <v>1</v>
      </c>
      <c r="X49" s="556">
        <v>212</v>
      </c>
      <c r="Y49" s="751">
        <v>1</v>
      </c>
      <c r="Z49" s="556">
        <v>212</v>
      </c>
      <c r="AA49" s="751">
        <v>1</v>
      </c>
      <c r="AB49" s="556">
        <v>212</v>
      </c>
      <c r="AC49" s="751">
        <v>1</v>
      </c>
      <c r="AD49" s="556">
        <v>212</v>
      </c>
      <c r="AE49" s="751">
        <v>1</v>
      </c>
      <c r="AF49" s="556">
        <v>212</v>
      </c>
      <c r="AG49" s="751">
        <v>1</v>
      </c>
      <c r="AH49" s="556">
        <v>212</v>
      </c>
      <c r="AI49" s="751">
        <v>1</v>
      </c>
      <c r="AJ49" s="556">
        <v>212</v>
      </c>
      <c r="AK49" s="751">
        <v>1</v>
      </c>
      <c r="AL49" s="556">
        <v>212</v>
      </c>
      <c r="AM49" s="751">
        <v>1</v>
      </c>
      <c r="AN49" s="556">
        <v>212</v>
      </c>
      <c r="AO49" s="751">
        <v>1</v>
      </c>
      <c r="AP49" s="556">
        <v>212</v>
      </c>
      <c r="AQ49" s="751"/>
      <c r="AR49" s="556"/>
      <c r="AS49" s="751"/>
      <c r="AT49" s="556"/>
      <c r="AU49" s="751"/>
      <c r="AV49" s="556"/>
      <c r="AW49" s="751"/>
      <c r="AX49" s="556"/>
      <c r="AY49" s="993"/>
      <c r="AZ49" s="994"/>
      <c r="BA49" s="995"/>
      <c r="BB49" s="996"/>
      <c r="BC49" s="927"/>
      <c r="BD49" s="990"/>
      <c r="BE49" s="745" t="s">
        <v>403</v>
      </c>
      <c r="BF49" s="991"/>
      <c r="BG49" s="747"/>
      <c r="BH49" s="748">
        <v>4</v>
      </c>
      <c r="BI49" s="992" t="s">
        <v>404</v>
      </c>
      <c r="BJ49" s="750"/>
      <c r="BK49" s="556"/>
      <c r="BL49" s="751"/>
      <c r="BM49" s="556"/>
      <c r="BN49" s="751"/>
      <c r="BO49" s="556"/>
      <c r="BP49" s="751"/>
      <c r="BQ49" s="556"/>
      <c r="BR49" s="751"/>
      <c r="BS49" s="556"/>
      <c r="BT49" s="751"/>
      <c r="BU49" s="556"/>
      <c r="BV49" s="751"/>
      <c r="BW49" s="556"/>
      <c r="BX49" s="751"/>
      <c r="BY49" s="556"/>
      <c r="BZ49" s="751">
        <v>1</v>
      </c>
      <c r="CA49" s="556">
        <v>212</v>
      </c>
      <c r="CB49" s="751">
        <v>1</v>
      </c>
      <c r="CC49" s="556">
        <v>212</v>
      </c>
      <c r="CD49" s="751">
        <v>1</v>
      </c>
      <c r="CE49" s="556">
        <v>212</v>
      </c>
      <c r="CF49" s="751">
        <v>1</v>
      </c>
      <c r="CG49" s="556">
        <v>212</v>
      </c>
      <c r="CH49" s="751">
        <v>1</v>
      </c>
      <c r="CI49" s="556">
        <v>212</v>
      </c>
      <c r="CJ49" s="751">
        <v>1</v>
      </c>
      <c r="CK49" s="556">
        <v>212</v>
      </c>
      <c r="CL49" s="751">
        <v>1</v>
      </c>
      <c r="CM49" s="556">
        <v>212</v>
      </c>
      <c r="CN49" s="751">
        <v>1</v>
      </c>
      <c r="CO49" s="556">
        <v>212</v>
      </c>
      <c r="CP49" s="751">
        <v>1</v>
      </c>
      <c r="CQ49" s="556">
        <v>212</v>
      </c>
      <c r="CR49" s="751">
        <v>1</v>
      </c>
      <c r="CS49" s="556">
        <v>212</v>
      </c>
      <c r="CT49" s="751"/>
      <c r="CU49" s="556"/>
      <c r="CV49" s="751"/>
      <c r="CW49" s="556"/>
      <c r="CX49" s="751"/>
      <c r="CY49" s="556"/>
      <c r="CZ49" s="751"/>
      <c r="DA49" s="556"/>
      <c r="DB49" s="993"/>
      <c r="DC49" s="994"/>
      <c r="DD49" s="995"/>
      <c r="DE49" s="996"/>
      <c r="DF49" s="927"/>
      <c r="DG49" s="990"/>
      <c r="DH49" s="745" t="s">
        <v>403</v>
      </c>
      <c r="DI49" s="991"/>
      <c r="DJ49" s="747"/>
      <c r="DK49" s="748">
        <v>4</v>
      </c>
      <c r="DL49" s="992" t="s">
        <v>404</v>
      </c>
      <c r="DM49" s="750"/>
      <c r="DN49" s="556"/>
      <c r="DO49" s="751"/>
      <c r="DP49" s="556"/>
      <c r="DQ49" s="751"/>
      <c r="DR49" s="556"/>
      <c r="DS49" s="751"/>
      <c r="DT49" s="556"/>
      <c r="DU49" s="751"/>
      <c r="DV49" s="556"/>
      <c r="DW49" s="751"/>
      <c r="DX49" s="556"/>
      <c r="DY49" s="751"/>
      <c r="DZ49" s="556"/>
      <c r="EA49" s="751"/>
      <c r="EB49" s="556"/>
      <c r="EC49" s="751">
        <v>1</v>
      </c>
      <c r="ED49" s="556">
        <v>212</v>
      </c>
      <c r="EE49" s="751">
        <v>1</v>
      </c>
      <c r="EF49" s="556">
        <v>212</v>
      </c>
      <c r="EG49" s="751">
        <v>1</v>
      </c>
      <c r="EH49" s="556">
        <v>212</v>
      </c>
      <c r="EI49" s="751">
        <v>1</v>
      </c>
      <c r="EJ49" s="556">
        <v>212</v>
      </c>
      <c r="EK49" s="751">
        <v>1</v>
      </c>
      <c r="EL49" s="556">
        <v>212</v>
      </c>
      <c r="EM49" s="751">
        <v>1</v>
      </c>
      <c r="EN49" s="556">
        <v>212</v>
      </c>
      <c r="EO49" s="751">
        <v>1</v>
      </c>
      <c r="EP49" s="556">
        <v>212</v>
      </c>
      <c r="EQ49" s="751">
        <v>1</v>
      </c>
      <c r="ER49" s="556">
        <v>212</v>
      </c>
      <c r="ES49" s="751">
        <v>1</v>
      </c>
      <c r="ET49" s="556">
        <v>212</v>
      </c>
      <c r="EU49" s="751">
        <v>1</v>
      </c>
      <c r="EV49" s="556">
        <v>212</v>
      </c>
      <c r="EW49" s="751"/>
      <c r="EX49" s="556"/>
      <c r="EY49" s="751"/>
      <c r="EZ49" s="556"/>
      <c r="FA49" s="751"/>
      <c r="FB49" s="556"/>
      <c r="FC49" s="751"/>
      <c r="FD49" s="556"/>
      <c r="FE49" s="993"/>
      <c r="FF49" s="994"/>
      <c r="FG49" s="995"/>
      <c r="FH49" s="996"/>
      <c r="FI49" s="927"/>
      <c r="FJ49" s="990"/>
      <c r="FK49" s="745" t="s">
        <v>403</v>
      </c>
      <c r="FL49" s="991"/>
      <c r="FM49" s="752"/>
      <c r="FN49" s="748">
        <v>0</v>
      </c>
      <c r="FO49" s="992"/>
      <c r="FP49" s="678"/>
      <c r="FQ49" s="753"/>
      <c r="FR49" s="584">
        <v>0</v>
      </c>
      <c r="FS49" s="754"/>
      <c r="FT49" s="753"/>
      <c r="FU49" s="564">
        <v>0</v>
      </c>
      <c r="FV49" s="997" t="s">
        <v>332</v>
      </c>
      <c r="FW49" s="998"/>
      <c r="FX49" s="999" t="s">
        <v>333</v>
      </c>
      <c r="FY49" s="1000"/>
      <c r="FZ49" s="1001" t="s">
        <v>334</v>
      </c>
      <c r="GA49" s="1002"/>
      <c r="GB49" s="1003" t="s">
        <v>335</v>
      </c>
      <c r="GC49" s="1004"/>
      <c r="GD49" s="1003" t="s">
        <v>336</v>
      </c>
      <c r="GE49" s="1005"/>
      <c r="GF49" s="681"/>
      <c r="GG49" s="599"/>
      <c r="GH49" s="599"/>
      <c r="GI49" s="599"/>
      <c r="GJ49" s="577"/>
      <c r="GK49" s="414" t="s">
        <v>510</v>
      </c>
      <c r="GL49" s="577"/>
      <c r="GM49" s="414"/>
      <c r="GN49" s="577"/>
      <c r="GO49" s="414"/>
      <c r="GP49" s="414"/>
      <c r="GQ49" s="414"/>
      <c r="GR49" s="577"/>
      <c r="GS49" s="527"/>
      <c r="GT49" s="850"/>
      <c r="GU49" s="527" t="s">
        <v>488</v>
      </c>
      <c r="GV49" s="612"/>
      <c r="GW49" s="527"/>
      <c r="GX49" s="612"/>
      <c r="GY49" s="527"/>
      <c r="GZ49" s="392"/>
      <c r="HA49" s="577"/>
      <c r="HB49" s="392"/>
      <c r="HC49" s="1006"/>
      <c r="HD49" s="416"/>
    </row>
    <row r="50" spans="1:212" ht="20.100000000000001" customHeight="1">
      <c r="A50" s="990"/>
      <c r="B50" s="757" t="s">
        <v>410</v>
      </c>
      <c r="C50" s="1007"/>
      <c r="D50" s="1008">
        <v>0</v>
      </c>
      <c r="E50" s="1009">
        <v>0</v>
      </c>
      <c r="F50" s="1010"/>
      <c r="G50" s="1011"/>
      <c r="H50" s="584">
        <v>0</v>
      </c>
      <c r="I50" s="1012"/>
      <c r="J50" s="584">
        <v>0</v>
      </c>
      <c r="K50" s="1012"/>
      <c r="L50" s="584">
        <v>0</v>
      </c>
      <c r="M50" s="1012"/>
      <c r="N50" s="584">
        <v>0</v>
      </c>
      <c r="O50" s="1012"/>
      <c r="P50" s="584">
        <v>0</v>
      </c>
      <c r="Q50" s="1012"/>
      <c r="R50" s="584">
        <v>0</v>
      </c>
      <c r="S50" s="1012"/>
      <c r="T50" s="584">
        <v>0</v>
      </c>
      <c r="U50" s="1012"/>
      <c r="V50" s="584">
        <v>0</v>
      </c>
      <c r="W50" s="1012"/>
      <c r="X50" s="584">
        <v>0</v>
      </c>
      <c r="Y50" s="1012"/>
      <c r="Z50" s="584">
        <v>0</v>
      </c>
      <c r="AA50" s="1012"/>
      <c r="AB50" s="584">
        <v>0</v>
      </c>
      <c r="AC50" s="1012"/>
      <c r="AD50" s="584">
        <v>0</v>
      </c>
      <c r="AE50" s="1012"/>
      <c r="AF50" s="584">
        <v>0</v>
      </c>
      <c r="AG50" s="1012"/>
      <c r="AH50" s="584">
        <v>0</v>
      </c>
      <c r="AI50" s="1012"/>
      <c r="AJ50" s="584">
        <v>0</v>
      </c>
      <c r="AK50" s="1012"/>
      <c r="AL50" s="584">
        <v>0</v>
      </c>
      <c r="AM50" s="1012"/>
      <c r="AN50" s="584">
        <v>0</v>
      </c>
      <c r="AO50" s="1012"/>
      <c r="AP50" s="584">
        <v>0</v>
      </c>
      <c r="AQ50" s="1012"/>
      <c r="AR50" s="584">
        <v>0</v>
      </c>
      <c r="AS50" s="1012"/>
      <c r="AT50" s="584">
        <v>0</v>
      </c>
      <c r="AU50" s="1012"/>
      <c r="AV50" s="584">
        <v>0</v>
      </c>
      <c r="AW50" s="1012"/>
      <c r="AX50" s="584">
        <v>0</v>
      </c>
      <c r="AY50" s="1013"/>
      <c r="AZ50" s="1014">
        <v>0</v>
      </c>
      <c r="BA50" s="1015"/>
      <c r="BB50" s="1016">
        <v>0</v>
      </c>
      <c r="BC50" s="927"/>
      <c r="BD50" s="990"/>
      <c r="BE50" s="757" t="s">
        <v>410</v>
      </c>
      <c r="BF50" s="1007"/>
      <c r="BG50" s="1008">
        <v>0</v>
      </c>
      <c r="BH50" s="1009">
        <v>0</v>
      </c>
      <c r="BI50" s="1010"/>
      <c r="BJ50" s="1011"/>
      <c r="BK50" s="584">
        <v>0</v>
      </c>
      <c r="BL50" s="1012"/>
      <c r="BM50" s="584">
        <v>0</v>
      </c>
      <c r="BN50" s="1012"/>
      <c r="BO50" s="584">
        <v>0</v>
      </c>
      <c r="BP50" s="1012"/>
      <c r="BQ50" s="584">
        <v>0</v>
      </c>
      <c r="BR50" s="1012"/>
      <c r="BS50" s="584">
        <v>0</v>
      </c>
      <c r="BT50" s="1012"/>
      <c r="BU50" s="584">
        <v>0</v>
      </c>
      <c r="BV50" s="1012"/>
      <c r="BW50" s="584">
        <v>0</v>
      </c>
      <c r="BX50" s="1012"/>
      <c r="BY50" s="584">
        <v>0</v>
      </c>
      <c r="BZ50" s="1012"/>
      <c r="CA50" s="584">
        <v>0</v>
      </c>
      <c r="CB50" s="1012"/>
      <c r="CC50" s="584">
        <v>0</v>
      </c>
      <c r="CD50" s="1012"/>
      <c r="CE50" s="584">
        <v>0</v>
      </c>
      <c r="CF50" s="1012"/>
      <c r="CG50" s="584">
        <v>0</v>
      </c>
      <c r="CH50" s="1012"/>
      <c r="CI50" s="584">
        <v>0</v>
      </c>
      <c r="CJ50" s="1012"/>
      <c r="CK50" s="584">
        <v>0</v>
      </c>
      <c r="CL50" s="1012"/>
      <c r="CM50" s="584">
        <v>0</v>
      </c>
      <c r="CN50" s="1012"/>
      <c r="CO50" s="584">
        <v>0</v>
      </c>
      <c r="CP50" s="1012"/>
      <c r="CQ50" s="584">
        <v>0</v>
      </c>
      <c r="CR50" s="1012"/>
      <c r="CS50" s="584">
        <v>0</v>
      </c>
      <c r="CT50" s="1012"/>
      <c r="CU50" s="584">
        <v>0</v>
      </c>
      <c r="CV50" s="1012"/>
      <c r="CW50" s="584">
        <v>0</v>
      </c>
      <c r="CX50" s="1012"/>
      <c r="CY50" s="584">
        <v>0</v>
      </c>
      <c r="CZ50" s="1012"/>
      <c r="DA50" s="584">
        <v>0</v>
      </c>
      <c r="DB50" s="1013"/>
      <c r="DC50" s="1014">
        <v>0</v>
      </c>
      <c r="DD50" s="1015"/>
      <c r="DE50" s="1016">
        <v>0</v>
      </c>
      <c r="DF50" s="927"/>
      <c r="DG50" s="990"/>
      <c r="DH50" s="757" t="s">
        <v>410</v>
      </c>
      <c r="DI50" s="1007"/>
      <c r="DJ50" s="1008">
        <v>0</v>
      </c>
      <c r="DK50" s="1009">
        <v>0</v>
      </c>
      <c r="DL50" s="1010"/>
      <c r="DM50" s="1011"/>
      <c r="DN50" s="584">
        <v>0</v>
      </c>
      <c r="DO50" s="1012"/>
      <c r="DP50" s="584">
        <v>0</v>
      </c>
      <c r="DQ50" s="1012"/>
      <c r="DR50" s="584">
        <v>0</v>
      </c>
      <c r="DS50" s="1012"/>
      <c r="DT50" s="584">
        <v>0</v>
      </c>
      <c r="DU50" s="1012"/>
      <c r="DV50" s="584">
        <v>0</v>
      </c>
      <c r="DW50" s="1012"/>
      <c r="DX50" s="584">
        <v>0</v>
      </c>
      <c r="DY50" s="1012"/>
      <c r="DZ50" s="584">
        <v>0</v>
      </c>
      <c r="EA50" s="1012"/>
      <c r="EB50" s="584">
        <v>0</v>
      </c>
      <c r="EC50" s="1012"/>
      <c r="ED50" s="584">
        <v>0</v>
      </c>
      <c r="EE50" s="1012"/>
      <c r="EF50" s="584">
        <v>0</v>
      </c>
      <c r="EG50" s="1012"/>
      <c r="EH50" s="584">
        <v>0</v>
      </c>
      <c r="EI50" s="1012"/>
      <c r="EJ50" s="584">
        <v>0</v>
      </c>
      <c r="EK50" s="1012"/>
      <c r="EL50" s="584">
        <v>0</v>
      </c>
      <c r="EM50" s="1012"/>
      <c r="EN50" s="584">
        <v>0</v>
      </c>
      <c r="EO50" s="1012"/>
      <c r="EP50" s="584">
        <v>0</v>
      </c>
      <c r="EQ50" s="1012"/>
      <c r="ER50" s="584">
        <v>0</v>
      </c>
      <c r="ES50" s="1012"/>
      <c r="ET50" s="584">
        <v>0</v>
      </c>
      <c r="EU50" s="1012"/>
      <c r="EV50" s="584">
        <v>0</v>
      </c>
      <c r="EW50" s="1012"/>
      <c r="EX50" s="584">
        <v>0</v>
      </c>
      <c r="EY50" s="1012"/>
      <c r="EZ50" s="584">
        <v>0</v>
      </c>
      <c r="FA50" s="1012"/>
      <c r="FB50" s="584">
        <v>0</v>
      </c>
      <c r="FC50" s="1012"/>
      <c r="FD50" s="584">
        <v>0</v>
      </c>
      <c r="FE50" s="1013"/>
      <c r="FF50" s="1014">
        <v>0</v>
      </c>
      <c r="FG50" s="1015"/>
      <c r="FH50" s="1016">
        <v>0</v>
      </c>
      <c r="FI50" s="927"/>
      <c r="FJ50" s="990"/>
      <c r="FK50" s="757" t="s">
        <v>410</v>
      </c>
      <c r="FL50" s="1007"/>
      <c r="FM50" s="1008">
        <v>0</v>
      </c>
      <c r="FN50" s="1009">
        <v>0</v>
      </c>
      <c r="FO50" s="1010"/>
      <c r="FP50" s="689"/>
      <c r="FQ50" s="1017"/>
      <c r="FR50" s="584">
        <v>0</v>
      </c>
      <c r="FS50" s="766"/>
      <c r="FT50" s="1017"/>
      <c r="FU50" s="589">
        <v>0</v>
      </c>
      <c r="FV50" s="1018"/>
      <c r="FW50" s="1019"/>
      <c r="FX50" s="1020"/>
      <c r="FY50" s="1021"/>
      <c r="FZ50" s="1022"/>
      <c r="GA50" s="1023"/>
      <c r="GB50" s="1024"/>
      <c r="GC50" s="1025"/>
      <c r="GD50" s="1024"/>
      <c r="GE50" s="1026"/>
      <c r="GF50" s="681"/>
      <c r="GG50" s="599"/>
      <c r="GH50" s="599"/>
      <c r="GI50" s="599"/>
      <c r="GJ50" s="577"/>
      <c r="GK50" s="414" t="s">
        <v>511</v>
      </c>
      <c r="GL50" s="577"/>
      <c r="GM50" s="414"/>
      <c r="GN50" s="577"/>
      <c r="GO50" s="414"/>
      <c r="GP50" s="414"/>
      <c r="GQ50" s="414"/>
      <c r="GR50" s="577"/>
      <c r="GS50" s="942"/>
      <c r="GT50" s="926"/>
      <c r="GU50" s="577" t="s">
        <v>565</v>
      </c>
      <c r="GV50" s="577"/>
      <c r="GW50" s="577"/>
      <c r="GX50" s="577"/>
      <c r="GY50" s="612"/>
      <c r="GZ50" s="576"/>
      <c r="HA50" s="612">
        <v>40.1</v>
      </c>
      <c r="HB50" s="576" t="s">
        <v>470</v>
      </c>
      <c r="HC50" s="1027"/>
      <c r="HD50" s="416"/>
    </row>
    <row r="51" spans="1:212" ht="20.100000000000001" customHeight="1" thickBot="1">
      <c r="A51" s="1028"/>
      <c r="B51" s="463" t="s">
        <v>436</v>
      </c>
      <c r="C51" s="1029"/>
      <c r="D51" s="778"/>
      <c r="E51" s="789"/>
      <c r="F51" s="1030"/>
      <c r="G51" s="791"/>
      <c r="H51" s="792">
        <v>0</v>
      </c>
      <c r="I51" s="793"/>
      <c r="J51" s="792">
        <v>0</v>
      </c>
      <c r="K51" s="793"/>
      <c r="L51" s="792">
        <v>0</v>
      </c>
      <c r="M51" s="793"/>
      <c r="N51" s="792">
        <v>0</v>
      </c>
      <c r="O51" s="793"/>
      <c r="P51" s="792">
        <v>0</v>
      </c>
      <c r="Q51" s="793"/>
      <c r="R51" s="792">
        <v>0</v>
      </c>
      <c r="S51" s="793"/>
      <c r="T51" s="792">
        <v>0</v>
      </c>
      <c r="U51" s="793"/>
      <c r="V51" s="792">
        <v>0</v>
      </c>
      <c r="W51" s="793"/>
      <c r="X51" s="792">
        <v>0</v>
      </c>
      <c r="Y51" s="793"/>
      <c r="Z51" s="792">
        <v>0</v>
      </c>
      <c r="AA51" s="793"/>
      <c r="AB51" s="792">
        <v>0</v>
      </c>
      <c r="AC51" s="793"/>
      <c r="AD51" s="792">
        <v>0</v>
      </c>
      <c r="AE51" s="793"/>
      <c r="AF51" s="792">
        <v>0</v>
      </c>
      <c r="AG51" s="793"/>
      <c r="AH51" s="792">
        <v>0</v>
      </c>
      <c r="AI51" s="793"/>
      <c r="AJ51" s="792">
        <v>0</v>
      </c>
      <c r="AK51" s="793"/>
      <c r="AL51" s="792">
        <v>0</v>
      </c>
      <c r="AM51" s="793"/>
      <c r="AN51" s="792">
        <v>0</v>
      </c>
      <c r="AO51" s="793"/>
      <c r="AP51" s="792">
        <v>0</v>
      </c>
      <c r="AQ51" s="793"/>
      <c r="AR51" s="792">
        <v>0</v>
      </c>
      <c r="AS51" s="793"/>
      <c r="AT51" s="792">
        <v>0</v>
      </c>
      <c r="AU51" s="793"/>
      <c r="AV51" s="792">
        <v>0</v>
      </c>
      <c r="AW51" s="793"/>
      <c r="AX51" s="792">
        <v>0</v>
      </c>
      <c r="AY51" s="1031"/>
      <c r="AZ51" s="1032">
        <v>0</v>
      </c>
      <c r="BA51" s="1033"/>
      <c r="BB51" s="1034">
        <v>0</v>
      </c>
      <c r="BC51" s="927"/>
      <c r="BD51" s="1028"/>
      <c r="BE51" s="463" t="s">
        <v>436</v>
      </c>
      <c r="BF51" s="1029"/>
      <c r="BG51" s="778"/>
      <c r="BH51" s="789"/>
      <c r="BI51" s="1030"/>
      <c r="BJ51" s="791"/>
      <c r="BK51" s="792">
        <v>0</v>
      </c>
      <c r="BL51" s="793"/>
      <c r="BM51" s="792">
        <v>0</v>
      </c>
      <c r="BN51" s="793"/>
      <c r="BO51" s="792">
        <v>0</v>
      </c>
      <c r="BP51" s="793"/>
      <c r="BQ51" s="792">
        <v>0</v>
      </c>
      <c r="BR51" s="793"/>
      <c r="BS51" s="792">
        <v>0</v>
      </c>
      <c r="BT51" s="793"/>
      <c r="BU51" s="792">
        <v>0</v>
      </c>
      <c r="BV51" s="793"/>
      <c r="BW51" s="792">
        <v>0</v>
      </c>
      <c r="BX51" s="793"/>
      <c r="BY51" s="792">
        <v>0</v>
      </c>
      <c r="BZ51" s="793"/>
      <c r="CA51" s="792">
        <v>0</v>
      </c>
      <c r="CB51" s="793"/>
      <c r="CC51" s="792">
        <v>0</v>
      </c>
      <c r="CD51" s="793"/>
      <c r="CE51" s="792">
        <v>0</v>
      </c>
      <c r="CF51" s="793"/>
      <c r="CG51" s="792">
        <v>0</v>
      </c>
      <c r="CH51" s="793"/>
      <c r="CI51" s="792">
        <v>0</v>
      </c>
      <c r="CJ51" s="793"/>
      <c r="CK51" s="792">
        <v>0</v>
      </c>
      <c r="CL51" s="793"/>
      <c r="CM51" s="792">
        <v>0</v>
      </c>
      <c r="CN51" s="793"/>
      <c r="CO51" s="792">
        <v>0</v>
      </c>
      <c r="CP51" s="793"/>
      <c r="CQ51" s="792">
        <v>0</v>
      </c>
      <c r="CR51" s="793"/>
      <c r="CS51" s="792">
        <v>0</v>
      </c>
      <c r="CT51" s="793"/>
      <c r="CU51" s="792">
        <v>0</v>
      </c>
      <c r="CV51" s="793"/>
      <c r="CW51" s="792">
        <v>0</v>
      </c>
      <c r="CX51" s="793"/>
      <c r="CY51" s="792">
        <v>0</v>
      </c>
      <c r="CZ51" s="793"/>
      <c r="DA51" s="792">
        <v>0</v>
      </c>
      <c r="DB51" s="1031"/>
      <c r="DC51" s="1032">
        <v>0</v>
      </c>
      <c r="DD51" s="1033"/>
      <c r="DE51" s="1034">
        <v>0</v>
      </c>
      <c r="DF51" s="927"/>
      <c r="DG51" s="1028"/>
      <c r="DH51" s="463" t="s">
        <v>436</v>
      </c>
      <c r="DI51" s="1029"/>
      <c r="DJ51" s="778"/>
      <c r="DK51" s="789"/>
      <c r="DL51" s="1030"/>
      <c r="DM51" s="791"/>
      <c r="DN51" s="792">
        <v>0</v>
      </c>
      <c r="DO51" s="793"/>
      <c r="DP51" s="792">
        <v>0</v>
      </c>
      <c r="DQ51" s="793"/>
      <c r="DR51" s="792">
        <v>0</v>
      </c>
      <c r="DS51" s="793"/>
      <c r="DT51" s="792">
        <v>0</v>
      </c>
      <c r="DU51" s="793"/>
      <c r="DV51" s="792">
        <v>0</v>
      </c>
      <c r="DW51" s="793"/>
      <c r="DX51" s="792">
        <v>0</v>
      </c>
      <c r="DY51" s="793"/>
      <c r="DZ51" s="792">
        <v>0</v>
      </c>
      <c r="EA51" s="793"/>
      <c r="EB51" s="792">
        <v>0</v>
      </c>
      <c r="EC51" s="793"/>
      <c r="ED51" s="792">
        <v>0</v>
      </c>
      <c r="EE51" s="793"/>
      <c r="EF51" s="792">
        <v>0</v>
      </c>
      <c r="EG51" s="793"/>
      <c r="EH51" s="792">
        <v>0</v>
      </c>
      <c r="EI51" s="793"/>
      <c r="EJ51" s="792">
        <v>0</v>
      </c>
      <c r="EK51" s="793"/>
      <c r="EL51" s="792">
        <v>0</v>
      </c>
      <c r="EM51" s="793"/>
      <c r="EN51" s="792">
        <v>0</v>
      </c>
      <c r="EO51" s="793"/>
      <c r="EP51" s="792">
        <v>0</v>
      </c>
      <c r="EQ51" s="793"/>
      <c r="ER51" s="792">
        <v>0</v>
      </c>
      <c r="ES51" s="793"/>
      <c r="ET51" s="792">
        <v>0</v>
      </c>
      <c r="EU51" s="793"/>
      <c r="EV51" s="792">
        <v>0</v>
      </c>
      <c r="EW51" s="793"/>
      <c r="EX51" s="792">
        <v>0</v>
      </c>
      <c r="EY51" s="793"/>
      <c r="EZ51" s="792">
        <v>0</v>
      </c>
      <c r="FA51" s="793"/>
      <c r="FB51" s="792">
        <v>0</v>
      </c>
      <c r="FC51" s="793"/>
      <c r="FD51" s="792">
        <v>0</v>
      </c>
      <c r="FE51" s="1031"/>
      <c r="FF51" s="1032">
        <v>0</v>
      </c>
      <c r="FG51" s="1033"/>
      <c r="FH51" s="1034">
        <v>0</v>
      </c>
      <c r="FI51" s="927"/>
      <c r="FJ51" s="1028"/>
      <c r="FK51" s="463" t="s">
        <v>436</v>
      </c>
      <c r="FL51" s="1029"/>
      <c r="FM51" s="781"/>
      <c r="FN51" s="789">
        <v>0</v>
      </c>
      <c r="FO51" s="1030"/>
      <c r="FP51" s="795"/>
      <c r="FQ51" s="796"/>
      <c r="FR51" s="792">
        <v>0</v>
      </c>
      <c r="FS51" s="797"/>
      <c r="FT51" s="796"/>
      <c r="FU51" s="798">
        <v>0</v>
      </c>
      <c r="FV51" s="1018"/>
      <c r="FW51" s="1019"/>
      <c r="FX51" s="1020"/>
      <c r="FY51" s="1021"/>
      <c r="FZ51" s="1022"/>
      <c r="GA51" s="1023"/>
      <c r="GB51" s="1024"/>
      <c r="GC51" s="1025"/>
      <c r="GD51" s="1024"/>
      <c r="GE51" s="1026"/>
      <c r="GF51" s="681"/>
      <c r="GG51" s="599"/>
      <c r="GH51" s="599"/>
      <c r="GI51" s="599"/>
      <c r="GJ51" s="925"/>
      <c r="GK51" s="726"/>
      <c r="GL51" s="1035" t="s">
        <v>401</v>
      </c>
      <c r="GM51" s="1036" t="s">
        <v>513</v>
      </c>
      <c r="GN51" s="1037" t="s">
        <v>514</v>
      </c>
      <c r="GO51" s="1038" t="s">
        <v>515</v>
      </c>
      <c r="GP51" s="1038" t="s">
        <v>494</v>
      </c>
      <c r="GQ51" s="1039" t="s">
        <v>495</v>
      </c>
      <c r="GR51" s="726"/>
      <c r="GS51" s="942"/>
      <c r="GT51" s="756"/>
      <c r="GU51" s="577" t="s">
        <v>516</v>
      </c>
      <c r="GV51" s="577"/>
      <c r="GW51" s="577"/>
      <c r="GX51" s="577"/>
      <c r="GY51" s="414"/>
      <c r="GZ51" s="1040"/>
      <c r="HA51" s="612">
        <v>40.1</v>
      </c>
      <c r="HB51" s="576" t="s">
        <v>470</v>
      </c>
      <c r="HC51" s="1041"/>
      <c r="HD51" s="416"/>
    </row>
    <row r="52" spans="1:212" ht="20.100000000000001" customHeight="1" thickBot="1">
      <c r="A52" s="1042" t="s">
        <v>437</v>
      </c>
      <c r="B52" s="1043"/>
      <c r="C52" s="1044"/>
      <c r="D52" s="1044"/>
      <c r="E52" s="1045"/>
      <c r="F52" s="1044"/>
      <c r="G52" s="1046"/>
      <c r="H52" s="1047">
        <v>0</v>
      </c>
      <c r="I52" s="1048"/>
      <c r="J52" s="1047">
        <v>0</v>
      </c>
      <c r="K52" s="1048"/>
      <c r="L52" s="1047">
        <v>0</v>
      </c>
      <c r="M52" s="1048"/>
      <c r="N52" s="1047">
        <v>0</v>
      </c>
      <c r="O52" s="1048"/>
      <c r="P52" s="1047">
        <v>0</v>
      </c>
      <c r="Q52" s="1048"/>
      <c r="R52" s="1047">
        <v>0</v>
      </c>
      <c r="S52" s="1048"/>
      <c r="T52" s="1047">
        <v>0</v>
      </c>
      <c r="U52" s="1048"/>
      <c r="V52" s="1047">
        <v>0</v>
      </c>
      <c r="W52" s="1048"/>
      <c r="X52" s="1047">
        <v>212</v>
      </c>
      <c r="Y52" s="1048"/>
      <c r="Z52" s="1047">
        <v>212</v>
      </c>
      <c r="AA52" s="1048"/>
      <c r="AB52" s="1047">
        <v>212</v>
      </c>
      <c r="AC52" s="1048"/>
      <c r="AD52" s="1047">
        <v>212</v>
      </c>
      <c r="AE52" s="1048"/>
      <c r="AF52" s="1047">
        <v>212</v>
      </c>
      <c r="AG52" s="1048"/>
      <c r="AH52" s="1047">
        <v>212</v>
      </c>
      <c r="AI52" s="1048"/>
      <c r="AJ52" s="1047">
        <v>212</v>
      </c>
      <c r="AK52" s="1048"/>
      <c r="AL52" s="1047">
        <v>212</v>
      </c>
      <c r="AM52" s="1048"/>
      <c r="AN52" s="1047">
        <v>212</v>
      </c>
      <c r="AO52" s="1048"/>
      <c r="AP52" s="1047">
        <v>212</v>
      </c>
      <c r="AQ52" s="1048"/>
      <c r="AR52" s="1047">
        <v>0</v>
      </c>
      <c r="AS52" s="1048"/>
      <c r="AT52" s="1047">
        <v>0</v>
      </c>
      <c r="AU52" s="1048"/>
      <c r="AV52" s="1047">
        <v>0</v>
      </c>
      <c r="AW52" s="1048"/>
      <c r="AX52" s="1047">
        <v>0</v>
      </c>
      <c r="AY52" s="1049"/>
      <c r="AZ52" s="1050">
        <v>0</v>
      </c>
      <c r="BA52" s="1051"/>
      <c r="BB52" s="1052">
        <v>0</v>
      </c>
      <c r="BC52" s="970"/>
      <c r="BD52" s="1042" t="s">
        <v>437</v>
      </c>
      <c r="BE52" s="1043"/>
      <c r="BF52" s="1044"/>
      <c r="BG52" s="1044"/>
      <c r="BH52" s="1045"/>
      <c r="BI52" s="1044"/>
      <c r="BJ52" s="1046"/>
      <c r="BK52" s="1047">
        <v>0</v>
      </c>
      <c r="BL52" s="1048"/>
      <c r="BM52" s="1047">
        <v>0</v>
      </c>
      <c r="BN52" s="1048"/>
      <c r="BO52" s="1047">
        <v>0</v>
      </c>
      <c r="BP52" s="1048"/>
      <c r="BQ52" s="1047">
        <v>0</v>
      </c>
      <c r="BR52" s="1048"/>
      <c r="BS52" s="1047">
        <v>0</v>
      </c>
      <c r="BT52" s="1048"/>
      <c r="BU52" s="1047">
        <v>0</v>
      </c>
      <c r="BV52" s="1048"/>
      <c r="BW52" s="1047">
        <v>0</v>
      </c>
      <c r="BX52" s="1048"/>
      <c r="BY52" s="1047">
        <v>0</v>
      </c>
      <c r="BZ52" s="1048"/>
      <c r="CA52" s="1047">
        <v>212</v>
      </c>
      <c r="CB52" s="1048"/>
      <c r="CC52" s="1047">
        <v>212</v>
      </c>
      <c r="CD52" s="1048"/>
      <c r="CE52" s="1047">
        <v>212</v>
      </c>
      <c r="CF52" s="1048"/>
      <c r="CG52" s="1047">
        <v>212</v>
      </c>
      <c r="CH52" s="1048"/>
      <c r="CI52" s="1047">
        <v>212</v>
      </c>
      <c r="CJ52" s="1048"/>
      <c r="CK52" s="1047">
        <v>212</v>
      </c>
      <c r="CL52" s="1048"/>
      <c r="CM52" s="1047">
        <v>212</v>
      </c>
      <c r="CN52" s="1048"/>
      <c r="CO52" s="1047">
        <v>212</v>
      </c>
      <c r="CP52" s="1048"/>
      <c r="CQ52" s="1047">
        <v>212</v>
      </c>
      <c r="CR52" s="1048"/>
      <c r="CS52" s="1047">
        <v>212</v>
      </c>
      <c r="CT52" s="1048"/>
      <c r="CU52" s="1047">
        <v>0</v>
      </c>
      <c r="CV52" s="1048"/>
      <c r="CW52" s="1047">
        <v>0</v>
      </c>
      <c r="CX52" s="1048"/>
      <c r="CY52" s="1047">
        <v>0</v>
      </c>
      <c r="CZ52" s="1048"/>
      <c r="DA52" s="1047">
        <v>0</v>
      </c>
      <c r="DB52" s="1049"/>
      <c r="DC52" s="1050">
        <v>0</v>
      </c>
      <c r="DD52" s="1051"/>
      <c r="DE52" s="1052">
        <v>0</v>
      </c>
      <c r="DF52" s="970"/>
      <c r="DG52" s="1042" t="s">
        <v>437</v>
      </c>
      <c r="DH52" s="1043"/>
      <c r="DI52" s="1044"/>
      <c r="DJ52" s="1044"/>
      <c r="DK52" s="1045"/>
      <c r="DL52" s="1044"/>
      <c r="DM52" s="1046"/>
      <c r="DN52" s="1047">
        <v>0</v>
      </c>
      <c r="DO52" s="1048"/>
      <c r="DP52" s="1047">
        <v>0</v>
      </c>
      <c r="DQ52" s="1048"/>
      <c r="DR52" s="1047">
        <v>0</v>
      </c>
      <c r="DS52" s="1048"/>
      <c r="DT52" s="1047">
        <v>0</v>
      </c>
      <c r="DU52" s="1048"/>
      <c r="DV52" s="1047">
        <v>0</v>
      </c>
      <c r="DW52" s="1048"/>
      <c r="DX52" s="1047">
        <v>0</v>
      </c>
      <c r="DY52" s="1048"/>
      <c r="DZ52" s="1047">
        <v>0</v>
      </c>
      <c r="EA52" s="1048"/>
      <c r="EB52" s="1047">
        <v>0</v>
      </c>
      <c r="EC52" s="1048"/>
      <c r="ED52" s="1047">
        <v>212</v>
      </c>
      <c r="EE52" s="1048"/>
      <c r="EF52" s="1047">
        <v>212</v>
      </c>
      <c r="EG52" s="1048"/>
      <c r="EH52" s="1047">
        <v>212</v>
      </c>
      <c r="EI52" s="1048"/>
      <c r="EJ52" s="1047">
        <v>212</v>
      </c>
      <c r="EK52" s="1048"/>
      <c r="EL52" s="1047">
        <v>212</v>
      </c>
      <c r="EM52" s="1048"/>
      <c r="EN52" s="1047">
        <v>212</v>
      </c>
      <c r="EO52" s="1048"/>
      <c r="EP52" s="1047">
        <v>212</v>
      </c>
      <c r="EQ52" s="1048"/>
      <c r="ER52" s="1047">
        <v>212</v>
      </c>
      <c r="ES52" s="1048"/>
      <c r="ET52" s="1047">
        <v>212</v>
      </c>
      <c r="EU52" s="1048"/>
      <c r="EV52" s="1047">
        <v>212</v>
      </c>
      <c r="EW52" s="1048"/>
      <c r="EX52" s="1047">
        <v>0</v>
      </c>
      <c r="EY52" s="1048"/>
      <c r="EZ52" s="1047">
        <v>0</v>
      </c>
      <c r="FA52" s="1048"/>
      <c r="FB52" s="1047">
        <v>0</v>
      </c>
      <c r="FC52" s="1048"/>
      <c r="FD52" s="1047">
        <v>0</v>
      </c>
      <c r="FE52" s="1049"/>
      <c r="FF52" s="1050">
        <v>0</v>
      </c>
      <c r="FG52" s="1051"/>
      <c r="FH52" s="1052">
        <v>0</v>
      </c>
      <c r="FI52" s="970"/>
      <c r="FJ52" s="1042" t="s">
        <v>437</v>
      </c>
      <c r="FK52" s="1043"/>
      <c r="FL52" s="1044"/>
      <c r="FM52" s="1044"/>
      <c r="FN52" s="1045"/>
      <c r="FO52" s="1044"/>
      <c r="FP52" s="1053"/>
      <c r="FQ52" s="1054"/>
      <c r="FR52" s="1047">
        <v>0</v>
      </c>
      <c r="FS52" s="1055"/>
      <c r="FT52" s="1054"/>
      <c r="FU52" s="1056">
        <v>0</v>
      </c>
      <c r="FV52" s="1057">
        <v>13</v>
      </c>
      <c r="FW52" s="1058">
        <v>212</v>
      </c>
      <c r="FX52" s="1059">
        <v>11</v>
      </c>
      <c r="FY52" s="1058">
        <v>212</v>
      </c>
      <c r="FZ52" s="1059">
        <v>12</v>
      </c>
      <c r="GA52" s="1058">
        <v>212</v>
      </c>
      <c r="GB52" s="1060" t="s">
        <v>560</v>
      </c>
      <c r="GC52" s="1061">
        <v>212</v>
      </c>
      <c r="GD52" s="1060" t="s">
        <v>360</v>
      </c>
      <c r="GE52" s="1062">
        <v>0</v>
      </c>
      <c r="GF52" s="681"/>
      <c r="GG52" s="979"/>
      <c r="GH52" s="979"/>
      <c r="GI52" s="979"/>
      <c r="GJ52" s="925"/>
      <c r="GK52" s="726"/>
      <c r="GL52" s="1063"/>
      <c r="GM52" s="1064"/>
      <c r="GN52" s="1064"/>
      <c r="GO52" s="1065"/>
      <c r="GP52" s="1065"/>
      <c r="GQ52" s="1066"/>
      <c r="GR52" s="942"/>
      <c r="GS52" s="882"/>
      <c r="GT52" s="850"/>
      <c r="GU52" s="527" t="s">
        <v>490</v>
      </c>
      <c r="GV52" s="726"/>
      <c r="GW52" s="925"/>
      <c r="GX52" s="726"/>
      <c r="GY52" s="414"/>
      <c r="GZ52" s="1067"/>
      <c r="HA52" s="942"/>
      <c r="HB52" s="1067"/>
      <c r="HC52" s="559"/>
      <c r="HD52" s="416"/>
    </row>
    <row r="53" spans="1:212" ht="20.100000000000001" customHeight="1" thickTop="1">
      <c r="A53" s="1068" t="s">
        <v>438</v>
      </c>
      <c r="B53" s="1069"/>
      <c r="C53" s="1070"/>
      <c r="D53" s="1070"/>
      <c r="E53" s="1071"/>
      <c r="F53" s="1072"/>
      <c r="G53" s="1073"/>
      <c r="H53" s="1074">
        <v>0</v>
      </c>
      <c r="I53" s="1075"/>
      <c r="J53" s="1074">
        <v>0</v>
      </c>
      <c r="K53" s="1075"/>
      <c r="L53" s="1074">
        <v>0</v>
      </c>
      <c r="M53" s="1075"/>
      <c r="N53" s="1074">
        <v>0</v>
      </c>
      <c r="O53" s="1075"/>
      <c r="P53" s="1074">
        <v>0</v>
      </c>
      <c r="Q53" s="1075"/>
      <c r="R53" s="1074">
        <v>0</v>
      </c>
      <c r="S53" s="1075"/>
      <c r="T53" s="1074">
        <v>0</v>
      </c>
      <c r="U53" s="1075"/>
      <c r="V53" s="1074">
        <v>0</v>
      </c>
      <c r="W53" s="1075"/>
      <c r="X53" s="1074">
        <v>1280</v>
      </c>
      <c r="Y53" s="1075"/>
      <c r="Z53" s="1074">
        <v>1274</v>
      </c>
      <c r="AA53" s="1075"/>
      <c r="AB53" s="1074">
        <v>1313</v>
      </c>
      <c r="AC53" s="1075"/>
      <c r="AD53" s="1074">
        <v>1329</v>
      </c>
      <c r="AE53" s="1075"/>
      <c r="AF53" s="1074">
        <v>1329</v>
      </c>
      <c r="AG53" s="1075"/>
      <c r="AH53" s="1074">
        <v>1319</v>
      </c>
      <c r="AI53" s="1075"/>
      <c r="AJ53" s="1074">
        <v>1291</v>
      </c>
      <c r="AK53" s="1075"/>
      <c r="AL53" s="1074">
        <v>1274</v>
      </c>
      <c r="AM53" s="1075"/>
      <c r="AN53" s="1074">
        <v>1232</v>
      </c>
      <c r="AO53" s="1075"/>
      <c r="AP53" s="1074">
        <v>1196</v>
      </c>
      <c r="AQ53" s="1075"/>
      <c r="AR53" s="1074">
        <v>0</v>
      </c>
      <c r="AS53" s="1075"/>
      <c r="AT53" s="1074">
        <v>0</v>
      </c>
      <c r="AU53" s="1075"/>
      <c r="AV53" s="1074">
        <v>0</v>
      </c>
      <c r="AW53" s="1075"/>
      <c r="AX53" s="1074">
        <v>0</v>
      </c>
      <c r="AY53" s="1076"/>
      <c r="AZ53" s="1077">
        <v>0</v>
      </c>
      <c r="BA53" s="1078"/>
      <c r="BB53" s="1079">
        <v>0</v>
      </c>
      <c r="BC53" s="970"/>
      <c r="BD53" s="1068" t="s">
        <v>438</v>
      </c>
      <c r="BE53" s="1069"/>
      <c r="BF53" s="1070"/>
      <c r="BG53" s="1070"/>
      <c r="BH53" s="1071"/>
      <c r="BI53" s="1072"/>
      <c r="BJ53" s="1073"/>
      <c r="BK53" s="1074">
        <v>0</v>
      </c>
      <c r="BL53" s="1075"/>
      <c r="BM53" s="1074">
        <v>0</v>
      </c>
      <c r="BN53" s="1075"/>
      <c r="BO53" s="1074">
        <v>0</v>
      </c>
      <c r="BP53" s="1075"/>
      <c r="BQ53" s="1074">
        <v>0</v>
      </c>
      <c r="BR53" s="1075"/>
      <c r="BS53" s="1074">
        <v>0</v>
      </c>
      <c r="BT53" s="1075"/>
      <c r="BU53" s="1074">
        <v>0</v>
      </c>
      <c r="BV53" s="1075"/>
      <c r="BW53" s="1074">
        <v>0</v>
      </c>
      <c r="BX53" s="1075"/>
      <c r="BY53" s="1074">
        <v>0</v>
      </c>
      <c r="BZ53" s="1075"/>
      <c r="CA53" s="1074">
        <v>1342</v>
      </c>
      <c r="CB53" s="1075"/>
      <c r="CC53" s="1074">
        <v>1330</v>
      </c>
      <c r="CD53" s="1075"/>
      <c r="CE53" s="1074">
        <v>1369</v>
      </c>
      <c r="CF53" s="1075"/>
      <c r="CG53" s="1074">
        <v>1365</v>
      </c>
      <c r="CH53" s="1075"/>
      <c r="CI53" s="1074">
        <v>1342</v>
      </c>
      <c r="CJ53" s="1075"/>
      <c r="CK53" s="1074">
        <v>1308</v>
      </c>
      <c r="CL53" s="1075"/>
      <c r="CM53" s="1074">
        <v>1282</v>
      </c>
      <c r="CN53" s="1075"/>
      <c r="CO53" s="1074">
        <v>1258</v>
      </c>
      <c r="CP53" s="1075"/>
      <c r="CQ53" s="1074">
        <v>1226</v>
      </c>
      <c r="CR53" s="1075"/>
      <c r="CS53" s="1074">
        <v>1183</v>
      </c>
      <c r="CT53" s="1075"/>
      <c r="CU53" s="1074">
        <v>0</v>
      </c>
      <c r="CV53" s="1075"/>
      <c r="CW53" s="1074">
        <v>0</v>
      </c>
      <c r="CX53" s="1075"/>
      <c r="CY53" s="1074">
        <v>0</v>
      </c>
      <c r="CZ53" s="1075"/>
      <c r="DA53" s="1074">
        <v>0</v>
      </c>
      <c r="DB53" s="1076"/>
      <c r="DC53" s="1077">
        <v>0</v>
      </c>
      <c r="DD53" s="1078"/>
      <c r="DE53" s="1079">
        <v>0</v>
      </c>
      <c r="DF53" s="970"/>
      <c r="DG53" s="1068" t="s">
        <v>438</v>
      </c>
      <c r="DH53" s="1069"/>
      <c r="DI53" s="1070"/>
      <c r="DJ53" s="1070"/>
      <c r="DK53" s="1071"/>
      <c r="DL53" s="1072"/>
      <c r="DM53" s="1073"/>
      <c r="DN53" s="1074">
        <v>0</v>
      </c>
      <c r="DO53" s="1075"/>
      <c r="DP53" s="1074">
        <v>0</v>
      </c>
      <c r="DQ53" s="1075"/>
      <c r="DR53" s="1074">
        <v>0</v>
      </c>
      <c r="DS53" s="1075"/>
      <c r="DT53" s="1074">
        <v>0</v>
      </c>
      <c r="DU53" s="1075"/>
      <c r="DV53" s="1074">
        <v>0</v>
      </c>
      <c r="DW53" s="1075"/>
      <c r="DX53" s="1074">
        <v>0</v>
      </c>
      <c r="DY53" s="1075"/>
      <c r="DZ53" s="1074">
        <v>0</v>
      </c>
      <c r="EA53" s="1075"/>
      <c r="EB53" s="1074">
        <v>0</v>
      </c>
      <c r="EC53" s="1075"/>
      <c r="ED53" s="1074">
        <v>1238</v>
      </c>
      <c r="EE53" s="1075"/>
      <c r="EF53" s="1074">
        <v>1237</v>
      </c>
      <c r="EG53" s="1075"/>
      <c r="EH53" s="1074">
        <v>1280</v>
      </c>
      <c r="EI53" s="1075"/>
      <c r="EJ53" s="1074">
        <v>1286</v>
      </c>
      <c r="EK53" s="1075"/>
      <c r="EL53" s="1074">
        <v>1258</v>
      </c>
      <c r="EM53" s="1075"/>
      <c r="EN53" s="1074">
        <v>1220</v>
      </c>
      <c r="EO53" s="1075"/>
      <c r="EP53" s="1074">
        <v>1192</v>
      </c>
      <c r="EQ53" s="1075"/>
      <c r="ER53" s="1074">
        <v>1171</v>
      </c>
      <c r="ES53" s="1075"/>
      <c r="ET53" s="1074">
        <v>1128</v>
      </c>
      <c r="EU53" s="1075"/>
      <c r="EV53" s="1074">
        <v>1081</v>
      </c>
      <c r="EW53" s="1075"/>
      <c r="EX53" s="1074">
        <v>0</v>
      </c>
      <c r="EY53" s="1075"/>
      <c r="EZ53" s="1074">
        <v>0</v>
      </c>
      <c r="FA53" s="1075"/>
      <c r="FB53" s="1074">
        <v>0</v>
      </c>
      <c r="FC53" s="1075"/>
      <c r="FD53" s="1074">
        <v>0</v>
      </c>
      <c r="FE53" s="1076"/>
      <c r="FF53" s="1077">
        <v>0</v>
      </c>
      <c r="FG53" s="1078"/>
      <c r="FH53" s="1079">
        <v>0</v>
      </c>
      <c r="FI53" s="970"/>
      <c r="FJ53" s="1068" t="s">
        <v>438</v>
      </c>
      <c r="FK53" s="1069"/>
      <c r="FL53" s="1070"/>
      <c r="FM53" s="1070"/>
      <c r="FN53" s="1071"/>
      <c r="FO53" s="1072"/>
      <c r="FP53" s="1080"/>
      <c r="FQ53" s="1081"/>
      <c r="FR53" s="1074">
        <v>1986</v>
      </c>
      <c r="FS53" s="1082"/>
      <c r="FT53" s="1081"/>
      <c r="FU53" s="1083">
        <v>2006</v>
      </c>
      <c r="FV53" s="1084">
        <v>13</v>
      </c>
      <c r="FW53" s="1085">
        <v>1329</v>
      </c>
      <c r="FX53" s="1086">
        <v>11</v>
      </c>
      <c r="FY53" s="1085">
        <v>1369</v>
      </c>
      <c r="FZ53" s="1086">
        <v>12</v>
      </c>
      <c r="GA53" s="1085">
        <v>1286</v>
      </c>
      <c r="GB53" s="1087" t="s">
        <v>560</v>
      </c>
      <c r="GC53" s="1085">
        <v>1369</v>
      </c>
      <c r="GD53" s="1087" t="s">
        <v>360</v>
      </c>
      <c r="GE53" s="1088">
        <v>2006</v>
      </c>
      <c r="GF53" s="681"/>
      <c r="GG53" s="979"/>
      <c r="GH53" s="979"/>
      <c r="GI53" s="979"/>
      <c r="GJ53" s="942"/>
      <c r="GK53" s="414"/>
      <c r="GL53" s="1089">
        <v>10</v>
      </c>
      <c r="GM53" s="1090">
        <v>1</v>
      </c>
      <c r="GN53" s="1091">
        <v>0.92</v>
      </c>
      <c r="GO53" s="1092">
        <v>4.2</v>
      </c>
      <c r="GP53" s="1092">
        <v>7</v>
      </c>
      <c r="GQ53" s="1093">
        <v>11.2</v>
      </c>
      <c r="GR53" s="577"/>
      <c r="GS53" s="480"/>
      <c r="GT53" s="850"/>
      <c r="GU53" s="577" t="s">
        <v>566</v>
      </c>
      <c r="GV53" s="577"/>
      <c r="GW53" s="577"/>
      <c r="GX53" s="577"/>
      <c r="GY53" s="414"/>
      <c r="GZ53" s="410"/>
      <c r="HA53" s="612">
        <v>39.4</v>
      </c>
      <c r="HB53" s="576" t="s">
        <v>470</v>
      </c>
      <c r="HC53" s="792"/>
      <c r="HD53" s="416"/>
    </row>
    <row r="54" spans="1:212" ht="20.100000000000001" customHeight="1">
      <c r="A54" s="1094" t="s">
        <v>439</v>
      </c>
      <c r="B54" s="1095"/>
      <c r="C54" s="1096"/>
      <c r="D54" s="1097"/>
      <c r="E54" s="1098"/>
      <c r="F54" s="1099"/>
      <c r="G54" s="1100"/>
      <c r="H54" s="1101">
        <v>0</v>
      </c>
      <c r="I54" s="1102"/>
      <c r="J54" s="1101">
        <v>0</v>
      </c>
      <c r="K54" s="1102"/>
      <c r="L54" s="1101">
        <v>0</v>
      </c>
      <c r="M54" s="1102"/>
      <c r="N54" s="1101">
        <v>0</v>
      </c>
      <c r="O54" s="1102"/>
      <c r="P54" s="1101">
        <v>0</v>
      </c>
      <c r="Q54" s="1102"/>
      <c r="R54" s="1101">
        <v>0</v>
      </c>
      <c r="S54" s="1102"/>
      <c r="T54" s="1101">
        <v>0</v>
      </c>
      <c r="U54" s="1102"/>
      <c r="V54" s="1101">
        <v>0</v>
      </c>
      <c r="W54" s="1102"/>
      <c r="X54" s="1101">
        <v>97</v>
      </c>
      <c r="Y54" s="1102"/>
      <c r="Z54" s="1101">
        <v>96.5</v>
      </c>
      <c r="AA54" s="1102"/>
      <c r="AB54" s="1101">
        <v>99.5</v>
      </c>
      <c r="AC54" s="1102"/>
      <c r="AD54" s="1101">
        <v>100.7</v>
      </c>
      <c r="AE54" s="1102"/>
      <c r="AF54" s="1101">
        <v>100.7</v>
      </c>
      <c r="AG54" s="1102"/>
      <c r="AH54" s="1101">
        <v>99.9</v>
      </c>
      <c r="AI54" s="1102"/>
      <c r="AJ54" s="1101">
        <v>97.8</v>
      </c>
      <c r="AK54" s="1102"/>
      <c r="AL54" s="1101">
        <v>96.5</v>
      </c>
      <c r="AM54" s="1102"/>
      <c r="AN54" s="1101">
        <v>93.3</v>
      </c>
      <c r="AO54" s="1102"/>
      <c r="AP54" s="1101">
        <v>90.6</v>
      </c>
      <c r="AQ54" s="1102"/>
      <c r="AR54" s="1101">
        <v>0</v>
      </c>
      <c r="AS54" s="1102"/>
      <c r="AT54" s="1101">
        <v>0</v>
      </c>
      <c r="AU54" s="1102"/>
      <c r="AV54" s="1101">
        <v>0</v>
      </c>
      <c r="AW54" s="1102"/>
      <c r="AX54" s="1101">
        <v>0</v>
      </c>
      <c r="AY54" s="1102"/>
      <c r="AZ54" s="1101">
        <v>0</v>
      </c>
      <c r="BA54" s="1102"/>
      <c r="BB54" s="1103">
        <v>0</v>
      </c>
      <c r="BC54" s="1006"/>
      <c r="BD54" s="1094" t="s">
        <v>439</v>
      </c>
      <c r="BE54" s="1095"/>
      <c r="BF54" s="1096"/>
      <c r="BG54" s="1097"/>
      <c r="BH54" s="1098"/>
      <c r="BI54" s="1099"/>
      <c r="BJ54" s="1100"/>
      <c r="BK54" s="1101">
        <v>0</v>
      </c>
      <c r="BL54" s="1102"/>
      <c r="BM54" s="1101">
        <v>0</v>
      </c>
      <c r="BN54" s="1102"/>
      <c r="BO54" s="1101">
        <v>0</v>
      </c>
      <c r="BP54" s="1102"/>
      <c r="BQ54" s="1101">
        <v>0</v>
      </c>
      <c r="BR54" s="1102"/>
      <c r="BS54" s="1101">
        <v>0</v>
      </c>
      <c r="BT54" s="1102"/>
      <c r="BU54" s="1101">
        <v>0</v>
      </c>
      <c r="BV54" s="1102"/>
      <c r="BW54" s="1101">
        <v>0</v>
      </c>
      <c r="BX54" s="1102"/>
      <c r="BY54" s="1101">
        <v>0</v>
      </c>
      <c r="BZ54" s="1102"/>
      <c r="CA54" s="1101">
        <v>101.7</v>
      </c>
      <c r="CB54" s="1102"/>
      <c r="CC54" s="1101">
        <v>100.8</v>
      </c>
      <c r="CD54" s="1102"/>
      <c r="CE54" s="1101">
        <v>103.7</v>
      </c>
      <c r="CF54" s="1102"/>
      <c r="CG54" s="1101">
        <v>103.4</v>
      </c>
      <c r="CH54" s="1102"/>
      <c r="CI54" s="1101">
        <v>101.7</v>
      </c>
      <c r="CJ54" s="1102"/>
      <c r="CK54" s="1101">
        <v>99.1</v>
      </c>
      <c r="CL54" s="1102"/>
      <c r="CM54" s="1101">
        <v>97.1</v>
      </c>
      <c r="CN54" s="1102"/>
      <c r="CO54" s="1101">
        <v>95.3</v>
      </c>
      <c r="CP54" s="1102"/>
      <c r="CQ54" s="1101">
        <v>92.9</v>
      </c>
      <c r="CR54" s="1102"/>
      <c r="CS54" s="1101">
        <v>89.6</v>
      </c>
      <c r="CT54" s="1102"/>
      <c r="CU54" s="1101">
        <v>0</v>
      </c>
      <c r="CV54" s="1102"/>
      <c r="CW54" s="1101">
        <v>0</v>
      </c>
      <c r="CX54" s="1102"/>
      <c r="CY54" s="1101">
        <v>0</v>
      </c>
      <c r="CZ54" s="1102"/>
      <c r="DA54" s="1101">
        <v>0</v>
      </c>
      <c r="DB54" s="1102"/>
      <c r="DC54" s="1101">
        <v>0</v>
      </c>
      <c r="DD54" s="1102"/>
      <c r="DE54" s="1103">
        <v>0</v>
      </c>
      <c r="DF54" s="1006"/>
      <c r="DG54" s="1094" t="s">
        <v>439</v>
      </c>
      <c r="DH54" s="1095"/>
      <c r="DI54" s="1096"/>
      <c r="DJ54" s="1097"/>
      <c r="DK54" s="1098"/>
      <c r="DL54" s="1099"/>
      <c r="DM54" s="1100"/>
      <c r="DN54" s="1101">
        <v>0</v>
      </c>
      <c r="DO54" s="1102"/>
      <c r="DP54" s="1101">
        <v>0</v>
      </c>
      <c r="DQ54" s="1102"/>
      <c r="DR54" s="1101">
        <v>0</v>
      </c>
      <c r="DS54" s="1102"/>
      <c r="DT54" s="1101">
        <v>0</v>
      </c>
      <c r="DU54" s="1102"/>
      <c r="DV54" s="1101">
        <v>0</v>
      </c>
      <c r="DW54" s="1102"/>
      <c r="DX54" s="1101">
        <v>0</v>
      </c>
      <c r="DY54" s="1102"/>
      <c r="DZ54" s="1101">
        <v>0</v>
      </c>
      <c r="EA54" s="1102"/>
      <c r="EB54" s="1101">
        <v>0</v>
      </c>
      <c r="EC54" s="1102"/>
      <c r="ED54" s="1101">
        <v>93.8</v>
      </c>
      <c r="EE54" s="1102"/>
      <c r="EF54" s="1101">
        <v>93.7</v>
      </c>
      <c r="EG54" s="1102"/>
      <c r="EH54" s="1101">
        <v>97</v>
      </c>
      <c r="EI54" s="1102"/>
      <c r="EJ54" s="1101">
        <v>97.4</v>
      </c>
      <c r="EK54" s="1102"/>
      <c r="EL54" s="1101">
        <v>95.3</v>
      </c>
      <c r="EM54" s="1102"/>
      <c r="EN54" s="1101">
        <v>92.4</v>
      </c>
      <c r="EO54" s="1102"/>
      <c r="EP54" s="1101">
        <v>90.3</v>
      </c>
      <c r="EQ54" s="1102"/>
      <c r="ER54" s="1101">
        <v>88.7</v>
      </c>
      <c r="ES54" s="1102"/>
      <c r="ET54" s="1101">
        <v>85.5</v>
      </c>
      <c r="EU54" s="1102"/>
      <c r="EV54" s="1101">
        <v>81.900000000000006</v>
      </c>
      <c r="EW54" s="1102"/>
      <c r="EX54" s="1101">
        <v>0</v>
      </c>
      <c r="EY54" s="1102"/>
      <c r="EZ54" s="1101">
        <v>0</v>
      </c>
      <c r="FA54" s="1102"/>
      <c r="FB54" s="1101">
        <v>0</v>
      </c>
      <c r="FC54" s="1102"/>
      <c r="FD54" s="1101">
        <v>0</v>
      </c>
      <c r="FE54" s="1102"/>
      <c r="FF54" s="1101">
        <v>0</v>
      </c>
      <c r="FG54" s="1102"/>
      <c r="FH54" s="1103">
        <v>0</v>
      </c>
      <c r="FI54" s="1006"/>
      <c r="FJ54" s="1094" t="s">
        <v>439</v>
      </c>
      <c r="FK54" s="1095"/>
      <c r="FL54" s="1096"/>
      <c r="FM54" s="1097"/>
      <c r="FN54" s="1098"/>
      <c r="FO54" s="1099"/>
      <c r="FP54" s="1104"/>
      <c r="FQ54" s="1102"/>
      <c r="FR54" s="1101">
        <v>150.5</v>
      </c>
      <c r="FS54" s="1105"/>
      <c r="FT54" s="1102"/>
      <c r="FU54" s="1106">
        <v>152</v>
      </c>
      <c r="FV54" s="1105"/>
      <c r="FW54" s="1101">
        <f>IF(面積=0,0,ROUND(FW53/面積,1))</f>
        <v>100.7</v>
      </c>
      <c r="FX54" s="1105"/>
      <c r="FY54" s="1101">
        <f>IF(面積=0,0,ROUND(FY53/面積,1))</f>
        <v>103.7</v>
      </c>
      <c r="FZ54" s="1105"/>
      <c r="GA54" s="1101">
        <f>IF(面積=0,0,ROUND(GA53/面積,1))</f>
        <v>97.4</v>
      </c>
      <c r="GB54" s="1105"/>
      <c r="GC54" s="1101">
        <f>IF(面積=0,0,ROUND(GC53/面積,1))</f>
        <v>103.7</v>
      </c>
      <c r="GD54" s="1105"/>
      <c r="GE54" s="1103">
        <f>IF(面積=0,0,ROUND(GE53/面積,1))</f>
        <v>152</v>
      </c>
      <c r="GF54" s="681"/>
      <c r="GG54" s="926"/>
      <c r="GH54" s="926"/>
      <c r="GI54" s="926"/>
      <c r="GJ54" s="577"/>
      <c r="GK54" s="576"/>
      <c r="GL54" s="1089">
        <v>11</v>
      </c>
      <c r="GM54" s="1090">
        <v>2</v>
      </c>
      <c r="GN54" s="1091">
        <v>0.85</v>
      </c>
      <c r="GO54" s="1092">
        <v>3.9</v>
      </c>
      <c r="GP54" s="1092">
        <v>7</v>
      </c>
      <c r="GQ54" s="1093">
        <v>10.9</v>
      </c>
      <c r="GR54" s="527"/>
      <c r="GS54" s="577"/>
      <c r="GT54" s="850"/>
      <c r="GU54" s="1107" t="s">
        <v>518</v>
      </c>
      <c r="GV54" s="1107"/>
      <c r="GW54" s="1107"/>
      <c r="GX54" s="1107"/>
      <c r="GY54" s="768"/>
      <c r="GZ54" s="1108"/>
      <c r="HA54" s="1109">
        <v>79.5</v>
      </c>
      <c r="HB54" s="1110" t="s">
        <v>470</v>
      </c>
      <c r="HC54" s="526"/>
      <c r="HD54" s="416"/>
    </row>
    <row r="55" spans="1:212" ht="20.100000000000001" customHeight="1" thickBot="1">
      <c r="A55" s="387"/>
      <c r="B55" s="387"/>
      <c r="C55" s="387"/>
      <c r="D55" s="387"/>
      <c r="E55" s="388"/>
      <c r="F55" s="388"/>
      <c r="G55" s="388"/>
      <c r="H55" s="1111"/>
      <c r="I55" s="416"/>
      <c r="J55" s="416"/>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90"/>
      <c r="BD55" s="387"/>
      <c r="BE55" s="387"/>
      <c r="BF55" s="387"/>
      <c r="BG55" s="387"/>
      <c r="BH55" s="388"/>
      <c r="BI55" s="388"/>
      <c r="BJ55" s="388"/>
      <c r="BK55" s="1111"/>
      <c r="BL55" s="416"/>
      <c r="BM55" s="416"/>
      <c r="BN55" s="388"/>
      <c r="BO55" s="388"/>
      <c r="BP55" s="388"/>
      <c r="BQ55" s="388"/>
      <c r="BR55" s="388"/>
      <c r="BS55" s="388"/>
      <c r="BT55" s="388"/>
      <c r="BU55" s="388"/>
      <c r="BV55" s="388"/>
      <c r="BW55" s="388"/>
      <c r="BX55" s="388"/>
      <c r="BY55" s="388"/>
      <c r="BZ55" s="388"/>
      <c r="CA55" s="388"/>
      <c r="CB55" s="388"/>
      <c r="CC55" s="388"/>
      <c r="CD55" s="388"/>
      <c r="CE55" s="388"/>
      <c r="CF55" s="388"/>
      <c r="CG55" s="388"/>
      <c r="CH55" s="388"/>
      <c r="CI55" s="388"/>
      <c r="CJ55" s="388"/>
      <c r="CK55" s="388"/>
      <c r="CL55" s="388"/>
      <c r="CM55" s="388"/>
      <c r="CN55" s="388"/>
      <c r="CO55" s="388"/>
      <c r="CP55" s="388"/>
      <c r="CQ55" s="388"/>
      <c r="CR55" s="388"/>
      <c r="CS55" s="388"/>
      <c r="CT55" s="388"/>
      <c r="CU55" s="388"/>
      <c r="CV55" s="388"/>
      <c r="CW55" s="388"/>
      <c r="CX55" s="388"/>
      <c r="CY55" s="388"/>
      <c r="CZ55" s="388"/>
      <c r="DA55" s="388"/>
      <c r="DB55" s="388"/>
      <c r="DC55" s="388"/>
      <c r="DD55" s="388"/>
      <c r="DE55" s="388"/>
      <c r="DF55" s="390"/>
      <c r="DG55" s="387"/>
      <c r="DH55" s="387"/>
      <c r="DI55" s="387"/>
      <c r="DJ55" s="387"/>
      <c r="DK55" s="388"/>
      <c r="DL55" s="388"/>
      <c r="DM55" s="388"/>
      <c r="DN55" s="1111"/>
      <c r="DO55" s="416"/>
      <c r="DP55" s="416"/>
      <c r="DQ55" s="388"/>
      <c r="DR55" s="388"/>
      <c r="DS55" s="388"/>
      <c r="DT55" s="388"/>
      <c r="DU55" s="388"/>
      <c r="DV55" s="388"/>
      <c r="DW55" s="388"/>
      <c r="DX55" s="388"/>
      <c r="DY55" s="388"/>
      <c r="DZ55" s="388"/>
      <c r="EA55" s="388"/>
      <c r="EB55" s="388"/>
      <c r="EC55" s="388"/>
      <c r="ED55" s="388"/>
      <c r="EE55" s="388"/>
      <c r="EF55" s="388"/>
      <c r="EG55" s="388"/>
      <c r="EH55" s="388"/>
      <c r="EI55" s="388"/>
      <c r="EJ55" s="388"/>
      <c r="EK55" s="388"/>
      <c r="EL55" s="388"/>
      <c r="EM55" s="388"/>
      <c r="EN55" s="388"/>
      <c r="EO55" s="388"/>
      <c r="EP55" s="388"/>
      <c r="EQ55" s="388"/>
      <c r="ER55" s="388"/>
      <c r="ES55" s="388"/>
      <c r="ET55" s="388"/>
      <c r="EU55" s="388"/>
      <c r="EV55" s="388"/>
      <c r="EW55" s="388"/>
      <c r="EX55" s="388"/>
      <c r="EY55" s="388"/>
      <c r="EZ55" s="388"/>
      <c r="FA55" s="388"/>
      <c r="FB55" s="388"/>
      <c r="FC55" s="388"/>
      <c r="FD55" s="388"/>
      <c r="FE55" s="388"/>
      <c r="FF55" s="388"/>
      <c r="FG55" s="388"/>
      <c r="FH55" s="388"/>
      <c r="FI55" s="390"/>
      <c r="FJ55" s="387"/>
      <c r="FK55" s="387"/>
      <c r="FL55" s="387"/>
      <c r="FM55" s="387"/>
      <c r="FN55" s="388"/>
      <c r="FO55" s="388"/>
      <c r="FP55" s="388"/>
      <c r="FQ55" s="416"/>
      <c r="FR55" s="1111"/>
      <c r="FS55" s="416"/>
      <c r="FT55" s="416"/>
      <c r="FU55" s="416"/>
      <c r="FV55" s="387"/>
      <c r="FW55" s="387"/>
      <c r="FX55" s="387"/>
      <c r="FY55" s="387"/>
      <c r="FZ55" s="387"/>
      <c r="GA55" s="387"/>
      <c r="GB55" s="387"/>
      <c r="GC55" s="387"/>
      <c r="GD55" s="387"/>
      <c r="GE55" s="1112"/>
      <c r="GF55" s="681"/>
      <c r="GG55" s="392"/>
      <c r="GH55" s="392"/>
      <c r="GI55" s="392"/>
      <c r="GJ55" s="527"/>
      <c r="GK55" s="414"/>
      <c r="GL55" s="1113">
        <v>12</v>
      </c>
      <c r="GM55" s="1114">
        <v>3</v>
      </c>
      <c r="GN55" s="1091">
        <v>0.78</v>
      </c>
      <c r="GO55" s="1092">
        <v>3.6</v>
      </c>
      <c r="GP55" s="1092">
        <v>7</v>
      </c>
      <c r="GQ55" s="1093">
        <v>10.6</v>
      </c>
      <c r="GR55" s="527"/>
      <c r="GS55" s="527"/>
      <c r="GT55" s="1115"/>
      <c r="GU55" s="1116"/>
      <c r="GV55" s="576"/>
      <c r="GW55" s="527"/>
      <c r="GX55" s="576"/>
      <c r="GY55" s="392"/>
      <c r="GZ55" s="526"/>
      <c r="HA55" s="577"/>
      <c r="HB55" s="526"/>
      <c r="HC55" s="392"/>
      <c r="HD55" s="388"/>
    </row>
    <row r="56" spans="1:212" ht="20.100000000000001" customHeight="1">
      <c r="A56" s="1117" t="s">
        <v>337</v>
      </c>
      <c r="B56" s="1118"/>
      <c r="C56" s="1118"/>
      <c r="D56" s="1118"/>
      <c r="E56" s="1119"/>
      <c r="F56" s="1120"/>
      <c r="G56" s="1121">
        <v>1</v>
      </c>
      <c r="H56" s="1122"/>
      <c r="I56" s="1123">
        <v>2</v>
      </c>
      <c r="J56" s="1122"/>
      <c r="K56" s="1123">
        <v>3</v>
      </c>
      <c r="L56" s="1122"/>
      <c r="M56" s="1123">
        <v>4</v>
      </c>
      <c r="N56" s="1122"/>
      <c r="O56" s="1123">
        <v>5</v>
      </c>
      <c r="P56" s="1122"/>
      <c r="Q56" s="1123">
        <v>6</v>
      </c>
      <c r="R56" s="1122"/>
      <c r="S56" s="1123">
        <v>7</v>
      </c>
      <c r="T56" s="1122"/>
      <c r="U56" s="1123">
        <v>8</v>
      </c>
      <c r="V56" s="1122"/>
      <c r="W56" s="1123">
        <v>9</v>
      </c>
      <c r="X56" s="1122"/>
      <c r="Y56" s="1123">
        <v>10</v>
      </c>
      <c r="Z56" s="1122"/>
      <c r="AA56" s="1123">
        <v>11</v>
      </c>
      <c r="AB56" s="1122"/>
      <c r="AC56" s="1123">
        <v>12</v>
      </c>
      <c r="AD56" s="1122"/>
      <c r="AE56" s="1123">
        <v>13</v>
      </c>
      <c r="AF56" s="1122"/>
      <c r="AG56" s="1123">
        <v>14</v>
      </c>
      <c r="AH56" s="1122"/>
      <c r="AI56" s="1123">
        <v>15</v>
      </c>
      <c r="AJ56" s="1122"/>
      <c r="AK56" s="1123">
        <v>16</v>
      </c>
      <c r="AL56" s="1122"/>
      <c r="AM56" s="1123">
        <v>17</v>
      </c>
      <c r="AN56" s="1122"/>
      <c r="AO56" s="1123">
        <v>18</v>
      </c>
      <c r="AP56" s="1122"/>
      <c r="AQ56" s="1123">
        <v>19</v>
      </c>
      <c r="AR56" s="1122"/>
      <c r="AS56" s="1123">
        <v>20</v>
      </c>
      <c r="AT56" s="1122"/>
      <c r="AU56" s="1123">
        <v>21</v>
      </c>
      <c r="AV56" s="1122"/>
      <c r="AW56" s="1123">
        <v>22</v>
      </c>
      <c r="AX56" s="1122"/>
      <c r="AY56" s="1123">
        <v>23</v>
      </c>
      <c r="AZ56" s="1122"/>
      <c r="BA56" s="1123">
        <v>24</v>
      </c>
      <c r="BB56" s="1124"/>
      <c r="BC56" s="1027"/>
      <c r="BD56" s="1117" t="s">
        <v>337</v>
      </c>
      <c r="BE56" s="1118"/>
      <c r="BF56" s="1118"/>
      <c r="BG56" s="1118"/>
      <c r="BH56" s="1119"/>
      <c r="BI56" s="1120"/>
      <c r="BJ56" s="1121">
        <v>1</v>
      </c>
      <c r="BK56" s="1122"/>
      <c r="BL56" s="1123">
        <v>2</v>
      </c>
      <c r="BM56" s="1122"/>
      <c r="BN56" s="1123">
        <v>3</v>
      </c>
      <c r="BO56" s="1122"/>
      <c r="BP56" s="1123">
        <v>4</v>
      </c>
      <c r="BQ56" s="1122"/>
      <c r="BR56" s="1123">
        <v>5</v>
      </c>
      <c r="BS56" s="1122"/>
      <c r="BT56" s="1123">
        <v>6</v>
      </c>
      <c r="BU56" s="1122"/>
      <c r="BV56" s="1123">
        <v>7</v>
      </c>
      <c r="BW56" s="1122"/>
      <c r="BX56" s="1123">
        <v>8</v>
      </c>
      <c r="BY56" s="1122"/>
      <c r="BZ56" s="1123">
        <v>9</v>
      </c>
      <c r="CA56" s="1122"/>
      <c r="CB56" s="1123">
        <v>10</v>
      </c>
      <c r="CC56" s="1122"/>
      <c r="CD56" s="1123">
        <v>11</v>
      </c>
      <c r="CE56" s="1122"/>
      <c r="CF56" s="1123">
        <v>12</v>
      </c>
      <c r="CG56" s="1122"/>
      <c r="CH56" s="1123">
        <v>13</v>
      </c>
      <c r="CI56" s="1122"/>
      <c r="CJ56" s="1123">
        <v>14</v>
      </c>
      <c r="CK56" s="1122"/>
      <c r="CL56" s="1123">
        <v>15</v>
      </c>
      <c r="CM56" s="1122"/>
      <c r="CN56" s="1123">
        <v>16</v>
      </c>
      <c r="CO56" s="1122"/>
      <c r="CP56" s="1123">
        <v>17</v>
      </c>
      <c r="CQ56" s="1122"/>
      <c r="CR56" s="1123">
        <v>18</v>
      </c>
      <c r="CS56" s="1122"/>
      <c r="CT56" s="1123">
        <v>19</v>
      </c>
      <c r="CU56" s="1122"/>
      <c r="CV56" s="1123">
        <v>20</v>
      </c>
      <c r="CW56" s="1122"/>
      <c r="CX56" s="1123">
        <v>21</v>
      </c>
      <c r="CY56" s="1122"/>
      <c r="CZ56" s="1123">
        <v>22</v>
      </c>
      <c r="DA56" s="1122"/>
      <c r="DB56" s="1123">
        <v>23</v>
      </c>
      <c r="DC56" s="1122"/>
      <c r="DD56" s="1123">
        <v>24</v>
      </c>
      <c r="DE56" s="1124"/>
      <c r="DF56" s="1027"/>
      <c r="DG56" s="1117" t="s">
        <v>337</v>
      </c>
      <c r="DH56" s="1118"/>
      <c r="DI56" s="1118"/>
      <c r="DJ56" s="1118"/>
      <c r="DK56" s="1119"/>
      <c r="DL56" s="1120"/>
      <c r="DM56" s="1121">
        <v>1</v>
      </c>
      <c r="DN56" s="1122"/>
      <c r="DO56" s="1123">
        <v>2</v>
      </c>
      <c r="DP56" s="1122"/>
      <c r="DQ56" s="1123">
        <v>3</v>
      </c>
      <c r="DR56" s="1122"/>
      <c r="DS56" s="1123">
        <v>4</v>
      </c>
      <c r="DT56" s="1122"/>
      <c r="DU56" s="1123">
        <v>5</v>
      </c>
      <c r="DV56" s="1122"/>
      <c r="DW56" s="1123">
        <v>6</v>
      </c>
      <c r="DX56" s="1122"/>
      <c r="DY56" s="1123">
        <v>7</v>
      </c>
      <c r="DZ56" s="1122"/>
      <c r="EA56" s="1123">
        <v>8</v>
      </c>
      <c r="EB56" s="1122"/>
      <c r="EC56" s="1123">
        <v>9</v>
      </c>
      <c r="ED56" s="1122"/>
      <c r="EE56" s="1123">
        <v>10</v>
      </c>
      <c r="EF56" s="1122"/>
      <c r="EG56" s="1123">
        <v>11</v>
      </c>
      <c r="EH56" s="1122"/>
      <c r="EI56" s="1123">
        <v>12</v>
      </c>
      <c r="EJ56" s="1122"/>
      <c r="EK56" s="1123">
        <v>13</v>
      </c>
      <c r="EL56" s="1122"/>
      <c r="EM56" s="1123">
        <v>14</v>
      </c>
      <c r="EN56" s="1122"/>
      <c r="EO56" s="1123">
        <v>15</v>
      </c>
      <c r="EP56" s="1122"/>
      <c r="EQ56" s="1123">
        <v>16</v>
      </c>
      <c r="ER56" s="1122"/>
      <c r="ES56" s="1123">
        <v>17</v>
      </c>
      <c r="ET56" s="1122"/>
      <c r="EU56" s="1123">
        <v>18</v>
      </c>
      <c r="EV56" s="1122"/>
      <c r="EW56" s="1123">
        <v>19</v>
      </c>
      <c r="EX56" s="1122"/>
      <c r="EY56" s="1123">
        <v>20</v>
      </c>
      <c r="EZ56" s="1122"/>
      <c r="FA56" s="1123">
        <v>21</v>
      </c>
      <c r="FB56" s="1122"/>
      <c r="FC56" s="1123">
        <v>22</v>
      </c>
      <c r="FD56" s="1122"/>
      <c r="FE56" s="1123">
        <v>23</v>
      </c>
      <c r="FF56" s="1122"/>
      <c r="FG56" s="1123">
        <v>24</v>
      </c>
      <c r="FH56" s="1124"/>
      <c r="FI56" s="1027"/>
      <c r="FJ56" s="1117" t="s">
        <v>338</v>
      </c>
      <c r="FK56" s="1118"/>
      <c r="FL56" s="1118"/>
      <c r="FM56" s="1118"/>
      <c r="FN56" s="1119"/>
      <c r="FO56" s="1119"/>
      <c r="FP56" s="1125" t="s">
        <v>339</v>
      </c>
      <c r="FQ56" s="1126"/>
      <c r="FR56" s="1127"/>
      <c r="FS56" s="1128" t="s">
        <v>297</v>
      </c>
      <c r="FT56" s="1129"/>
      <c r="FU56" s="1130"/>
      <c r="FV56" s="1131" t="s">
        <v>340</v>
      </c>
      <c r="FW56" s="1132"/>
      <c r="FX56" s="1133" t="s">
        <v>341</v>
      </c>
      <c r="FY56" s="1134"/>
      <c r="FZ56" s="1135" t="s">
        <v>342</v>
      </c>
      <c r="GA56" s="1136"/>
      <c r="GB56" s="1137" t="s">
        <v>343</v>
      </c>
      <c r="GC56" s="1122"/>
      <c r="GD56" s="1137" t="s">
        <v>344</v>
      </c>
      <c r="GE56" s="1124"/>
      <c r="GF56" s="681"/>
      <c r="GG56" s="480"/>
      <c r="GH56" s="480"/>
      <c r="GI56" s="480"/>
      <c r="GJ56" s="527"/>
      <c r="GK56" s="576"/>
      <c r="GL56" s="1089">
        <v>13</v>
      </c>
      <c r="GM56" s="1090">
        <v>4</v>
      </c>
      <c r="GN56" s="1091">
        <v>0.72</v>
      </c>
      <c r="GO56" s="1092">
        <v>3.3</v>
      </c>
      <c r="GP56" s="1092">
        <v>7</v>
      </c>
      <c r="GQ56" s="1093">
        <v>10.3</v>
      </c>
      <c r="GR56" s="527"/>
      <c r="GS56" s="526"/>
      <c r="GT56" s="1253"/>
      <c r="GU56" s="575"/>
      <c r="GV56" s="576"/>
      <c r="GW56" s="575"/>
      <c r="GX56" s="576"/>
      <c r="GY56" s="576"/>
      <c r="GZ56" s="497"/>
      <c r="HA56" s="575"/>
      <c r="HB56" s="497"/>
      <c r="HC56" s="483"/>
    </row>
    <row r="57" spans="1:212" ht="20.100000000000001" customHeight="1">
      <c r="A57" s="1138"/>
      <c r="B57" s="1139"/>
      <c r="C57" s="1139"/>
      <c r="D57" s="1139"/>
      <c r="E57" s="1140"/>
      <c r="F57" s="1141"/>
      <c r="G57" s="1142" t="s">
        <v>345</v>
      </c>
      <c r="H57" s="1143" t="s">
        <v>322</v>
      </c>
      <c r="I57" s="1144" t="s">
        <v>345</v>
      </c>
      <c r="J57" s="1143" t="s">
        <v>322</v>
      </c>
      <c r="K57" s="1144" t="s">
        <v>345</v>
      </c>
      <c r="L57" s="1143" t="s">
        <v>322</v>
      </c>
      <c r="M57" s="1144" t="s">
        <v>345</v>
      </c>
      <c r="N57" s="1143" t="s">
        <v>322</v>
      </c>
      <c r="O57" s="1144" t="s">
        <v>345</v>
      </c>
      <c r="P57" s="1143" t="s">
        <v>322</v>
      </c>
      <c r="Q57" s="1144" t="s">
        <v>345</v>
      </c>
      <c r="R57" s="1143" t="s">
        <v>322</v>
      </c>
      <c r="S57" s="1144" t="s">
        <v>345</v>
      </c>
      <c r="T57" s="1143" t="s">
        <v>322</v>
      </c>
      <c r="U57" s="1144" t="s">
        <v>345</v>
      </c>
      <c r="V57" s="1143" t="s">
        <v>322</v>
      </c>
      <c r="W57" s="1144" t="s">
        <v>345</v>
      </c>
      <c r="X57" s="1143" t="s">
        <v>322</v>
      </c>
      <c r="Y57" s="1144" t="s">
        <v>345</v>
      </c>
      <c r="Z57" s="1143" t="s">
        <v>322</v>
      </c>
      <c r="AA57" s="1144" t="s">
        <v>345</v>
      </c>
      <c r="AB57" s="1143" t="s">
        <v>322</v>
      </c>
      <c r="AC57" s="1144" t="s">
        <v>345</v>
      </c>
      <c r="AD57" s="1143" t="s">
        <v>345</v>
      </c>
      <c r="AE57" s="1144" t="s">
        <v>345</v>
      </c>
      <c r="AF57" s="1143" t="s">
        <v>322</v>
      </c>
      <c r="AG57" s="1144" t="s">
        <v>345</v>
      </c>
      <c r="AH57" s="1143" t="s">
        <v>322</v>
      </c>
      <c r="AI57" s="1144" t="s">
        <v>345</v>
      </c>
      <c r="AJ57" s="1143" t="s">
        <v>322</v>
      </c>
      <c r="AK57" s="1144" t="s">
        <v>345</v>
      </c>
      <c r="AL57" s="1143" t="s">
        <v>322</v>
      </c>
      <c r="AM57" s="1144" t="s">
        <v>345</v>
      </c>
      <c r="AN57" s="1143" t="s">
        <v>322</v>
      </c>
      <c r="AO57" s="1144" t="s">
        <v>345</v>
      </c>
      <c r="AP57" s="1143" t="s">
        <v>322</v>
      </c>
      <c r="AQ57" s="1144" t="s">
        <v>345</v>
      </c>
      <c r="AR57" s="1143" t="s">
        <v>322</v>
      </c>
      <c r="AS57" s="1144" t="s">
        <v>345</v>
      </c>
      <c r="AT57" s="1143" t="s">
        <v>322</v>
      </c>
      <c r="AU57" s="1144" t="s">
        <v>345</v>
      </c>
      <c r="AV57" s="1143" t="s">
        <v>322</v>
      </c>
      <c r="AW57" s="1144" t="s">
        <v>345</v>
      </c>
      <c r="AX57" s="1143" t="s">
        <v>322</v>
      </c>
      <c r="AY57" s="1144" t="s">
        <v>345</v>
      </c>
      <c r="AZ57" s="1143" t="s">
        <v>322</v>
      </c>
      <c r="BA57" s="1145" t="s">
        <v>345</v>
      </c>
      <c r="BB57" s="1146" t="s">
        <v>322</v>
      </c>
      <c r="BC57" s="1041"/>
      <c r="BD57" s="1138"/>
      <c r="BE57" s="1139"/>
      <c r="BF57" s="1139"/>
      <c r="BG57" s="1139"/>
      <c r="BH57" s="1140"/>
      <c r="BI57" s="1141"/>
      <c r="BJ57" s="1142" t="s">
        <v>345</v>
      </c>
      <c r="BK57" s="1143" t="s">
        <v>322</v>
      </c>
      <c r="BL57" s="1144" t="s">
        <v>345</v>
      </c>
      <c r="BM57" s="1143" t="s">
        <v>322</v>
      </c>
      <c r="BN57" s="1144" t="s">
        <v>345</v>
      </c>
      <c r="BO57" s="1143" t="s">
        <v>322</v>
      </c>
      <c r="BP57" s="1144" t="s">
        <v>345</v>
      </c>
      <c r="BQ57" s="1143" t="s">
        <v>322</v>
      </c>
      <c r="BR57" s="1144" t="s">
        <v>345</v>
      </c>
      <c r="BS57" s="1143" t="s">
        <v>322</v>
      </c>
      <c r="BT57" s="1144" t="s">
        <v>345</v>
      </c>
      <c r="BU57" s="1143" t="s">
        <v>322</v>
      </c>
      <c r="BV57" s="1144" t="s">
        <v>345</v>
      </c>
      <c r="BW57" s="1143" t="s">
        <v>322</v>
      </c>
      <c r="BX57" s="1144" t="s">
        <v>345</v>
      </c>
      <c r="BY57" s="1143" t="s">
        <v>322</v>
      </c>
      <c r="BZ57" s="1144" t="s">
        <v>345</v>
      </c>
      <c r="CA57" s="1143" t="s">
        <v>322</v>
      </c>
      <c r="CB57" s="1144" t="s">
        <v>345</v>
      </c>
      <c r="CC57" s="1143" t="s">
        <v>322</v>
      </c>
      <c r="CD57" s="1144" t="s">
        <v>345</v>
      </c>
      <c r="CE57" s="1143" t="s">
        <v>322</v>
      </c>
      <c r="CF57" s="1144" t="s">
        <v>345</v>
      </c>
      <c r="CG57" s="1143" t="s">
        <v>345</v>
      </c>
      <c r="CH57" s="1144" t="s">
        <v>345</v>
      </c>
      <c r="CI57" s="1143" t="s">
        <v>322</v>
      </c>
      <c r="CJ57" s="1144" t="s">
        <v>345</v>
      </c>
      <c r="CK57" s="1143" t="s">
        <v>322</v>
      </c>
      <c r="CL57" s="1144" t="s">
        <v>345</v>
      </c>
      <c r="CM57" s="1143" t="s">
        <v>322</v>
      </c>
      <c r="CN57" s="1144" t="s">
        <v>345</v>
      </c>
      <c r="CO57" s="1143" t="s">
        <v>322</v>
      </c>
      <c r="CP57" s="1144" t="s">
        <v>345</v>
      </c>
      <c r="CQ57" s="1143" t="s">
        <v>322</v>
      </c>
      <c r="CR57" s="1144" t="s">
        <v>345</v>
      </c>
      <c r="CS57" s="1143" t="s">
        <v>322</v>
      </c>
      <c r="CT57" s="1144" t="s">
        <v>345</v>
      </c>
      <c r="CU57" s="1143" t="s">
        <v>322</v>
      </c>
      <c r="CV57" s="1144" t="s">
        <v>345</v>
      </c>
      <c r="CW57" s="1143" t="s">
        <v>322</v>
      </c>
      <c r="CX57" s="1144" t="s">
        <v>345</v>
      </c>
      <c r="CY57" s="1143" t="s">
        <v>322</v>
      </c>
      <c r="CZ57" s="1144" t="s">
        <v>345</v>
      </c>
      <c r="DA57" s="1143" t="s">
        <v>322</v>
      </c>
      <c r="DB57" s="1144" t="s">
        <v>345</v>
      </c>
      <c r="DC57" s="1143" t="s">
        <v>322</v>
      </c>
      <c r="DD57" s="1145" t="s">
        <v>345</v>
      </c>
      <c r="DE57" s="1146" t="s">
        <v>322</v>
      </c>
      <c r="DF57" s="1041"/>
      <c r="DG57" s="1138"/>
      <c r="DH57" s="1139"/>
      <c r="DI57" s="1139"/>
      <c r="DJ57" s="1139"/>
      <c r="DK57" s="1140"/>
      <c r="DL57" s="1141"/>
      <c r="DM57" s="1142" t="s">
        <v>345</v>
      </c>
      <c r="DN57" s="1143" t="s">
        <v>322</v>
      </c>
      <c r="DO57" s="1144" t="s">
        <v>345</v>
      </c>
      <c r="DP57" s="1143" t="s">
        <v>322</v>
      </c>
      <c r="DQ57" s="1144" t="s">
        <v>345</v>
      </c>
      <c r="DR57" s="1143" t="s">
        <v>322</v>
      </c>
      <c r="DS57" s="1144" t="s">
        <v>345</v>
      </c>
      <c r="DT57" s="1143" t="s">
        <v>322</v>
      </c>
      <c r="DU57" s="1144" t="s">
        <v>345</v>
      </c>
      <c r="DV57" s="1143" t="s">
        <v>322</v>
      </c>
      <c r="DW57" s="1144" t="s">
        <v>345</v>
      </c>
      <c r="DX57" s="1143" t="s">
        <v>322</v>
      </c>
      <c r="DY57" s="1144" t="s">
        <v>345</v>
      </c>
      <c r="DZ57" s="1143" t="s">
        <v>322</v>
      </c>
      <c r="EA57" s="1144" t="s">
        <v>345</v>
      </c>
      <c r="EB57" s="1143" t="s">
        <v>322</v>
      </c>
      <c r="EC57" s="1144" t="s">
        <v>345</v>
      </c>
      <c r="ED57" s="1143" t="s">
        <v>322</v>
      </c>
      <c r="EE57" s="1144" t="s">
        <v>345</v>
      </c>
      <c r="EF57" s="1143" t="s">
        <v>322</v>
      </c>
      <c r="EG57" s="1144" t="s">
        <v>345</v>
      </c>
      <c r="EH57" s="1143" t="s">
        <v>322</v>
      </c>
      <c r="EI57" s="1144" t="s">
        <v>345</v>
      </c>
      <c r="EJ57" s="1143" t="s">
        <v>345</v>
      </c>
      <c r="EK57" s="1144" t="s">
        <v>345</v>
      </c>
      <c r="EL57" s="1143" t="s">
        <v>322</v>
      </c>
      <c r="EM57" s="1144" t="s">
        <v>345</v>
      </c>
      <c r="EN57" s="1143" t="s">
        <v>322</v>
      </c>
      <c r="EO57" s="1144" t="s">
        <v>345</v>
      </c>
      <c r="EP57" s="1143" t="s">
        <v>322</v>
      </c>
      <c r="EQ57" s="1144" t="s">
        <v>345</v>
      </c>
      <c r="ER57" s="1143" t="s">
        <v>322</v>
      </c>
      <c r="ES57" s="1144" t="s">
        <v>345</v>
      </c>
      <c r="ET57" s="1143" t="s">
        <v>322</v>
      </c>
      <c r="EU57" s="1144" t="s">
        <v>345</v>
      </c>
      <c r="EV57" s="1143" t="s">
        <v>322</v>
      </c>
      <c r="EW57" s="1144" t="s">
        <v>345</v>
      </c>
      <c r="EX57" s="1143" t="s">
        <v>322</v>
      </c>
      <c r="EY57" s="1144" t="s">
        <v>345</v>
      </c>
      <c r="EZ57" s="1143" t="s">
        <v>322</v>
      </c>
      <c r="FA57" s="1144" t="s">
        <v>345</v>
      </c>
      <c r="FB57" s="1143" t="s">
        <v>322</v>
      </c>
      <c r="FC57" s="1144" t="s">
        <v>345</v>
      </c>
      <c r="FD57" s="1143" t="s">
        <v>322</v>
      </c>
      <c r="FE57" s="1144" t="s">
        <v>345</v>
      </c>
      <c r="FF57" s="1143" t="s">
        <v>322</v>
      </c>
      <c r="FG57" s="1145" t="s">
        <v>345</v>
      </c>
      <c r="FH57" s="1146" t="s">
        <v>322</v>
      </c>
      <c r="FI57" s="1041"/>
      <c r="FJ57" s="1138"/>
      <c r="FK57" s="1139"/>
      <c r="FL57" s="1139"/>
      <c r="FM57" s="1139"/>
      <c r="FN57" s="1140"/>
      <c r="FO57" s="1141"/>
      <c r="FP57" s="1147" t="s">
        <v>45</v>
      </c>
      <c r="FQ57" s="1145" t="s">
        <v>345</v>
      </c>
      <c r="FR57" s="1143" t="s">
        <v>324</v>
      </c>
      <c r="FS57" s="1148" t="s">
        <v>45</v>
      </c>
      <c r="FT57" s="1145" t="s">
        <v>345</v>
      </c>
      <c r="FU57" s="1149" t="s">
        <v>324</v>
      </c>
      <c r="FV57" s="1150" t="s">
        <v>45</v>
      </c>
      <c r="FW57" s="1143" t="s">
        <v>322</v>
      </c>
      <c r="FX57" s="1148" t="s">
        <v>45</v>
      </c>
      <c r="FY57" s="1143" t="s">
        <v>322</v>
      </c>
      <c r="FZ57" s="1148" t="s">
        <v>45</v>
      </c>
      <c r="GA57" s="1143" t="s">
        <v>322</v>
      </c>
      <c r="GB57" s="1148" t="s">
        <v>45</v>
      </c>
      <c r="GC57" s="1143" t="s">
        <v>322</v>
      </c>
      <c r="GD57" s="1148" t="s">
        <v>45</v>
      </c>
      <c r="GE57" s="1146" t="s">
        <v>324</v>
      </c>
      <c r="GF57" s="681"/>
      <c r="GG57" s="652"/>
      <c r="GH57" s="652"/>
      <c r="GI57" s="652"/>
      <c r="GJ57" s="942"/>
      <c r="GK57" s="410"/>
      <c r="GL57" s="1113">
        <v>14</v>
      </c>
      <c r="GM57" s="1114">
        <v>5</v>
      </c>
      <c r="GN57" s="1091">
        <v>0.66</v>
      </c>
      <c r="GO57" s="1092">
        <v>3</v>
      </c>
      <c r="GP57" s="1092">
        <v>7</v>
      </c>
      <c r="GQ57" s="1093">
        <v>10</v>
      </c>
      <c r="GR57" s="942"/>
      <c r="GS57" s="526"/>
      <c r="GT57" s="1253"/>
      <c r="GU57" s="575"/>
      <c r="GV57" s="575"/>
      <c r="GW57" s="497"/>
      <c r="GX57" s="1256"/>
      <c r="GY57" s="576"/>
      <c r="GZ57" s="497"/>
      <c r="HA57" s="575"/>
      <c r="HB57" s="497"/>
      <c r="HC57" s="1041"/>
    </row>
    <row r="58" spans="1:212" ht="20.100000000000001" customHeight="1">
      <c r="A58" s="1151" t="s">
        <v>695</v>
      </c>
      <c r="B58" s="1152"/>
      <c r="C58" s="1152"/>
      <c r="D58" s="1152"/>
      <c r="E58" s="1153"/>
      <c r="F58" s="1154"/>
      <c r="G58" s="1155"/>
      <c r="H58" s="1156"/>
      <c r="I58" s="1157"/>
      <c r="J58" s="1156"/>
      <c r="K58" s="1157"/>
      <c r="L58" s="1156"/>
      <c r="M58" s="1157"/>
      <c r="N58" s="1156"/>
      <c r="O58" s="1157"/>
      <c r="P58" s="1156"/>
      <c r="Q58" s="1157"/>
      <c r="R58" s="1156"/>
      <c r="S58" s="1157"/>
      <c r="T58" s="1156"/>
      <c r="U58" s="1157"/>
      <c r="V58" s="1156"/>
      <c r="W58" s="1157"/>
      <c r="X58" s="1156">
        <v>120</v>
      </c>
      <c r="Y58" s="1157"/>
      <c r="Z58" s="1156">
        <v>120</v>
      </c>
      <c r="AA58" s="1157"/>
      <c r="AB58" s="1156">
        <v>120</v>
      </c>
      <c r="AC58" s="1157"/>
      <c r="AD58" s="1156">
        <v>120</v>
      </c>
      <c r="AE58" s="1157"/>
      <c r="AF58" s="1156">
        <v>120</v>
      </c>
      <c r="AG58" s="1157"/>
      <c r="AH58" s="1156">
        <v>120</v>
      </c>
      <c r="AI58" s="1157"/>
      <c r="AJ58" s="1156">
        <v>120</v>
      </c>
      <c r="AK58" s="1157"/>
      <c r="AL58" s="1156">
        <v>120</v>
      </c>
      <c r="AM58" s="1157"/>
      <c r="AN58" s="1156">
        <v>120</v>
      </c>
      <c r="AO58" s="1157"/>
      <c r="AP58" s="1156">
        <v>120</v>
      </c>
      <c r="AQ58" s="1157"/>
      <c r="AR58" s="1156"/>
      <c r="AS58" s="1157"/>
      <c r="AT58" s="1156"/>
      <c r="AU58" s="1157"/>
      <c r="AV58" s="1156"/>
      <c r="AW58" s="1157"/>
      <c r="AX58" s="1156"/>
      <c r="AY58" s="1157"/>
      <c r="AZ58" s="1156"/>
      <c r="BA58" s="1157"/>
      <c r="BB58" s="558"/>
      <c r="BC58" s="560"/>
      <c r="BD58" s="1151" t="s">
        <v>660</v>
      </c>
      <c r="BE58" s="1152"/>
      <c r="BF58" s="1152"/>
      <c r="BG58" s="1152"/>
      <c r="BH58" s="1153"/>
      <c r="BI58" s="1154"/>
      <c r="BJ58" s="1155"/>
      <c r="BK58" s="1156"/>
      <c r="BL58" s="1157"/>
      <c r="BM58" s="1156"/>
      <c r="BN58" s="1157"/>
      <c r="BO58" s="1156"/>
      <c r="BP58" s="1157"/>
      <c r="BQ58" s="1156"/>
      <c r="BR58" s="1157"/>
      <c r="BS58" s="1156"/>
      <c r="BT58" s="1157"/>
      <c r="BU58" s="1156"/>
      <c r="BV58" s="1157"/>
      <c r="BW58" s="1156"/>
      <c r="BX58" s="1157"/>
      <c r="BY58" s="1156"/>
      <c r="BZ58" s="1157"/>
      <c r="CA58" s="1156">
        <v>120</v>
      </c>
      <c r="CB58" s="1157"/>
      <c r="CC58" s="1156">
        <v>120</v>
      </c>
      <c r="CD58" s="1157"/>
      <c r="CE58" s="1156">
        <v>120</v>
      </c>
      <c r="CF58" s="1157"/>
      <c r="CG58" s="1156">
        <v>120</v>
      </c>
      <c r="CH58" s="1157"/>
      <c r="CI58" s="1156">
        <v>120</v>
      </c>
      <c r="CJ58" s="1157"/>
      <c r="CK58" s="1156">
        <v>120</v>
      </c>
      <c r="CL58" s="1157"/>
      <c r="CM58" s="1156">
        <v>120</v>
      </c>
      <c r="CN58" s="1157"/>
      <c r="CO58" s="1156">
        <v>120</v>
      </c>
      <c r="CP58" s="1157"/>
      <c r="CQ58" s="1156">
        <v>120</v>
      </c>
      <c r="CR58" s="1157"/>
      <c r="CS58" s="1156">
        <v>120</v>
      </c>
      <c r="CT58" s="1157"/>
      <c r="CU58" s="1156"/>
      <c r="CV58" s="1157"/>
      <c r="CW58" s="1156"/>
      <c r="CX58" s="1157"/>
      <c r="CY58" s="1156"/>
      <c r="CZ58" s="1157"/>
      <c r="DA58" s="1156"/>
      <c r="DB58" s="1157"/>
      <c r="DC58" s="1156"/>
      <c r="DD58" s="1157"/>
      <c r="DE58" s="558"/>
      <c r="DF58" s="559"/>
      <c r="DG58" s="1151" t="s">
        <v>660</v>
      </c>
      <c r="DH58" s="1152"/>
      <c r="DI58" s="1152"/>
      <c r="DJ58" s="1152"/>
      <c r="DK58" s="1153"/>
      <c r="DL58" s="1154"/>
      <c r="DM58" s="1155"/>
      <c r="DN58" s="1156"/>
      <c r="DO58" s="1157"/>
      <c r="DP58" s="1156"/>
      <c r="DQ58" s="1157"/>
      <c r="DR58" s="1156"/>
      <c r="DS58" s="1157"/>
      <c r="DT58" s="1156"/>
      <c r="DU58" s="1157"/>
      <c r="DV58" s="1156"/>
      <c r="DW58" s="1157"/>
      <c r="DX58" s="1156"/>
      <c r="DY58" s="1157"/>
      <c r="DZ58" s="1156"/>
      <c r="EA58" s="1157"/>
      <c r="EB58" s="1156"/>
      <c r="EC58" s="1157"/>
      <c r="ED58" s="1156">
        <v>120</v>
      </c>
      <c r="EE58" s="1157"/>
      <c r="EF58" s="1156">
        <v>120</v>
      </c>
      <c r="EG58" s="1157"/>
      <c r="EH58" s="1156">
        <v>120</v>
      </c>
      <c r="EI58" s="1157"/>
      <c r="EJ58" s="1156">
        <v>120</v>
      </c>
      <c r="EK58" s="1157"/>
      <c r="EL58" s="1156">
        <v>120</v>
      </c>
      <c r="EM58" s="1157"/>
      <c r="EN58" s="1156">
        <v>120</v>
      </c>
      <c r="EO58" s="1157"/>
      <c r="EP58" s="1156">
        <v>120</v>
      </c>
      <c r="EQ58" s="1157"/>
      <c r="ER58" s="1156">
        <v>120</v>
      </c>
      <c r="ES58" s="1157"/>
      <c r="ET58" s="1156">
        <v>120</v>
      </c>
      <c r="EU58" s="1157"/>
      <c r="EV58" s="1156">
        <v>120</v>
      </c>
      <c r="EW58" s="1157"/>
      <c r="EX58" s="1156"/>
      <c r="EY58" s="1157"/>
      <c r="EZ58" s="1156"/>
      <c r="FA58" s="1157"/>
      <c r="FB58" s="1156"/>
      <c r="FC58" s="1157"/>
      <c r="FD58" s="1156"/>
      <c r="FE58" s="1157"/>
      <c r="FF58" s="1156"/>
      <c r="FG58" s="1157"/>
      <c r="FH58" s="558"/>
      <c r="FI58" s="560"/>
      <c r="FJ58" s="1151" t="s">
        <v>660</v>
      </c>
      <c r="FK58" s="1152"/>
      <c r="FL58" s="1152"/>
      <c r="FM58" s="1152"/>
      <c r="FN58" s="1153"/>
      <c r="FO58" s="1154"/>
      <c r="FP58" s="1158"/>
      <c r="FQ58" s="1159"/>
      <c r="FR58" s="1156">
        <v>120</v>
      </c>
      <c r="FS58" s="1160"/>
      <c r="FT58" s="1159"/>
      <c r="FU58" s="1161">
        <v>120</v>
      </c>
      <c r="FV58" s="1162"/>
      <c r="FW58" s="1163"/>
      <c r="FX58" s="1164"/>
      <c r="FY58" s="1163"/>
      <c r="FZ58" s="1164"/>
      <c r="GA58" s="1163"/>
      <c r="GB58" s="1164"/>
      <c r="GC58" s="1163"/>
      <c r="GD58" s="1164"/>
      <c r="GE58" s="1165"/>
      <c r="GF58" s="681"/>
      <c r="GG58" s="599"/>
      <c r="GH58" s="599"/>
      <c r="GI58" s="599"/>
      <c r="GJ58" s="942"/>
      <c r="GK58" s="1166"/>
      <c r="GL58" s="1089">
        <v>15</v>
      </c>
      <c r="GM58" s="1090">
        <v>6</v>
      </c>
      <c r="GN58" s="1091">
        <v>0.61</v>
      </c>
      <c r="GO58" s="1092">
        <v>2.8</v>
      </c>
      <c r="GP58" s="1092">
        <v>7</v>
      </c>
      <c r="GQ58" s="1093">
        <v>9.8000000000000007</v>
      </c>
      <c r="GR58" s="942"/>
      <c r="GS58" s="527"/>
      <c r="GT58" s="682"/>
      <c r="GU58" s="497"/>
      <c r="GV58" s="575"/>
      <c r="GW58" s="497"/>
      <c r="GX58" s="1256"/>
      <c r="GY58" s="1254"/>
      <c r="GZ58" s="576"/>
      <c r="HA58" s="575"/>
      <c r="HB58" s="497"/>
      <c r="HC58" s="559"/>
      <c r="HD58" s="1167"/>
    </row>
    <row r="59" spans="1:212" ht="20.100000000000001" customHeight="1">
      <c r="A59" s="1168" t="s">
        <v>661</v>
      </c>
      <c r="B59" s="1169"/>
      <c r="C59" s="1169"/>
      <c r="D59" s="1170" t="s">
        <v>662</v>
      </c>
      <c r="E59" s="1171"/>
      <c r="F59" s="1010"/>
      <c r="G59" s="1172">
        <v>0</v>
      </c>
      <c r="H59" s="582">
        <v>0</v>
      </c>
      <c r="I59" s="1173">
        <v>0</v>
      </c>
      <c r="J59" s="584">
        <v>0</v>
      </c>
      <c r="K59" s="1173">
        <v>0</v>
      </c>
      <c r="L59" s="584">
        <v>0</v>
      </c>
      <c r="M59" s="1173">
        <v>0</v>
      </c>
      <c r="N59" s="584">
        <v>0</v>
      </c>
      <c r="O59" s="1173">
        <v>0</v>
      </c>
      <c r="P59" s="584">
        <v>0</v>
      </c>
      <c r="Q59" s="1173">
        <v>0</v>
      </c>
      <c r="R59" s="584">
        <v>0</v>
      </c>
      <c r="S59" s="1173">
        <v>0</v>
      </c>
      <c r="T59" s="584">
        <v>0</v>
      </c>
      <c r="U59" s="1173">
        <v>0</v>
      </c>
      <c r="V59" s="584">
        <v>0</v>
      </c>
      <c r="W59" s="1173">
        <v>21.6</v>
      </c>
      <c r="X59" s="584">
        <v>864</v>
      </c>
      <c r="Y59" s="1173">
        <v>22.5</v>
      </c>
      <c r="Z59" s="584">
        <v>900</v>
      </c>
      <c r="AA59" s="1173">
        <v>22.8</v>
      </c>
      <c r="AB59" s="584">
        <v>912</v>
      </c>
      <c r="AC59" s="1173">
        <v>24.1</v>
      </c>
      <c r="AD59" s="584">
        <v>964</v>
      </c>
      <c r="AE59" s="1173">
        <v>23.7</v>
      </c>
      <c r="AF59" s="584">
        <v>948</v>
      </c>
      <c r="AG59" s="1173">
        <v>23</v>
      </c>
      <c r="AH59" s="584">
        <v>920</v>
      </c>
      <c r="AI59" s="1173">
        <v>23</v>
      </c>
      <c r="AJ59" s="584">
        <v>920</v>
      </c>
      <c r="AK59" s="1173">
        <v>22.7</v>
      </c>
      <c r="AL59" s="584">
        <v>908</v>
      </c>
      <c r="AM59" s="1173">
        <v>22</v>
      </c>
      <c r="AN59" s="584">
        <v>880</v>
      </c>
      <c r="AO59" s="1173">
        <v>21.3</v>
      </c>
      <c r="AP59" s="584">
        <v>852</v>
      </c>
      <c r="AQ59" s="1173">
        <v>0</v>
      </c>
      <c r="AR59" s="584">
        <v>0</v>
      </c>
      <c r="AS59" s="1173">
        <v>0</v>
      </c>
      <c r="AT59" s="584">
        <v>0</v>
      </c>
      <c r="AU59" s="1173">
        <v>0</v>
      </c>
      <c r="AV59" s="584">
        <v>0</v>
      </c>
      <c r="AW59" s="1173">
        <v>0</v>
      </c>
      <c r="AX59" s="584">
        <v>0</v>
      </c>
      <c r="AY59" s="1173">
        <v>0</v>
      </c>
      <c r="AZ59" s="584">
        <v>0</v>
      </c>
      <c r="BA59" s="1173">
        <v>0</v>
      </c>
      <c r="BB59" s="586">
        <v>0</v>
      </c>
      <c r="BC59" s="560"/>
      <c r="BD59" s="1168" t="s">
        <v>661</v>
      </c>
      <c r="BE59" s="1169"/>
      <c r="BF59" s="1169"/>
      <c r="BG59" s="1170" t="s">
        <v>662</v>
      </c>
      <c r="BH59" s="1171"/>
      <c r="BI59" s="1010"/>
      <c r="BJ59" s="1172">
        <v>0</v>
      </c>
      <c r="BK59" s="582">
        <v>0</v>
      </c>
      <c r="BL59" s="1173">
        <v>0</v>
      </c>
      <c r="BM59" s="584">
        <v>0</v>
      </c>
      <c r="BN59" s="1173">
        <v>0</v>
      </c>
      <c r="BO59" s="584">
        <v>0</v>
      </c>
      <c r="BP59" s="1173">
        <v>0</v>
      </c>
      <c r="BQ59" s="584">
        <v>0</v>
      </c>
      <c r="BR59" s="1173">
        <v>0</v>
      </c>
      <c r="BS59" s="584">
        <v>0</v>
      </c>
      <c r="BT59" s="1173">
        <v>0</v>
      </c>
      <c r="BU59" s="584">
        <v>0</v>
      </c>
      <c r="BV59" s="1173">
        <v>0</v>
      </c>
      <c r="BW59" s="584">
        <v>0</v>
      </c>
      <c r="BX59" s="1173">
        <v>0</v>
      </c>
      <c r="BY59" s="584">
        <v>0</v>
      </c>
      <c r="BZ59" s="1173">
        <v>16.5</v>
      </c>
      <c r="CA59" s="584">
        <v>660</v>
      </c>
      <c r="CB59" s="1173">
        <v>17.3</v>
      </c>
      <c r="CC59" s="584">
        <v>692</v>
      </c>
      <c r="CD59" s="1173">
        <v>18.2</v>
      </c>
      <c r="CE59" s="584">
        <v>728</v>
      </c>
      <c r="CF59" s="1173">
        <v>18.899999999999999</v>
      </c>
      <c r="CG59" s="584">
        <v>756</v>
      </c>
      <c r="CH59" s="1173">
        <v>19.3</v>
      </c>
      <c r="CI59" s="584">
        <v>772</v>
      </c>
      <c r="CJ59" s="1173">
        <v>18.600000000000001</v>
      </c>
      <c r="CK59" s="584">
        <v>744</v>
      </c>
      <c r="CL59" s="1173">
        <v>18.399999999999999</v>
      </c>
      <c r="CM59" s="584">
        <v>736</v>
      </c>
      <c r="CN59" s="1173">
        <v>18.2</v>
      </c>
      <c r="CO59" s="584">
        <v>728</v>
      </c>
      <c r="CP59" s="1173">
        <v>18.2</v>
      </c>
      <c r="CQ59" s="584">
        <v>728</v>
      </c>
      <c r="CR59" s="1173">
        <v>17.5</v>
      </c>
      <c r="CS59" s="584">
        <v>700</v>
      </c>
      <c r="CT59" s="1173">
        <v>0</v>
      </c>
      <c r="CU59" s="584">
        <v>0</v>
      </c>
      <c r="CV59" s="1173">
        <v>0</v>
      </c>
      <c r="CW59" s="584">
        <v>0</v>
      </c>
      <c r="CX59" s="1173">
        <v>0</v>
      </c>
      <c r="CY59" s="584">
        <v>0</v>
      </c>
      <c r="CZ59" s="1173">
        <v>0</v>
      </c>
      <c r="DA59" s="584">
        <v>0</v>
      </c>
      <c r="DB59" s="1173">
        <v>0</v>
      </c>
      <c r="DC59" s="584">
        <v>0</v>
      </c>
      <c r="DD59" s="1173">
        <v>0</v>
      </c>
      <c r="DE59" s="586">
        <v>0</v>
      </c>
      <c r="DF59" s="559"/>
      <c r="DG59" s="1168" t="s">
        <v>661</v>
      </c>
      <c r="DH59" s="1169"/>
      <c r="DI59" s="1169"/>
      <c r="DJ59" s="1170" t="s">
        <v>662</v>
      </c>
      <c r="DK59" s="1171"/>
      <c r="DL59" s="1010"/>
      <c r="DM59" s="1172">
        <v>0</v>
      </c>
      <c r="DN59" s="582">
        <v>0</v>
      </c>
      <c r="DO59" s="1173">
        <v>0</v>
      </c>
      <c r="DP59" s="584">
        <v>0</v>
      </c>
      <c r="DQ59" s="1173">
        <v>0</v>
      </c>
      <c r="DR59" s="584">
        <v>0</v>
      </c>
      <c r="DS59" s="1173">
        <v>0</v>
      </c>
      <c r="DT59" s="584">
        <v>0</v>
      </c>
      <c r="DU59" s="1173">
        <v>0</v>
      </c>
      <c r="DV59" s="584">
        <v>0</v>
      </c>
      <c r="DW59" s="1173">
        <v>0</v>
      </c>
      <c r="DX59" s="584">
        <v>0</v>
      </c>
      <c r="DY59" s="1173">
        <v>0</v>
      </c>
      <c r="DZ59" s="584">
        <v>0</v>
      </c>
      <c r="EA59" s="1173">
        <v>0</v>
      </c>
      <c r="EB59" s="584">
        <v>0</v>
      </c>
      <c r="EC59" s="1173">
        <v>7.7</v>
      </c>
      <c r="ED59" s="584">
        <v>308</v>
      </c>
      <c r="EE59" s="1173">
        <v>8.8000000000000007</v>
      </c>
      <c r="EF59" s="584">
        <v>352</v>
      </c>
      <c r="EG59" s="1173">
        <v>8.9</v>
      </c>
      <c r="EH59" s="584">
        <v>356</v>
      </c>
      <c r="EI59" s="1173">
        <v>9.3000000000000007</v>
      </c>
      <c r="EJ59" s="584">
        <v>372</v>
      </c>
      <c r="EK59" s="1173">
        <v>9</v>
      </c>
      <c r="EL59" s="584">
        <v>360</v>
      </c>
      <c r="EM59" s="1173">
        <v>8.5</v>
      </c>
      <c r="EN59" s="584">
        <v>340</v>
      </c>
      <c r="EO59" s="1173">
        <v>8.3000000000000007</v>
      </c>
      <c r="EP59" s="584">
        <v>332</v>
      </c>
      <c r="EQ59" s="1173">
        <v>8.4</v>
      </c>
      <c r="ER59" s="584">
        <v>336</v>
      </c>
      <c r="ES59" s="1173">
        <v>7.9</v>
      </c>
      <c r="ET59" s="584">
        <v>316</v>
      </c>
      <c r="EU59" s="1173">
        <v>8.4</v>
      </c>
      <c r="EV59" s="584">
        <v>336</v>
      </c>
      <c r="EW59" s="1173">
        <v>0</v>
      </c>
      <c r="EX59" s="584">
        <v>0</v>
      </c>
      <c r="EY59" s="1173">
        <v>0</v>
      </c>
      <c r="EZ59" s="584">
        <v>0</v>
      </c>
      <c r="FA59" s="1173">
        <v>0</v>
      </c>
      <c r="FB59" s="584">
        <v>0</v>
      </c>
      <c r="FC59" s="1173">
        <v>0</v>
      </c>
      <c r="FD59" s="584">
        <v>0</v>
      </c>
      <c r="FE59" s="1173">
        <v>0</v>
      </c>
      <c r="FF59" s="584">
        <v>0</v>
      </c>
      <c r="FG59" s="1173">
        <v>0</v>
      </c>
      <c r="FH59" s="586">
        <v>0</v>
      </c>
      <c r="FI59" s="560"/>
      <c r="FJ59" s="1168" t="s">
        <v>661</v>
      </c>
      <c r="FK59" s="1169"/>
      <c r="FL59" s="1169"/>
      <c r="FM59" s="1170" t="s">
        <v>662</v>
      </c>
      <c r="FN59" s="1171"/>
      <c r="FO59" s="1010"/>
      <c r="FP59" s="622">
        <v>9</v>
      </c>
      <c r="FQ59" s="1174">
        <v>29.8</v>
      </c>
      <c r="FR59" s="1175">
        <v>1192</v>
      </c>
      <c r="FS59" s="1176">
        <v>9</v>
      </c>
      <c r="FT59" s="1174">
        <v>26.1</v>
      </c>
      <c r="FU59" s="1177">
        <v>1044</v>
      </c>
      <c r="FV59" s="1257" t="s">
        <v>663</v>
      </c>
      <c r="FW59" s="1258"/>
      <c r="FX59" s="1259" t="s">
        <v>663</v>
      </c>
      <c r="FY59" s="1258"/>
      <c r="FZ59" s="1259" t="s">
        <v>663</v>
      </c>
      <c r="GA59" s="1258"/>
      <c r="GB59" s="1259" t="s">
        <v>663</v>
      </c>
      <c r="GC59" s="1258"/>
      <c r="GD59" s="1259" t="s">
        <v>663</v>
      </c>
      <c r="GE59" s="1263"/>
      <c r="GF59" s="681"/>
      <c r="GG59" s="1182"/>
      <c r="GH59" s="1182"/>
      <c r="GI59" s="1182"/>
      <c r="GJ59" s="882"/>
      <c r="GK59" s="410"/>
      <c r="GL59" s="1113">
        <v>16</v>
      </c>
      <c r="GM59" s="1114">
        <v>7</v>
      </c>
      <c r="GN59" s="1091">
        <v>0.56000000000000005</v>
      </c>
      <c r="GO59" s="1092">
        <v>2.6</v>
      </c>
      <c r="GP59" s="1092">
        <v>7</v>
      </c>
      <c r="GQ59" s="1093">
        <v>9.6</v>
      </c>
      <c r="GR59" s="882"/>
      <c r="GS59" s="392"/>
      <c r="GT59" s="1255"/>
      <c r="GU59" s="576"/>
      <c r="GV59" s="497"/>
      <c r="GW59" s="497"/>
      <c r="GX59" s="1256"/>
      <c r="GY59" s="1254"/>
      <c r="GZ59" s="576"/>
      <c r="HA59" s="575"/>
      <c r="HB59" s="497"/>
      <c r="HC59" s="1167"/>
      <c r="HD59" s="1183"/>
    </row>
    <row r="60" spans="1:212" ht="20.100000000000001" customHeight="1">
      <c r="A60" s="1168"/>
      <c r="B60" s="1169"/>
      <c r="C60" s="1169"/>
      <c r="D60" s="1184"/>
      <c r="E60" s="1184"/>
      <c r="F60" s="1185">
        <v>0</v>
      </c>
      <c r="G60" s="581"/>
      <c r="H60" s="582"/>
      <c r="I60" s="585"/>
      <c r="J60" s="584"/>
      <c r="K60" s="585"/>
      <c r="L60" s="584"/>
      <c r="M60" s="585"/>
      <c r="N60" s="584"/>
      <c r="O60" s="585"/>
      <c r="P60" s="584"/>
      <c r="Q60" s="585"/>
      <c r="R60" s="584"/>
      <c r="S60" s="585"/>
      <c r="T60" s="584"/>
      <c r="U60" s="585"/>
      <c r="V60" s="584"/>
      <c r="W60" s="585"/>
      <c r="X60" s="584">
        <v>0</v>
      </c>
      <c r="Y60" s="585"/>
      <c r="Z60" s="584">
        <v>0</v>
      </c>
      <c r="AA60" s="585"/>
      <c r="AB60" s="584">
        <v>0</v>
      </c>
      <c r="AC60" s="585"/>
      <c r="AD60" s="584">
        <v>0</v>
      </c>
      <c r="AE60" s="585"/>
      <c r="AF60" s="584">
        <v>0</v>
      </c>
      <c r="AG60" s="585"/>
      <c r="AH60" s="584">
        <v>0</v>
      </c>
      <c r="AI60" s="585"/>
      <c r="AJ60" s="584">
        <v>0</v>
      </c>
      <c r="AK60" s="585"/>
      <c r="AL60" s="584">
        <v>0</v>
      </c>
      <c r="AM60" s="585"/>
      <c r="AN60" s="584">
        <v>0</v>
      </c>
      <c r="AO60" s="585"/>
      <c r="AP60" s="584">
        <v>0</v>
      </c>
      <c r="AQ60" s="585"/>
      <c r="AR60" s="584"/>
      <c r="AS60" s="585"/>
      <c r="AT60" s="584"/>
      <c r="AU60" s="585"/>
      <c r="AV60" s="584"/>
      <c r="AW60" s="585"/>
      <c r="AX60" s="584"/>
      <c r="AY60" s="585"/>
      <c r="AZ60" s="584"/>
      <c r="BA60" s="585"/>
      <c r="BB60" s="586"/>
      <c r="BC60" s="560"/>
      <c r="BD60" s="1168"/>
      <c r="BE60" s="1169"/>
      <c r="BF60" s="1169"/>
      <c r="BG60" s="1184"/>
      <c r="BH60" s="1184"/>
      <c r="BI60" s="1185"/>
      <c r="BJ60" s="581"/>
      <c r="BK60" s="582"/>
      <c r="BL60" s="585"/>
      <c r="BM60" s="584"/>
      <c r="BN60" s="585"/>
      <c r="BO60" s="584"/>
      <c r="BP60" s="585"/>
      <c r="BQ60" s="584"/>
      <c r="BR60" s="585"/>
      <c r="BS60" s="584"/>
      <c r="BT60" s="585"/>
      <c r="BU60" s="584"/>
      <c r="BV60" s="585"/>
      <c r="BW60" s="584"/>
      <c r="BX60" s="585"/>
      <c r="BY60" s="584"/>
      <c r="BZ60" s="585"/>
      <c r="CA60" s="584">
        <v>0</v>
      </c>
      <c r="CB60" s="585"/>
      <c r="CC60" s="584">
        <v>0</v>
      </c>
      <c r="CD60" s="585"/>
      <c r="CE60" s="584">
        <v>0</v>
      </c>
      <c r="CF60" s="585"/>
      <c r="CG60" s="584">
        <v>0</v>
      </c>
      <c r="CH60" s="585"/>
      <c r="CI60" s="584">
        <v>0</v>
      </c>
      <c r="CJ60" s="585"/>
      <c r="CK60" s="584">
        <v>0</v>
      </c>
      <c r="CL60" s="585"/>
      <c r="CM60" s="584">
        <v>0</v>
      </c>
      <c r="CN60" s="585"/>
      <c r="CO60" s="584">
        <v>0</v>
      </c>
      <c r="CP60" s="585"/>
      <c r="CQ60" s="584">
        <v>0</v>
      </c>
      <c r="CR60" s="585"/>
      <c r="CS60" s="584">
        <v>0</v>
      </c>
      <c r="CT60" s="585"/>
      <c r="CU60" s="584"/>
      <c r="CV60" s="585"/>
      <c r="CW60" s="584"/>
      <c r="CX60" s="585"/>
      <c r="CY60" s="584"/>
      <c r="CZ60" s="585"/>
      <c r="DA60" s="584"/>
      <c r="DB60" s="585"/>
      <c r="DC60" s="584"/>
      <c r="DD60" s="585"/>
      <c r="DE60" s="586"/>
      <c r="DF60" s="559"/>
      <c r="DG60" s="1168"/>
      <c r="DH60" s="1169"/>
      <c r="DI60" s="1169"/>
      <c r="DJ60" s="1184"/>
      <c r="DK60" s="1184"/>
      <c r="DL60" s="1185"/>
      <c r="DM60" s="581"/>
      <c r="DN60" s="582"/>
      <c r="DO60" s="585"/>
      <c r="DP60" s="584"/>
      <c r="DQ60" s="585"/>
      <c r="DR60" s="584"/>
      <c r="DS60" s="585"/>
      <c r="DT60" s="584"/>
      <c r="DU60" s="585"/>
      <c r="DV60" s="584"/>
      <c r="DW60" s="585"/>
      <c r="DX60" s="584"/>
      <c r="DY60" s="585"/>
      <c r="DZ60" s="584"/>
      <c r="EA60" s="585"/>
      <c r="EB60" s="584"/>
      <c r="EC60" s="585"/>
      <c r="ED60" s="584">
        <v>0</v>
      </c>
      <c r="EE60" s="585"/>
      <c r="EF60" s="584">
        <v>0</v>
      </c>
      <c r="EG60" s="585"/>
      <c r="EH60" s="584">
        <v>0</v>
      </c>
      <c r="EI60" s="585"/>
      <c r="EJ60" s="584">
        <v>0</v>
      </c>
      <c r="EK60" s="585"/>
      <c r="EL60" s="584">
        <v>0</v>
      </c>
      <c r="EM60" s="585"/>
      <c r="EN60" s="584">
        <v>0</v>
      </c>
      <c r="EO60" s="585"/>
      <c r="EP60" s="584">
        <v>0</v>
      </c>
      <c r="EQ60" s="585"/>
      <c r="ER60" s="584">
        <v>0</v>
      </c>
      <c r="ES60" s="585"/>
      <c r="ET60" s="584">
        <v>0</v>
      </c>
      <c r="EU60" s="585"/>
      <c r="EV60" s="584">
        <v>0</v>
      </c>
      <c r="EW60" s="585"/>
      <c r="EX60" s="584"/>
      <c r="EY60" s="585"/>
      <c r="EZ60" s="584"/>
      <c r="FA60" s="585"/>
      <c r="FB60" s="584"/>
      <c r="FC60" s="585"/>
      <c r="FD60" s="584"/>
      <c r="FE60" s="585"/>
      <c r="FF60" s="584"/>
      <c r="FG60" s="585"/>
      <c r="FH60" s="586"/>
      <c r="FI60" s="560"/>
      <c r="FJ60" s="1168"/>
      <c r="FK60" s="1169"/>
      <c r="FL60" s="1169"/>
      <c r="FM60" s="1186"/>
      <c r="FN60" s="1187"/>
      <c r="FO60" s="1010"/>
      <c r="FP60" s="622"/>
      <c r="FQ60" s="618"/>
      <c r="FR60" s="1175"/>
      <c r="FS60" s="1176"/>
      <c r="FT60" s="618"/>
      <c r="FU60" s="1177"/>
      <c r="FV60" s="1178"/>
      <c r="FW60" s="1179"/>
      <c r="FX60" s="1180"/>
      <c r="FY60" s="1179"/>
      <c r="FZ60" s="1180"/>
      <c r="GA60" s="1179"/>
      <c r="GB60" s="1180"/>
      <c r="GC60" s="1179"/>
      <c r="GD60" s="1180"/>
      <c r="GE60" s="1181"/>
      <c r="GF60" s="681"/>
      <c r="GG60" s="392"/>
      <c r="GH60" s="392"/>
      <c r="GI60" s="392"/>
      <c r="GJ60" s="392"/>
      <c r="GK60" s="392"/>
      <c r="GL60" s="1089">
        <v>17</v>
      </c>
      <c r="GM60" s="1090">
        <v>8</v>
      </c>
      <c r="GN60" s="1091">
        <v>0.51</v>
      </c>
      <c r="GO60" s="1092">
        <v>2.2999999999999998</v>
      </c>
      <c r="GP60" s="1092">
        <v>7</v>
      </c>
      <c r="GQ60" s="1093">
        <v>9.3000000000000007</v>
      </c>
      <c r="GR60" s="392"/>
      <c r="GS60" s="480"/>
      <c r="GT60" s="1255"/>
      <c r="GU60" s="497"/>
      <c r="GV60" s="576"/>
      <c r="GW60" s="497"/>
      <c r="GX60" s="576"/>
      <c r="GY60" s="497"/>
      <c r="GZ60" s="497"/>
      <c r="HA60" s="575"/>
      <c r="HB60" s="497"/>
      <c r="HC60" s="1188"/>
      <c r="HD60" s="1027"/>
    </row>
    <row r="61" spans="1:212" ht="20.100000000000001" customHeight="1">
      <c r="A61" s="1189" t="s">
        <v>664</v>
      </c>
      <c r="B61" s="1190"/>
      <c r="C61" s="1190"/>
      <c r="D61" s="1190"/>
      <c r="E61" s="1190"/>
      <c r="F61" s="1191"/>
      <c r="G61" s="1192"/>
      <c r="H61" s="1193">
        <v>0</v>
      </c>
      <c r="I61" s="1194"/>
      <c r="J61" s="1195">
        <v>0</v>
      </c>
      <c r="K61" s="1194"/>
      <c r="L61" s="1195">
        <v>0</v>
      </c>
      <c r="M61" s="1194"/>
      <c r="N61" s="1195">
        <v>0</v>
      </c>
      <c r="O61" s="1194"/>
      <c r="P61" s="1195">
        <v>0</v>
      </c>
      <c r="Q61" s="1194"/>
      <c r="R61" s="1195">
        <v>0</v>
      </c>
      <c r="S61" s="1194"/>
      <c r="T61" s="1195">
        <v>0</v>
      </c>
      <c r="U61" s="1194"/>
      <c r="V61" s="1195">
        <v>0</v>
      </c>
      <c r="W61" s="1194"/>
      <c r="X61" s="1195">
        <v>2144</v>
      </c>
      <c r="Y61" s="1194"/>
      <c r="Z61" s="1195">
        <v>2174</v>
      </c>
      <c r="AA61" s="1194"/>
      <c r="AB61" s="1195">
        <v>2225</v>
      </c>
      <c r="AC61" s="1194"/>
      <c r="AD61" s="1195">
        <v>2293</v>
      </c>
      <c r="AE61" s="1194"/>
      <c r="AF61" s="1195">
        <v>2277</v>
      </c>
      <c r="AG61" s="1194"/>
      <c r="AH61" s="1195">
        <v>2239</v>
      </c>
      <c r="AI61" s="1194"/>
      <c r="AJ61" s="1195">
        <v>2211</v>
      </c>
      <c r="AK61" s="1194"/>
      <c r="AL61" s="1195">
        <v>2182</v>
      </c>
      <c r="AM61" s="1194"/>
      <c r="AN61" s="1195">
        <v>2112</v>
      </c>
      <c r="AO61" s="1194"/>
      <c r="AP61" s="1195">
        <v>2048</v>
      </c>
      <c r="AQ61" s="1194"/>
      <c r="AR61" s="1195">
        <v>0</v>
      </c>
      <c r="AS61" s="1194"/>
      <c r="AT61" s="1195">
        <v>0</v>
      </c>
      <c r="AU61" s="1194"/>
      <c r="AV61" s="1195">
        <v>0</v>
      </c>
      <c r="AW61" s="1194"/>
      <c r="AX61" s="1195">
        <v>0</v>
      </c>
      <c r="AY61" s="1194"/>
      <c r="AZ61" s="1195">
        <v>0</v>
      </c>
      <c r="BA61" s="1194"/>
      <c r="BB61" s="1196">
        <v>0</v>
      </c>
      <c r="BC61" s="560"/>
      <c r="BD61" s="1189" t="s">
        <v>664</v>
      </c>
      <c r="BE61" s="1190"/>
      <c r="BF61" s="1190"/>
      <c r="BG61" s="1190"/>
      <c r="BH61" s="1190"/>
      <c r="BI61" s="1191"/>
      <c r="BJ61" s="1192"/>
      <c r="BK61" s="1193">
        <v>0</v>
      </c>
      <c r="BL61" s="1194"/>
      <c r="BM61" s="1195">
        <v>0</v>
      </c>
      <c r="BN61" s="1194"/>
      <c r="BO61" s="1195">
        <v>0</v>
      </c>
      <c r="BP61" s="1194"/>
      <c r="BQ61" s="1195">
        <v>0</v>
      </c>
      <c r="BR61" s="1194"/>
      <c r="BS61" s="1195">
        <v>0</v>
      </c>
      <c r="BT61" s="1194"/>
      <c r="BU61" s="1195">
        <v>0</v>
      </c>
      <c r="BV61" s="1194"/>
      <c r="BW61" s="1195">
        <v>0</v>
      </c>
      <c r="BX61" s="1194"/>
      <c r="BY61" s="1195">
        <v>0</v>
      </c>
      <c r="BZ61" s="1194"/>
      <c r="CA61" s="1195">
        <v>2002</v>
      </c>
      <c r="CB61" s="1194"/>
      <c r="CC61" s="1195">
        <v>2022</v>
      </c>
      <c r="CD61" s="1194"/>
      <c r="CE61" s="1195">
        <v>2097</v>
      </c>
      <c r="CF61" s="1194"/>
      <c r="CG61" s="1195">
        <v>2121</v>
      </c>
      <c r="CH61" s="1194"/>
      <c r="CI61" s="1195">
        <v>2114</v>
      </c>
      <c r="CJ61" s="1194"/>
      <c r="CK61" s="1195">
        <v>2052</v>
      </c>
      <c r="CL61" s="1194"/>
      <c r="CM61" s="1195">
        <v>2018</v>
      </c>
      <c r="CN61" s="1194"/>
      <c r="CO61" s="1195">
        <v>1986</v>
      </c>
      <c r="CP61" s="1194"/>
      <c r="CQ61" s="1195">
        <v>1954</v>
      </c>
      <c r="CR61" s="1194"/>
      <c r="CS61" s="1195">
        <v>1883</v>
      </c>
      <c r="CT61" s="1194"/>
      <c r="CU61" s="1195">
        <v>0</v>
      </c>
      <c r="CV61" s="1194"/>
      <c r="CW61" s="1195">
        <v>0</v>
      </c>
      <c r="CX61" s="1194"/>
      <c r="CY61" s="1195">
        <v>0</v>
      </c>
      <c r="CZ61" s="1194"/>
      <c r="DA61" s="1195">
        <v>0</v>
      </c>
      <c r="DB61" s="1194"/>
      <c r="DC61" s="1195">
        <v>0</v>
      </c>
      <c r="DD61" s="1194"/>
      <c r="DE61" s="1196">
        <v>0</v>
      </c>
      <c r="DF61" s="559"/>
      <c r="DG61" s="1189" t="s">
        <v>664</v>
      </c>
      <c r="DH61" s="1190"/>
      <c r="DI61" s="1190"/>
      <c r="DJ61" s="1190"/>
      <c r="DK61" s="1190"/>
      <c r="DL61" s="1191"/>
      <c r="DM61" s="1192"/>
      <c r="DN61" s="1193">
        <v>0</v>
      </c>
      <c r="DO61" s="1194"/>
      <c r="DP61" s="1195">
        <v>0</v>
      </c>
      <c r="DQ61" s="1194"/>
      <c r="DR61" s="1195">
        <v>0</v>
      </c>
      <c r="DS61" s="1194"/>
      <c r="DT61" s="1195">
        <v>0</v>
      </c>
      <c r="DU61" s="1194"/>
      <c r="DV61" s="1195">
        <v>0</v>
      </c>
      <c r="DW61" s="1194"/>
      <c r="DX61" s="1195">
        <v>0</v>
      </c>
      <c r="DY61" s="1194"/>
      <c r="DZ61" s="1195">
        <v>0</v>
      </c>
      <c r="EA61" s="1194"/>
      <c r="EB61" s="1195">
        <v>0</v>
      </c>
      <c r="EC61" s="1194"/>
      <c r="ED61" s="1195">
        <v>1546</v>
      </c>
      <c r="EE61" s="1194"/>
      <c r="EF61" s="1195">
        <v>1589</v>
      </c>
      <c r="EG61" s="1194"/>
      <c r="EH61" s="1195">
        <v>1636</v>
      </c>
      <c r="EI61" s="1194"/>
      <c r="EJ61" s="1195">
        <v>1658</v>
      </c>
      <c r="EK61" s="1194"/>
      <c r="EL61" s="1195">
        <v>1618</v>
      </c>
      <c r="EM61" s="1194"/>
      <c r="EN61" s="1195">
        <v>1560</v>
      </c>
      <c r="EO61" s="1194"/>
      <c r="EP61" s="1195">
        <v>1524</v>
      </c>
      <c r="EQ61" s="1194"/>
      <c r="ER61" s="1195">
        <v>1507</v>
      </c>
      <c r="ES61" s="1194"/>
      <c r="ET61" s="1195">
        <v>1444</v>
      </c>
      <c r="EU61" s="1194"/>
      <c r="EV61" s="1195">
        <v>1417</v>
      </c>
      <c r="EW61" s="1194"/>
      <c r="EX61" s="1195">
        <v>0</v>
      </c>
      <c r="EY61" s="1194"/>
      <c r="EZ61" s="1195">
        <v>0</v>
      </c>
      <c r="FA61" s="1194"/>
      <c r="FB61" s="1195">
        <v>0</v>
      </c>
      <c r="FC61" s="1194"/>
      <c r="FD61" s="1195">
        <v>0</v>
      </c>
      <c r="FE61" s="1194"/>
      <c r="FF61" s="1195">
        <v>0</v>
      </c>
      <c r="FG61" s="1194"/>
      <c r="FH61" s="1196">
        <v>0</v>
      </c>
      <c r="FI61" s="560"/>
      <c r="FJ61" s="1189" t="s">
        <v>664</v>
      </c>
      <c r="FK61" s="1190"/>
      <c r="FL61" s="1190"/>
      <c r="FM61" s="1190"/>
      <c r="FN61" s="1190"/>
      <c r="FO61" s="1190"/>
      <c r="FP61" s="1197"/>
      <c r="FQ61" s="1198"/>
      <c r="FR61" s="1199">
        <v>3178</v>
      </c>
      <c r="FS61" s="1200"/>
      <c r="FT61" s="1198"/>
      <c r="FU61" s="1201">
        <v>3050</v>
      </c>
      <c r="FV61" s="1260" t="s">
        <v>663</v>
      </c>
      <c r="FW61" s="1261"/>
      <c r="FX61" s="1262" t="s">
        <v>663</v>
      </c>
      <c r="FY61" s="1261"/>
      <c r="FZ61" s="1262" t="s">
        <v>663</v>
      </c>
      <c r="GA61" s="1261"/>
      <c r="GB61" s="1262" t="s">
        <v>663</v>
      </c>
      <c r="GC61" s="1261"/>
      <c r="GD61" s="1262" t="s">
        <v>663</v>
      </c>
      <c r="GE61" s="1264"/>
      <c r="GF61" s="681"/>
      <c r="GG61" s="480"/>
      <c r="GH61" s="480"/>
      <c r="GI61" s="480"/>
      <c r="GJ61" s="480"/>
      <c r="GK61" s="483"/>
      <c r="GL61" s="1113">
        <v>18</v>
      </c>
      <c r="GM61" s="1202">
        <v>9</v>
      </c>
      <c r="GN61" s="1091">
        <v>0.47</v>
      </c>
      <c r="GO61" s="1092">
        <v>2.2000000000000002</v>
      </c>
      <c r="GP61" s="1092">
        <v>7</v>
      </c>
      <c r="GQ61" s="1093">
        <v>9.1999999999999993</v>
      </c>
      <c r="GR61" s="480"/>
      <c r="GS61" s="577"/>
      <c r="GT61" s="1255"/>
      <c r="GU61" s="682"/>
      <c r="GV61" s="682"/>
      <c r="GW61" s="682"/>
      <c r="GX61" s="682"/>
      <c r="GY61" s="576"/>
      <c r="GZ61" s="497"/>
      <c r="HA61" s="576"/>
      <c r="HB61" s="497"/>
    </row>
    <row r="62" spans="1:212" ht="20.100000000000001" customHeight="1" thickBot="1">
      <c r="A62" s="1204"/>
      <c r="B62" s="1204"/>
      <c r="C62" s="1204"/>
      <c r="D62" s="1204"/>
      <c r="E62" s="1204"/>
      <c r="F62" s="1204"/>
      <c r="G62" s="1204"/>
      <c r="H62" s="1204"/>
      <c r="I62" s="1204"/>
      <c r="J62" s="1204"/>
      <c r="K62" s="1204"/>
      <c r="L62" s="1204"/>
      <c r="M62" s="1204"/>
      <c r="N62" s="1204"/>
      <c r="O62" s="1204"/>
      <c r="P62" s="1204"/>
      <c r="Q62" s="1204"/>
      <c r="R62" s="1204"/>
      <c r="S62" s="1204"/>
      <c r="T62" s="1204"/>
      <c r="U62" s="1204"/>
      <c r="V62" s="1204"/>
      <c r="W62" s="1204"/>
      <c r="X62" s="1204"/>
      <c r="Y62" s="1204"/>
      <c r="Z62" s="1204"/>
      <c r="AA62" s="1204"/>
      <c r="AB62" s="1204"/>
      <c r="AC62" s="1204"/>
      <c r="AD62" s="1204"/>
      <c r="AE62" s="1204"/>
      <c r="AF62" s="1204"/>
      <c r="AG62" s="1204"/>
      <c r="AH62" s="1204"/>
      <c r="AI62" s="1204"/>
      <c r="AJ62" s="1204"/>
      <c r="AK62" s="1204"/>
      <c r="AL62" s="1204"/>
      <c r="AM62" s="1204"/>
      <c r="AN62" s="1204"/>
      <c r="AO62" s="1204"/>
      <c r="AP62" s="1204"/>
      <c r="AQ62" s="1204"/>
      <c r="AR62" s="1204"/>
      <c r="AS62" s="1204"/>
      <c r="AT62" s="1204"/>
      <c r="AU62" s="1204"/>
      <c r="AV62" s="1204"/>
      <c r="AW62" s="1204"/>
      <c r="AX62" s="1204"/>
      <c r="AY62" s="1204"/>
      <c r="AZ62" s="1204"/>
      <c r="BA62" s="1204"/>
      <c r="BB62" s="1204"/>
      <c r="BC62" s="390"/>
      <c r="BD62" s="1204"/>
      <c r="BE62" s="1204"/>
      <c r="BF62" s="1204"/>
      <c r="BG62" s="1204"/>
      <c r="BH62" s="1204"/>
      <c r="BI62" s="1204"/>
      <c r="BJ62" s="1204"/>
      <c r="BK62" s="1204"/>
      <c r="BL62" s="1204"/>
      <c r="BM62" s="1204"/>
      <c r="BN62" s="1204"/>
      <c r="BO62" s="1204"/>
      <c r="BP62" s="1204"/>
      <c r="BQ62" s="1204"/>
      <c r="BR62" s="1204"/>
      <c r="BS62" s="1204"/>
      <c r="BT62" s="1204"/>
      <c r="BU62" s="1204"/>
      <c r="BV62" s="1204"/>
      <c r="BW62" s="1204"/>
      <c r="BX62" s="1204"/>
      <c r="BY62" s="1204"/>
      <c r="BZ62" s="1204"/>
      <c r="CA62" s="1204"/>
      <c r="CB62" s="1204"/>
      <c r="CC62" s="1204"/>
      <c r="CD62" s="1204"/>
      <c r="CE62" s="1204"/>
      <c r="CF62" s="1204"/>
      <c r="CG62" s="1204"/>
      <c r="CH62" s="1204"/>
      <c r="CI62" s="1204"/>
      <c r="CJ62" s="1204"/>
      <c r="CK62" s="1204"/>
      <c r="CL62" s="1204"/>
      <c r="CM62" s="1204"/>
      <c r="CN62" s="1204"/>
      <c r="CO62" s="1204"/>
      <c r="CP62" s="1204"/>
      <c r="CQ62" s="1204"/>
      <c r="CR62" s="1204"/>
      <c r="CS62" s="1204"/>
      <c r="CT62" s="1204"/>
      <c r="CU62" s="1204"/>
      <c r="CV62" s="1204"/>
      <c r="CW62" s="1204"/>
      <c r="CX62" s="1204"/>
      <c r="CY62" s="1204"/>
      <c r="CZ62" s="1204"/>
      <c r="DA62" s="1204"/>
      <c r="DB62" s="1204"/>
      <c r="DC62" s="1204"/>
      <c r="DD62" s="1204"/>
      <c r="DE62" s="1204"/>
      <c r="DF62" s="390"/>
      <c r="DG62" s="1204"/>
      <c r="DH62" s="1204"/>
      <c r="DI62" s="1204"/>
      <c r="DJ62" s="1204"/>
      <c r="DK62" s="1204"/>
      <c r="DL62" s="1204"/>
      <c r="DM62" s="1204"/>
      <c r="DN62" s="1204"/>
      <c r="DO62" s="1204"/>
      <c r="DP62" s="1204"/>
      <c r="DQ62" s="1204"/>
      <c r="DR62" s="1204"/>
      <c r="DS62" s="1204"/>
      <c r="DT62" s="1204"/>
      <c r="DU62" s="1204"/>
      <c r="DV62" s="1204"/>
      <c r="DW62" s="1204"/>
      <c r="DX62" s="1204"/>
      <c r="DY62" s="1204"/>
      <c r="DZ62" s="1204"/>
      <c r="EA62" s="1204"/>
      <c r="EB62" s="1204"/>
      <c r="EC62" s="1204"/>
      <c r="ED62" s="1204"/>
      <c r="EE62" s="1204"/>
      <c r="EF62" s="1204"/>
      <c r="EG62" s="1204"/>
      <c r="EH62" s="1204"/>
      <c r="EI62" s="1204"/>
      <c r="EJ62" s="1204"/>
      <c r="EK62" s="1204"/>
      <c r="EL62" s="1204"/>
      <c r="EM62" s="1204"/>
      <c r="EN62" s="1204"/>
      <c r="EO62" s="1204"/>
      <c r="EP62" s="1204"/>
      <c r="EQ62" s="1204"/>
      <c r="ER62" s="1204"/>
      <c r="ES62" s="1204"/>
      <c r="ET62" s="1204"/>
      <c r="EU62" s="1204"/>
      <c r="EV62" s="1204"/>
      <c r="EW62" s="1204"/>
      <c r="EX62" s="1204"/>
      <c r="EY62" s="1204"/>
      <c r="EZ62" s="1204"/>
      <c r="FA62" s="1204"/>
      <c r="FB62" s="1204"/>
      <c r="FC62" s="1204"/>
      <c r="FD62" s="1204"/>
      <c r="FE62" s="1204"/>
      <c r="FF62" s="1204"/>
      <c r="FG62" s="1204"/>
      <c r="FH62" s="1204"/>
      <c r="FI62" s="390"/>
      <c r="FJ62" s="1204"/>
      <c r="FK62" s="1204"/>
      <c r="FL62" s="1204"/>
      <c r="FM62" s="1204"/>
      <c r="FN62" s="1204"/>
      <c r="FO62" s="1204"/>
      <c r="FP62" s="1204"/>
      <c r="FQ62" s="1204"/>
      <c r="FR62" s="1204"/>
      <c r="FS62" s="1204"/>
      <c r="FT62" s="1204"/>
      <c r="FU62" s="1204"/>
      <c r="FV62" s="1204"/>
      <c r="FW62" s="1204"/>
      <c r="FX62" s="1204"/>
      <c r="FY62" s="1204"/>
      <c r="FZ62" s="1204"/>
      <c r="GA62" s="1204"/>
      <c r="GB62" s="1204"/>
      <c r="GC62" s="1204"/>
      <c r="GD62" s="1204"/>
      <c r="GE62" s="1205"/>
      <c r="GF62" s="681"/>
      <c r="GG62" s="652"/>
      <c r="GH62" s="652"/>
      <c r="GI62" s="652"/>
      <c r="GJ62" s="577"/>
      <c r="GK62" s="483"/>
      <c r="GL62" s="480"/>
      <c r="GM62" s="483"/>
      <c r="GN62" s="480"/>
      <c r="GO62" s="483"/>
      <c r="GP62" s="483"/>
      <c r="GQ62" s="483"/>
      <c r="GR62" s="480"/>
      <c r="GS62" s="527"/>
      <c r="GT62" s="576"/>
      <c r="GU62" s="682"/>
      <c r="GV62" s="682"/>
      <c r="GW62" s="682"/>
      <c r="GX62" s="682"/>
      <c r="GY62" s="576"/>
      <c r="GZ62" s="497"/>
      <c r="HA62" s="576"/>
      <c r="HB62" s="497"/>
      <c r="HC62" s="1027"/>
    </row>
    <row r="63" spans="1:212" ht="20.100000000000001" customHeight="1">
      <c r="A63" s="1206" t="s">
        <v>346</v>
      </c>
      <c r="B63" s="1119"/>
      <c r="C63" s="1119"/>
      <c r="D63" s="1119"/>
      <c r="E63" s="1119"/>
      <c r="F63" s="1120"/>
      <c r="G63" s="1121">
        <v>1</v>
      </c>
      <c r="H63" s="1122"/>
      <c r="I63" s="1123">
        <v>2</v>
      </c>
      <c r="J63" s="1122"/>
      <c r="K63" s="1123">
        <v>3</v>
      </c>
      <c r="L63" s="1122"/>
      <c r="M63" s="1123">
        <v>4</v>
      </c>
      <c r="N63" s="1122"/>
      <c r="O63" s="1123">
        <v>5</v>
      </c>
      <c r="P63" s="1122"/>
      <c r="Q63" s="1123">
        <v>6</v>
      </c>
      <c r="R63" s="1122"/>
      <c r="S63" s="1123">
        <v>7</v>
      </c>
      <c r="T63" s="1122"/>
      <c r="U63" s="1123">
        <v>8</v>
      </c>
      <c r="V63" s="1122"/>
      <c r="W63" s="1123">
        <v>9</v>
      </c>
      <c r="X63" s="1122"/>
      <c r="Y63" s="1123">
        <v>10</v>
      </c>
      <c r="Z63" s="1122"/>
      <c r="AA63" s="1123">
        <v>11</v>
      </c>
      <c r="AB63" s="1122"/>
      <c r="AC63" s="1123">
        <v>12</v>
      </c>
      <c r="AD63" s="1122"/>
      <c r="AE63" s="1123">
        <v>13</v>
      </c>
      <c r="AF63" s="1122"/>
      <c r="AG63" s="1123">
        <v>14</v>
      </c>
      <c r="AH63" s="1122"/>
      <c r="AI63" s="1123">
        <v>15</v>
      </c>
      <c r="AJ63" s="1122"/>
      <c r="AK63" s="1123">
        <v>16</v>
      </c>
      <c r="AL63" s="1122"/>
      <c r="AM63" s="1123">
        <v>17</v>
      </c>
      <c r="AN63" s="1122"/>
      <c r="AO63" s="1123">
        <v>18</v>
      </c>
      <c r="AP63" s="1122"/>
      <c r="AQ63" s="1123">
        <v>19</v>
      </c>
      <c r="AR63" s="1122"/>
      <c r="AS63" s="1123">
        <v>20</v>
      </c>
      <c r="AT63" s="1122"/>
      <c r="AU63" s="1123">
        <v>21</v>
      </c>
      <c r="AV63" s="1122"/>
      <c r="AW63" s="1123">
        <v>22</v>
      </c>
      <c r="AX63" s="1122"/>
      <c r="AY63" s="1123">
        <v>23</v>
      </c>
      <c r="AZ63" s="1122"/>
      <c r="BA63" s="1123">
        <v>24</v>
      </c>
      <c r="BB63" s="1124"/>
      <c r="BC63" s="1027"/>
      <c r="BD63" s="1207" t="s">
        <v>347</v>
      </c>
      <c r="BE63" s="1208"/>
      <c r="BF63" s="1208"/>
      <c r="BG63" s="1208"/>
      <c r="BH63" s="1119"/>
      <c r="BI63" s="1120"/>
      <c r="BJ63" s="1121">
        <v>1</v>
      </c>
      <c r="BK63" s="1122"/>
      <c r="BL63" s="1123">
        <v>2</v>
      </c>
      <c r="BM63" s="1122"/>
      <c r="BN63" s="1123">
        <v>3</v>
      </c>
      <c r="BO63" s="1122"/>
      <c r="BP63" s="1123">
        <v>4</v>
      </c>
      <c r="BQ63" s="1122"/>
      <c r="BR63" s="1123">
        <v>5</v>
      </c>
      <c r="BS63" s="1122"/>
      <c r="BT63" s="1123">
        <v>6</v>
      </c>
      <c r="BU63" s="1122"/>
      <c r="BV63" s="1123">
        <v>7</v>
      </c>
      <c r="BW63" s="1122"/>
      <c r="BX63" s="1123">
        <v>8</v>
      </c>
      <c r="BY63" s="1122"/>
      <c r="BZ63" s="1123">
        <v>9</v>
      </c>
      <c r="CA63" s="1122"/>
      <c r="CB63" s="1123">
        <v>10</v>
      </c>
      <c r="CC63" s="1122"/>
      <c r="CD63" s="1123">
        <v>11</v>
      </c>
      <c r="CE63" s="1122"/>
      <c r="CF63" s="1123">
        <v>12</v>
      </c>
      <c r="CG63" s="1122"/>
      <c r="CH63" s="1123">
        <v>13</v>
      </c>
      <c r="CI63" s="1122"/>
      <c r="CJ63" s="1123">
        <v>14</v>
      </c>
      <c r="CK63" s="1122"/>
      <c r="CL63" s="1123">
        <v>15</v>
      </c>
      <c r="CM63" s="1122"/>
      <c r="CN63" s="1123">
        <v>16</v>
      </c>
      <c r="CO63" s="1122"/>
      <c r="CP63" s="1123">
        <v>17</v>
      </c>
      <c r="CQ63" s="1122"/>
      <c r="CR63" s="1123">
        <v>18</v>
      </c>
      <c r="CS63" s="1122"/>
      <c r="CT63" s="1123">
        <v>19</v>
      </c>
      <c r="CU63" s="1122"/>
      <c r="CV63" s="1123">
        <v>20</v>
      </c>
      <c r="CW63" s="1122"/>
      <c r="CX63" s="1123">
        <v>21</v>
      </c>
      <c r="CY63" s="1122"/>
      <c r="CZ63" s="1123">
        <v>22</v>
      </c>
      <c r="DA63" s="1122"/>
      <c r="DB63" s="1123">
        <v>23</v>
      </c>
      <c r="DC63" s="1122"/>
      <c r="DD63" s="1123">
        <v>24</v>
      </c>
      <c r="DE63" s="1124"/>
      <c r="DF63" s="1027"/>
      <c r="DG63" s="1206" t="s">
        <v>346</v>
      </c>
      <c r="DH63" s="1119"/>
      <c r="DI63" s="1119"/>
      <c r="DJ63" s="1119"/>
      <c r="DK63" s="1119"/>
      <c r="DL63" s="1120"/>
      <c r="DM63" s="1121">
        <v>1</v>
      </c>
      <c r="DN63" s="1122"/>
      <c r="DO63" s="1123">
        <v>2</v>
      </c>
      <c r="DP63" s="1122"/>
      <c r="DQ63" s="1123">
        <v>3</v>
      </c>
      <c r="DR63" s="1122"/>
      <c r="DS63" s="1123">
        <v>4</v>
      </c>
      <c r="DT63" s="1122"/>
      <c r="DU63" s="1123">
        <v>5</v>
      </c>
      <c r="DV63" s="1122"/>
      <c r="DW63" s="1123">
        <v>6</v>
      </c>
      <c r="DX63" s="1122"/>
      <c r="DY63" s="1123">
        <v>7</v>
      </c>
      <c r="DZ63" s="1122"/>
      <c r="EA63" s="1123">
        <v>8</v>
      </c>
      <c r="EB63" s="1122"/>
      <c r="EC63" s="1123">
        <v>9</v>
      </c>
      <c r="ED63" s="1122"/>
      <c r="EE63" s="1123">
        <v>10</v>
      </c>
      <c r="EF63" s="1122"/>
      <c r="EG63" s="1123">
        <v>11</v>
      </c>
      <c r="EH63" s="1122"/>
      <c r="EI63" s="1123">
        <v>12</v>
      </c>
      <c r="EJ63" s="1122"/>
      <c r="EK63" s="1123">
        <v>13</v>
      </c>
      <c r="EL63" s="1122"/>
      <c r="EM63" s="1123">
        <v>14</v>
      </c>
      <c r="EN63" s="1122"/>
      <c r="EO63" s="1123">
        <v>15</v>
      </c>
      <c r="EP63" s="1122"/>
      <c r="EQ63" s="1123">
        <v>16</v>
      </c>
      <c r="ER63" s="1122"/>
      <c r="ES63" s="1123">
        <v>17</v>
      </c>
      <c r="ET63" s="1122"/>
      <c r="EU63" s="1123">
        <v>18</v>
      </c>
      <c r="EV63" s="1122"/>
      <c r="EW63" s="1123">
        <v>19</v>
      </c>
      <c r="EX63" s="1122"/>
      <c r="EY63" s="1123">
        <v>20</v>
      </c>
      <c r="EZ63" s="1122"/>
      <c r="FA63" s="1123">
        <v>21</v>
      </c>
      <c r="FB63" s="1122"/>
      <c r="FC63" s="1123">
        <v>22</v>
      </c>
      <c r="FD63" s="1122"/>
      <c r="FE63" s="1123">
        <v>23</v>
      </c>
      <c r="FF63" s="1122"/>
      <c r="FG63" s="1123">
        <v>24</v>
      </c>
      <c r="FH63" s="1124"/>
      <c r="FI63" s="1027"/>
      <c r="FJ63" s="1206" t="s">
        <v>346</v>
      </c>
      <c r="FK63" s="1119"/>
      <c r="FL63" s="1119"/>
      <c r="FM63" s="1119"/>
      <c r="FN63" s="1119"/>
      <c r="FO63" s="1120"/>
      <c r="FP63" s="1125" t="s">
        <v>339</v>
      </c>
      <c r="FQ63" s="1126"/>
      <c r="FR63" s="1127"/>
      <c r="FS63" s="1128" t="s">
        <v>297</v>
      </c>
      <c r="FT63" s="1129"/>
      <c r="FU63" s="1130"/>
      <c r="FV63" s="1131" t="s">
        <v>340</v>
      </c>
      <c r="FW63" s="1132"/>
      <c r="FX63" s="1133" t="s">
        <v>341</v>
      </c>
      <c r="FY63" s="1134"/>
      <c r="FZ63" s="1135" t="s">
        <v>342</v>
      </c>
      <c r="GA63" s="1136"/>
      <c r="GB63" s="1137" t="s">
        <v>343</v>
      </c>
      <c r="GC63" s="1122"/>
      <c r="GD63" s="1137" t="s">
        <v>344</v>
      </c>
      <c r="GE63" s="1124"/>
      <c r="GF63" s="681"/>
      <c r="GG63" s="599"/>
      <c r="GH63" s="599"/>
      <c r="GI63" s="599"/>
      <c r="GJ63" s="1253"/>
      <c r="GK63" s="1253"/>
      <c r="GL63" s="575"/>
      <c r="GM63" s="497"/>
      <c r="GN63" s="575"/>
      <c r="GO63" s="497"/>
      <c r="GP63" s="497"/>
      <c r="GQ63" s="497"/>
      <c r="GR63" s="575"/>
      <c r="GS63" s="527"/>
      <c r="GT63" s="576"/>
      <c r="GU63" s="575"/>
      <c r="GV63" s="497"/>
      <c r="GW63" s="575"/>
      <c r="GX63" s="497"/>
      <c r="GY63" s="497"/>
      <c r="GZ63" s="497"/>
      <c r="HA63" s="576"/>
      <c r="HB63" s="497"/>
      <c r="HC63" s="1041"/>
    </row>
    <row r="64" spans="1:212" ht="20.100000000000001" customHeight="1">
      <c r="A64" s="1209"/>
      <c r="B64" s="1140"/>
      <c r="C64" s="1140"/>
      <c r="D64" s="1140"/>
      <c r="E64" s="1140"/>
      <c r="F64" s="1141"/>
      <c r="G64" s="1142"/>
      <c r="H64" s="1143" t="s">
        <v>348</v>
      </c>
      <c r="I64" s="1144"/>
      <c r="J64" s="1143" t="s">
        <v>348</v>
      </c>
      <c r="K64" s="1144"/>
      <c r="L64" s="1143" t="s">
        <v>348</v>
      </c>
      <c r="M64" s="1144"/>
      <c r="N64" s="1143" t="s">
        <v>348</v>
      </c>
      <c r="O64" s="1144"/>
      <c r="P64" s="1143" t="s">
        <v>348</v>
      </c>
      <c r="Q64" s="1144"/>
      <c r="R64" s="1143" t="s">
        <v>348</v>
      </c>
      <c r="S64" s="1144"/>
      <c r="T64" s="1143" t="s">
        <v>348</v>
      </c>
      <c r="U64" s="1144"/>
      <c r="V64" s="1143" t="s">
        <v>348</v>
      </c>
      <c r="W64" s="1144"/>
      <c r="X64" s="1143" t="s">
        <v>348</v>
      </c>
      <c r="Y64" s="1144"/>
      <c r="Z64" s="1143" t="s">
        <v>348</v>
      </c>
      <c r="AA64" s="1144"/>
      <c r="AB64" s="1143" t="s">
        <v>348</v>
      </c>
      <c r="AC64" s="1144"/>
      <c r="AD64" s="1143" t="s">
        <v>348</v>
      </c>
      <c r="AE64" s="1144"/>
      <c r="AF64" s="1143" t="s">
        <v>348</v>
      </c>
      <c r="AG64" s="1144"/>
      <c r="AH64" s="1143" t="s">
        <v>348</v>
      </c>
      <c r="AI64" s="1144"/>
      <c r="AJ64" s="1143" t="s">
        <v>348</v>
      </c>
      <c r="AK64" s="1144"/>
      <c r="AL64" s="1143" t="s">
        <v>348</v>
      </c>
      <c r="AM64" s="1144"/>
      <c r="AN64" s="1143" t="s">
        <v>348</v>
      </c>
      <c r="AO64" s="1144"/>
      <c r="AP64" s="1143" t="s">
        <v>348</v>
      </c>
      <c r="AQ64" s="1144"/>
      <c r="AR64" s="1143" t="s">
        <v>348</v>
      </c>
      <c r="AS64" s="1144"/>
      <c r="AT64" s="1143" t="s">
        <v>348</v>
      </c>
      <c r="AU64" s="1144"/>
      <c r="AV64" s="1143" t="s">
        <v>348</v>
      </c>
      <c r="AW64" s="1144"/>
      <c r="AX64" s="1143" t="s">
        <v>348</v>
      </c>
      <c r="AY64" s="1144"/>
      <c r="AZ64" s="1143" t="s">
        <v>348</v>
      </c>
      <c r="BA64" s="1144"/>
      <c r="BB64" s="1146" t="s">
        <v>348</v>
      </c>
      <c r="BC64" s="1041"/>
      <c r="BD64" s="1210"/>
      <c r="BE64" s="1211"/>
      <c r="BF64" s="1211"/>
      <c r="BG64" s="1211"/>
      <c r="BH64" s="1140"/>
      <c r="BI64" s="1141"/>
      <c r="BJ64" s="1142"/>
      <c r="BK64" s="1143" t="s">
        <v>348</v>
      </c>
      <c r="BL64" s="1144"/>
      <c r="BM64" s="1143" t="s">
        <v>348</v>
      </c>
      <c r="BN64" s="1144"/>
      <c r="BO64" s="1143" t="s">
        <v>348</v>
      </c>
      <c r="BP64" s="1144"/>
      <c r="BQ64" s="1143" t="s">
        <v>348</v>
      </c>
      <c r="BR64" s="1144"/>
      <c r="BS64" s="1143" t="s">
        <v>348</v>
      </c>
      <c r="BT64" s="1144"/>
      <c r="BU64" s="1143" t="s">
        <v>348</v>
      </c>
      <c r="BV64" s="1144"/>
      <c r="BW64" s="1143" t="s">
        <v>348</v>
      </c>
      <c r="BX64" s="1144"/>
      <c r="BY64" s="1143" t="s">
        <v>348</v>
      </c>
      <c r="BZ64" s="1144"/>
      <c r="CA64" s="1143" t="s">
        <v>348</v>
      </c>
      <c r="CB64" s="1144"/>
      <c r="CC64" s="1143" t="s">
        <v>348</v>
      </c>
      <c r="CD64" s="1144"/>
      <c r="CE64" s="1143" t="s">
        <v>348</v>
      </c>
      <c r="CF64" s="1144"/>
      <c r="CG64" s="1143" t="s">
        <v>348</v>
      </c>
      <c r="CH64" s="1144"/>
      <c r="CI64" s="1143" t="s">
        <v>348</v>
      </c>
      <c r="CJ64" s="1144"/>
      <c r="CK64" s="1143" t="s">
        <v>348</v>
      </c>
      <c r="CL64" s="1144"/>
      <c r="CM64" s="1143" t="s">
        <v>348</v>
      </c>
      <c r="CN64" s="1144"/>
      <c r="CO64" s="1143" t="s">
        <v>348</v>
      </c>
      <c r="CP64" s="1144"/>
      <c r="CQ64" s="1143" t="s">
        <v>348</v>
      </c>
      <c r="CR64" s="1144"/>
      <c r="CS64" s="1143" t="s">
        <v>348</v>
      </c>
      <c r="CT64" s="1144"/>
      <c r="CU64" s="1143" t="s">
        <v>348</v>
      </c>
      <c r="CV64" s="1144"/>
      <c r="CW64" s="1143" t="s">
        <v>348</v>
      </c>
      <c r="CX64" s="1144"/>
      <c r="CY64" s="1143" t="s">
        <v>348</v>
      </c>
      <c r="CZ64" s="1144"/>
      <c r="DA64" s="1143" t="s">
        <v>348</v>
      </c>
      <c r="DB64" s="1144"/>
      <c r="DC64" s="1143" t="s">
        <v>348</v>
      </c>
      <c r="DD64" s="1144"/>
      <c r="DE64" s="1146" t="s">
        <v>348</v>
      </c>
      <c r="DF64" s="1041"/>
      <c r="DG64" s="1209"/>
      <c r="DH64" s="1140"/>
      <c r="DI64" s="1140"/>
      <c r="DJ64" s="1140"/>
      <c r="DK64" s="1140"/>
      <c r="DL64" s="1141"/>
      <c r="DM64" s="1142"/>
      <c r="DN64" s="1143" t="s">
        <v>348</v>
      </c>
      <c r="DO64" s="1144"/>
      <c r="DP64" s="1143" t="s">
        <v>348</v>
      </c>
      <c r="DQ64" s="1144"/>
      <c r="DR64" s="1143" t="s">
        <v>348</v>
      </c>
      <c r="DS64" s="1144"/>
      <c r="DT64" s="1143" t="s">
        <v>348</v>
      </c>
      <c r="DU64" s="1144"/>
      <c r="DV64" s="1143" t="s">
        <v>348</v>
      </c>
      <c r="DW64" s="1144"/>
      <c r="DX64" s="1143" t="s">
        <v>348</v>
      </c>
      <c r="DY64" s="1144"/>
      <c r="DZ64" s="1143" t="s">
        <v>348</v>
      </c>
      <c r="EA64" s="1144"/>
      <c r="EB64" s="1143" t="s">
        <v>348</v>
      </c>
      <c r="EC64" s="1144"/>
      <c r="ED64" s="1143" t="s">
        <v>348</v>
      </c>
      <c r="EE64" s="1144"/>
      <c r="EF64" s="1143" t="s">
        <v>348</v>
      </c>
      <c r="EG64" s="1144"/>
      <c r="EH64" s="1143" t="s">
        <v>348</v>
      </c>
      <c r="EI64" s="1144"/>
      <c r="EJ64" s="1143" t="s">
        <v>348</v>
      </c>
      <c r="EK64" s="1144"/>
      <c r="EL64" s="1143" t="s">
        <v>348</v>
      </c>
      <c r="EM64" s="1144"/>
      <c r="EN64" s="1143" t="s">
        <v>348</v>
      </c>
      <c r="EO64" s="1144"/>
      <c r="EP64" s="1143" t="s">
        <v>348</v>
      </c>
      <c r="EQ64" s="1144"/>
      <c r="ER64" s="1143" t="s">
        <v>348</v>
      </c>
      <c r="ES64" s="1144"/>
      <c r="ET64" s="1143" t="s">
        <v>348</v>
      </c>
      <c r="EU64" s="1144"/>
      <c r="EV64" s="1143" t="s">
        <v>348</v>
      </c>
      <c r="EW64" s="1144"/>
      <c r="EX64" s="1143" t="s">
        <v>348</v>
      </c>
      <c r="EY64" s="1144"/>
      <c r="EZ64" s="1143" t="s">
        <v>348</v>
      </c>
      <c r="FA64" s="1144"/>
      <c r="FB64" s="1143" t="s">
        <v>348</v>
      </c>
      <c r="FC64" s="1144"/>
      <c r="FD64" s="1143" t="s">
        <v>348</v>
      </c>
      <c r="FE64" s="1144"/>
      <c r="FF64" s="1143" t="s">
        <v>348</v>
      </c>
      <c r="FG64" s="1144"/>
      <c r="FH64" s="1146" t="s">
        <v>348</v>
      </c>
      <c r="FI64" s="1041"/>
      <c r="FJ64" s="1209"/>
      <c r="FK64" s="1140"/>
      <c r="FL64" s="1140"/>
      <c r="FM64" s="1140"/>
      <c r="FN64" s="1140"/>
      <c r="FO64" s="1141"/>
      <c r="FP64" s="1147" t="s">
        <v>45</v>
      </c>
      <c r="FQ64" s="1145" t="s">
        <v>349</v>
      </c>
      <c r="FR64" s="1143" t="s">
        <v>348</v>
      </c>
      <c r="FS64" s="1148" t="s">
        <v>45</v>
      </c>
      <c r="FT64" s="1145" t="s">
        <v>349</v>
      </c>
      <c r="FU64" s="1149" t="s">
        <v>348</v>
      </c>
      <c r="FV64" s="1150" t="s">
        <v>45</v>
      </c>
      <c r="FW64" s="1143" t="s">
        <v>348</v>
      </c>
      <c r="FX64" s="1148" t="s">
        <v>45</v>
      </c>
      <c r="FY64" s="1143" t="s">
        <v>348</v>
      </c>
      <c r="FZ64" s="1148" t="s">
        <v>45</v>
      </c>
      <c r="GA64" s="1143" t="s">
        <v>348</v>
      </c>
      <c r="GB64" s="1148" t="s">
        <v>45</v>
      </c>
      <c r="GC64" s="1143" t="s">
        <v>348</v>
      </c>
      <c r="GD64" s="1148" t="s">
        <v>45</v>
      </c>
      <c r="GE64" s="1146" t="s">
        <v>348</v>
      </c>
      <c r="GF64" s="681"/>
      <c r="GG64" s="1182"/>
      <c r="GH64" s="1182"/>
      <c r="GI64" s="1182"/>
      <c r="GJ64" s="497"/>
      <c r="GK64" s="497"/>
      <c r="GL64" s="575"/>
      <c r="GM64" s="497"/>
      <c r="GN64" s="575"/>
      <c r="GO64" s="497"/>
      <c r="GP64" s="497"/>
      <c r="GQ64" s="497"/>
      <c r="GR64" s="575"/>
      <c r="GS64" s="410"/>
      <c r="GT64" s="1255"/>
      <c r="GU64" s="575"/>
      <c r="GV64" s="497"/>
      <c r="GW64" s="575"/>
      <c r="GX64" s="497"/>
      <c r="GY64" s="497"/>
      <c r="GZ64" s="576"/>
      <c r="HA64" s="576"/>
      <c r="HB64" s="576"/>
      <c r="HC64" s="559"/>
    </row>
    <row r="65" spans="1:211" ht="20.100000000000001" customHeight="1">
      <c r="A65" s="1151"/>
      <c r="B65" s="1152"/>
      <c r="C65" s="1152"/>
      <c r="D65" s="1212"/>
      <c r="E65" s="1213"/>
      <c r="F65" s="1214"/>
      <c r="G65" s="1215"/>
      <c r="H65" s="1156"/>
      <c r="I65" s="1216"/>
      <c r="J65" s="1217"/>
      <c r="K65" s="1218"/>
      <c r="L65" s="1217"/>
      <c r="M65" s="1218"/>
      <c r="N65" s="1217"/>
      <c r="O65" s="1218"/>
      <c r="P65" s="1217"/>
      <c r="Q65" s="1218"/>
      <c r="R65" s="1217"/>
      <c r="S65" s="1218"/>
      <c r="T65" s="1217"/>
      <c r="U65" s="1218"/>
      <c r="V65" s="1217"/>
      <c r="W65" s="1218"/>
      <c r="X65" s="1217">
        <v>0</v>
      </c>
      <c r="Y65" s="1218"/>
      <c r="Z65" s="1217">
        <v>0</v>
      </c>
      <c r="AA65" s="1218"/>
      <c r="AB65" s="1217">
        <v>0</v>
      </c>
      <c r="AC65" s="1218"/>
      <c r="AD65" s="1217">
        <v>0</v>
      </c>
      <c r="AE65" s="1218"/>
      <c r="AF65" s="1217">
        <v>0</v>
      </c>
      <c r="AG65" s="1218"/>
      <c r="AH65" s="1217">
        <v>0</v>
      </c>
      <c r="AI65" s="1218"/>
      <c r="AJ65" s="1217">
        <v>0</v>
      </c>
      <c r="AK65" s="1218"/>
      <c r="AL65" s="1217">
        <v>0</v>
      </c>
      <c r="AM65" s="1218"/>
      <c r="AN65" s="1217">
        <v>0</v>
      </c>
      <c r="AO65" s="1218"/>
      <c r="AP65" s="1217">
        <v>0</v>
      </c>
      <c r="AQ65" s="1218"/>
      <c r="AR65" s="1217"/>
      <c r="AS65" s="1218"/>
      <c r="AT65" s="1217"/>
      <c r="AU65" s="1218"/>
      <c r="AV65" s="1217"/>
      <c r="AW65" s="1218"/>
      <c r="AX65" s="1217"/>
      <c r="AY65" s="1218"/>
      <c r="AZ65" s="1217"/>
      <c r="BA65" s="1218"/>
      <c r="BB65" s="558"/>
      <c r="BC65" s="560"/>
      <c r="BD65" s="1151"/>
      <c r="BE65" s="1152"/>
      <c r="BF65" s="1152"/>
      <c r="BG65" s="1212"/>
      <c r="BH65" s="1213"/>
      <c r="BI65" s="1214"/>
      <c r="BJ65" s="1215"/>
      <c r="BK65" s="1156"/>
      <c r="BL65" s="1216"/>
      <c r="BM65" s="1217"/>
      <c r="BN65" s="1218"/>
      <c r="BO65" s="1217"/>
      <c r="BP65" s="1218"/>
      <c r="BQ65" s="1217"/>
      <c r="BR65" s="1218"/>
      <c r="BS65" s="1217"/>
      <c r="BT65" s="1218"/>
      <c r="BU65" s="1217"/>
      <c r="BV65" s="1218"/>
      <c r="BW65" s="1217"/>
      <c r="BX65" s="1218"/>
      <c r="BY65" s="1217"/>
      <c r="BZ65" s="1218"/>
      <c r="CA65" s="1217">
        <v>0</v>
      </c>
      <c r="CB65" s="1218"/>
      <c r="CC65" s="1217">
        <v>0</v>
      </c>
      <c r="CD65" s="1218"/>
      <c r="CE65" s="1217">
        <v>0</v>
      </c>
      <c r="CF65" s="1218"/>
      <c r="CG65" s="1217">
        <v>0</v>
      </c>
      <c r="CH65" s="1218"/>
      <c r="CI65" s="1217">
        <v>0</v>
      </c>
      <c r="CJ65" s="1218"/>
      <c r="CK65" s="1217">
        <v>0</v>
      </c>
      <c r="CL65" s="1218"/>
      <c r="CM65" s="1217">
        <v>0</v>
      </c>
      <c r="CN65" s="1218"/>
      <c r="CO65" s="1217">
        <v>0</v>
      </c>
      <c r="CP65" s="1218"/>
      <c r="CQ65" s="1217">
        <v>0</v>
      </c>
      <c r="CR65" s="1218"/>
      <c r="CS65" s="1217">
        <v>0</v>
      </c>
      <c r="CT65" s="1218"/>
      <c r="CU65" s="1217"/>
      <c r="CV65" s="1218"/>
      <c r="CW65" s="1217"/>
      <c r="CX65" s="1218"/>
      <c r="CY65" s="1217"/>
      <c r="CZ65" s="1218"/>
      <c r="DA65" s="1217"/>
      <c r="DB65" s="1218"/>
      <c r="DC65" s="1217"/>
      <c r="DD65" s="1218"/>
      <c r="DE65" s="558"/>
      <c r="DF65" s="559"/>
      <c r="DG65" s="1151"/>
      <c r="DH65" s="1152"/>
      <c r="DI65" s="1152"/>
      <c r="DJ65" s="1212"/>
      <c r="DK65" s="1213"/>
      <c r="DL65" s="1214"/>
      <c r="DM65" s="1215"/>
      <c r="DN65" s="1156"/>
      <c r="DO65" s="1216"/>
      <c r="DP65" s="1217"/>
      <c r="DQ65" s="1218"/>
      <c r="DR65" s="1217"/>
      <c r="DS65" s="1218"/>
      <c r="DT65" s="1217"/>
      <c r="DU65" s="1218"/>
      <c r="DV65" s="1217"/>
      <c r="DW65" s="1218"/>
      <c r="DX65" s="1217"/>
      <c r="DY65" s="1218"/>
      <c r="DZ65" s="1217"/>
      <c r="EA65" s="1218"/>
      <c r="EB65" s="1217"/>
      <c r="EC65" s="1218"/>
      <c r="ED65" s="1217">
        <v>0</v>
      </c>
      <c r="EE65" s="1218"/>
      <c r="EF65" s="1217">
        <v>0</v>
      </c>
      <c r="EG65" s="1218"/>
      <c r="EH65" s="1217">
        <v>0</v>
      </c>
      <c r="EI65" s="1218"/>
      <c r="EJ65" s="1217">
        <v>0</v>
      </c>
      <c r="EK65" s="1218"/>
      <c r="EL65" s="1217">
        <v>0</v>
      </c>
      <c r="EM65" s="1218"/>
      <c r="EN65" s="1217">
        <v>0</v>
      </c>
      <c r="EO65" s="1218"/>
      <c r="EP65" s="1217">
        <v>0</v>
      </c>
      <c r="EQ65" s="1218"/>
      <c r="ER65" s="1217">
        <v>0</v>
      </c>
      <c r="ES65" s="1218"/>
      <c r="ET65" s="1217">
        <v>0</v>
      </c>
      <c r="EU65" s="1218"/>
      <c r="EV65" s="1217">
        <v>0</v>
      </c>
      <c r="EW65" s="1218"/>
      <c r="EX65" s="1217"/>
      <c r="EY65" s="1218"/>
      <c r="EZ65" s="1217"/>
      <c r="FA65" s="1218"/>
      <c r="FB65" s="1217"/>
      <c r="FC65" s="1218"/>
      <c r="FD65" s="1217"/>
      <c r="FE65" s="1218"/>
      <c r="FF65" s="1217"/>
      <c r="FG65" s="1218"/>
      <c r="FH65" s="558"/>
      <c r="FI65" s="560"/>
      <c r="FJ65" s="1151"/>
      <c r="FK65" s="1152"/>
      <c r="FL65" s="1219"/>
      <c r="FM65" s="1219"/>
      <c r="FN65" s="1219"/>
      <c r="FO65" s="1214"/>
      <c r="FP65" s="1158"/>
      <c r="FQ65" s="1216"/>
      <c r="FR65" s="1156">
        <v>0</v>
      </c>
      <c r="FS65" s="1220"/>
      <c r="FT65" s="1216"/>
      <c r="FU65" s="1161">
        <v>0</v>
      </c>
      <c r="FV65" s="1220"/>
      <c r="FW65" s="1221">
        <v>0</v>
      </c>
      <c r="FX65" s="1160"/>
      <c r="FY65" s="1221">
        <v>0</v>
      </c>
      <c r="FZ65" s="1160"/>
      <c r="GA65" s="1221">
        <v>0</v>
      </c>
      <c r="GB65" s="1160"/>
      <c r="GC65" s="1221">
        <v>0</v>
      </c>
      <c r="GD65" s="1222"/>
      <c r="GE65" s="1223"/>
      <c r="GF65" s="681"/>
      <c r="GG65" s="599"/>
      <c r="GH65" s="599"/>
      <c r="GI65" s="599"/>
      <c r="GJ65" s="392"/>
      <c r="GK65" s="526"/>
      <c r="GL65" s="526"/>
      <c r="GM65" s="526"/>
      <c r="GN65" s="526"/>
      <c r="GO65" s="526"/>
      <c r="GP65" s="526"/>
      <c r="GQ65" s="526"/>
      <c r="GR65" s="526"/>
      <c r="GS65" s="410"/>
      <c r="GT65" s="1255"/>
      <c r="GU65" s="497"/>
      <c r="GV65" s="497"/>
      <c r="GW65" s="497"/>
      <c r="GX65" s="497"/>
      <c r="GY65" s="497"/>
      <c r="GZ65" s="576"/>
      <c r="HA65" s="576"/>
      <c r="HB65" s="576"/>
      <c r="HC65" s="559"/>
    </row>
    <row r="66" spans="1:211" ht="20.100000000000001" customHeight="1">
      <c r="A66" s="1189"/>
      <c r="B66" s="1190"/>
      <c r="C66" s="1190"/>
      <c r="D66" s="1190"/>
      <c r="E66" s="1190"/>
      <c r="F66" s="1191"/>
      <c r="G66" s="1224"/>
      <c r="H66" s="1225"/>
      <c r="I66" s="1198"/>
      <c r="J66" s="1226"/>
      <c r="K66" s="1227"/>
      <c r="L66" s="1226"/>
      <c r="M66" s="1227"/>
      <c r="N66" s="1226"/>
      <c r="O66" s="1227"/>
      <c r="P66" s="1226"/>
      <c r="Q66" s="1227"/>
      <c r="R66" s="1226"/>
      <c r="S66" s="1227"/>
      <c r="T66" s="1226"/>
      <c r="U66" s="1227"/>
      <c r="V66" s="1226"/>
      <c r="W66" s="1227"/>
      <c r="X66" s="1226"/>
      <c r="Y66" s="1227"/>
      <c r="Z66" s="1226"/>
      <c r="AA66" s="1227"/>
      <c r="AB66" s="1226"/>
      <c r="AC66" s="1227"/>
      <c r="AD66" s="1226"/>
      <c r="AE66" s="1227"/>
      <c r="AF66" s="1226"/>
      <c r="AG66" s="1227"/>
      <c r="AH66" s="1226"/>
      <c r="AI66" s="1227"/>
      <c r="AJ66" s="1226"/>
      <c r="AK66" s="1227"/>
      <c r="AL66" s="1226"/>
      <c r="AM66" s="1227"/>
      <c r="AN66" s="1226"/>
      <c r="AO66" s="1227"/>
      <c r="AP66" s="1226"/>
      <c r="AQ66" s="1227"/>
      <c r="AR66" s="1226"/>
      <c r="AS66" s="1227"/>
      <c r="AT66" s="1226"/>
      <c r="AU66" s="1227"/>
      <c r="AV66" s="1226"/>
      <c r="AW66" s="1227"/>
      <c r="AX66" s="1226"/>
      <c r="AY66" s="1227"/>
      <c r="AZ66" s="1226"/>
      <c r="BA66" s="1227"/>
      <c r="BB66" s="1228"/>
      <c r="BC66" s="560"/>
      <c r="BD66" s="1189"/>
      <c r="BE66" s="1190"/>
      <c r="BF66" s="1190"/>
      <c r="BG66" s="1190"/>
      <c r="BH66" s="1190"/>
      <c r="BI66" s="1191"/>
      <c r="BJ66" s="1224"/>
      <c r="BK66" s="1225"/>
      <c r="BL66" s="1198"/>
      <c r="BM66" s="1226"/>
      <c r="BN66" s="1227"/>
      <c r="BO66" s="1226"/>
      <c r="BP66" s="1227"/>
      <c r="BQ66" s="1226"/>
      <c r="BR66" s="1227"/>
      <c r="BS66" s="1226"/>
      <c r="BT66" s="1227"/>
      <c r="BU66" s="1226"/>
      <c r="BV66" s="1227"/>
      <c r="BW66" s="1226"/>
      <c r="BX66" s="1227"/>
      <c r="BY66" s="1226"/>
      <c r="BZ66" s="1227"/>
      <c r="CA66" s="1226"/>
      <c r="CB66" s="1227"/>
      <c r="CC66" s="1226"/>
      <c r="CD66" s="1227"/>
      <c r="CE66" s="1226"/>
      <c r="CF66" s="1227"/>
      <c r="CG66" s="1226"/>
      <c r="CH66" s="1227"/>
      <c r="CI66" s="1226"/>
      <c r="CJ66" s="1227"/>
      <c r="CK66" s="1226"/>
      <c r="CL66" s="1227"/>
      <c r="CM66" s="1226"/>
      <c r="CN66" s="1227"/>
      <c r="CO66" s="1226"/>
      <c r="CP66" s="1227"/>
      <c r="CQ66" s="1226"/>
      <c r="CR66" s="1227"/>
      <c r="CS66" s="1226"/>
      <c r="CT66" s="1227"/>
      <c r="CU66" s="1226"/>
      <c r="CV66" s="1227"/>
      <c r="CW66" s="1226"/>
      <c r="CX66" s="1227"/>
      <c r="CY66" s="1226"/>
      <c r="CZ66" s="1227"/>
      <c r="DA66" s="1226"/>
      <c r="DB66" s="1227"/>
      <c r="DC66" s="1226"/>
      <c r="DD66" s="1227"/>
      <c r="DE66" s="1228"/>
      <c r="DF66" s="559"/>
      <c r="DG66" s="1189"/>
      <c r="DH66" s="1190"/>
      <c r="DI66" s="1190"/>
      <c r="DJ66" s="1190"/>
      <c r="DK66" s="1190"/>
      <c r="DL66" s="1191"/>
      <c r="DM66" s="1224"/>
      <c r="DN66" s="1225"/>
      <c r="DO66" s="1198"/>
      <c r="DP66" s="1226"/>
      <c r="DQ66" s="1227"/>
      <c r="DR66" s="1226"/>
      <c r="DS66" s="1227"/>
      <c r="DT66" s="1226"/>
      <c r="DU66" s="1227"/>
      <c r="DV66" s="1226"/>
      <c r="DW66" s="1227"/>
      <c r="DX66" s="1226"/>
      <c r="DY66" s="1227"/>
      <c r="DZ66" s="1226"/>
      <c r="EA66" s="1227"/>
      <c r="EB66" s="1226"/>
      <c r="EC66" s="1227"/>
      <c r="ED66" s="1226"/>
      <c r="EE66" s="1227"/>
      <c r="EF66" s="1226"/>
      <c r="EG66" s="1227"/>
      <c r="EH66" s="1226"/>
      <c r="EI66" s="1227"/>
      <c r="EJ66" s="1226"/>
      <c r="EK66" s="1227"/>
      <c r="EL66" s="1226"/>
      <c r="EM66" s="1227"/>
      <c r="EN66" s="1226"/>
      <c r="EO66" s="1227"/>
      <c r="EP66" s="1226"/>
      <c r="EQ66" s="1227"/>
      <c r="ER66" s="1226"/>
      <c r="ES66" s="1227"/>
      <c r="ET66" s="1226"/>
      <c r="EU66" s="1227"/>
      <c r="EV66" s="1226"/>
      <c r="EW66" s="1227"/>
      <c r="EX66" s="1226"/>
      <c r="EY66" s="1227"/>
      <c r="EZ66" s="1226"/>
      <c r="FA66" s="1227"/>
      <c r="FB66" s="1226"/>
      <c r="FC66" s="1227"/>
      <c r="FD66" s="1226"/>
      <c r="FE66" s="1227"/>
      <c r="FF66" s="1226"/>
      <c r="FG66" s="1227"/>
      <c r="FH66" s="1228"/>
      <c r="FI66" s="560"/>
      <c r="FJ66" s="1189" t="s">
        <v>665</v>
      </c>
      <c r="FK66" s="1190"/>
      <c r="FL66" s="1229"/>
      <c r="FM66" s="1230" t="s">
        <v>666</v>
      </c>
      <c r="FN66" s="1231"/>
      <c r="FO66" s="1191"/>
      <c r="FP66" s="1197">
        <v>9</v>
      </c>
      <c r="FQ66" s="1232">
        <v>5.2</v>
      </c>
      <c r="FR66" s="1233">
        <v>0.7</v>
      </c>
      <c r="FS66" s="1200">
        <v>9</v>
      </c>
      <c r="FT66" s="1232">
        <v>3.5</v>
      </c>
      <c r="FU66" s="1234">
        <v>0.5</v>
      </c>
      <c r="FV66" s="1235"/>
      <c r="FW66" s="1236"/>
      <c r="FX66" s="1236"/>
      <c r="FY66" s="1236"/>
      <c r="FZ66" s="1236"/>
      <c r="GA66" s="1236"/>
      <c r="GB66" s="1236"/>
      <c r="GC66" s="1237"/>
      <c r="GD66" s="1200"/>
      <c r="GE66" s="1238">
        <v>0.7</v>
      </c>
      <c r="GF66" s="681"/>
      <c r="GG66" s="392"/>
      <c r="GH66" s="392"/>
      <c r="GI66" s="392"/>
      <c r="GJ66" s="480"/>
      <c r="GK66" s="526"/>
      <c r="GL66" s="527"/>
      <c r="GM66" s="526"/>
      <c r="GN66" s="527"/>
      <c r="GO66" s="526"/>
      <c r="GP66" s="526"/>
      <c r="GQ66" s="526"/>
      <c r="GR66" s="527"/>
      <c r="GT66" s="1255"/>
      <c r="GU66" s="576"/>
      <c r="GV66" s="576"/>
      <c r="GW66" s="576"/>
      <c r="GX66" s="576"/>
      <c r="GY66" s="576"/>
      <c r="GZ66" s="497"/>
      <c r="HA66" s="497"/>
      <c r="HB66" s="497"/>
      <c r="HC66" s="407"/>
    </row>
    <row r="67" spans="1:211" ht="20.100000000000001" customHeight="1" thickBot="1">
      <c r="BC67" s="390"/>
      <c r="DF67" s="390"/>
      <c r="FI67" s="390"/>
      <c r="GD67" s="681"/>
      <c r="GE67" s="792"/>
      <c r="GF67" s="681"/>
      <c r="GG67" s="480"/>
      <c r="GH67" s="480"/>
      <c r="GI67" s="480"/>
      <c r="GJ67" s="392"/>
      <c r="GT67" s="682"/>
      <c r="GU67" s="497"/>
      <c r="GV67" s="497"/>
      <c r="GW67" s="497"/>
      <c r="GX67" s="497"/>
      <c r="GY67" s="497"/>
      <c r="GZ67" s="576"/>
      <c r="HA67" s="575"/>
      <c r="HB67" s="576"/>
      <c r="HC67" s="407"/>
    </row>
    <row r="68" spans="1:211" ht="20.100000000000001" customHeight="1">
      <c r="A68" s="1240" t="s">
        <v>350</v>
      </c>
      <c r="B68" s="1241"/>
      <c r="C68" s="1241"/>
      <c r="D68" s="1241"/>
      <c r="E68" s="814"/>
      <c r="F68" s="814"/>
      <c r="G68" s="1242" t="s">
        <v>355</v>
      </c>
      <c r="H68" s="1243"/>
      <c r="I68" s="1243"/>
      <c r="J68" s="1243"/>
      <c r="K68" s="1243"/>
      <c r="L68" s="1243"/>
      <c r="M68" s="1243"/>
      <c r="N68" s="1243"/>
      <c r="O68" s="1243"/>
      <c r="P68" s="1243"/>
      <c r="Q68" s="1243"/>
      <c r="R68" s="1243"/>
      <c r="S68" s="1243"/>
      <c r="T68" s="1243"/>
      <c r="U68" s="1243"/>
      <c r="V68" s="1243"/>
      <c r="W68" s="1243"/>
      <c r="X68" s="1243"/>
      <c r="Y68" s="1243"/>
      <c r="Z68" s="1243"/>
      <c r="AA68" s="1243"/>
      <c r="AB68" s="1243"/>
      <c r="AC68" s="1243"/>
      <c r="AD68" s="1243"/>
      <c r="AE68" s="1243"/>
      <c r="AF68" s="1243"/>
      <c r="AG68" s="1243"/>
      <c r="AH68" s="1243"/>
      <c r="AI68" s="1243"/>
      <c r="AJ68" s="1243"/>
      <c r="AK68" s="1243"/>
      <c r="AL68" s="1243"/>
      <c r="AM68" s="1243"/>
      <c r="AN68" s="1243"/>
      <c r="AO68" s="1243"/>
      <c r="AP68" s="1243"/>
      <c r="AQ68" s="1243"/>
      <c r="AR68" s="1243"/>
      <c r="AS68" s="1243"/>
      <c r="AT68" s="1243"/>
      <c r="AU68" s="1243"/>
      <c r="AV68" s="1243"/>
      <c r="AW68" s="1243"/>
      <c r="AX68" s="1243"/>
      <c r="AY68" s="1243"/>
      <c r="AZ68" s="1243"/>
      <c r="BA68" s="1243"/>
      <c r="BB68" s="1244"/>
      <c r="BC68" s="1245"/>
      <c r="BD68" s="1240" t="s">
        <v>350</v>
      </c>
      <c r="BE68" s="1241"/>
      <c r="BF68" s="1241"/>
      <c r="BG68" s="1241"/>
      <c r="BH68" s="814"/>
      <c r="BI68" s="814"/>
      <c r="BJ68" s="1246" t="str">
        <f>$G68</f>
        <v>(C)室内全熱負荷以降の外気負荷等は、熱源容量計算用の基準別、時刻別の値です。外気負荷を含めた空調機の容量の計算等は別紙「AC-2系統 空調機容量の計算」をご参照ください。</v>
      </c>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7"/>
      <c r="DD68" s="1247"/>
      <c r="DE68" s="1248"/>
      <c r="DF68" s="1245"/>
      <c r="DG68" s="1240" t="s">
        <v>350</v>
      </c>
      <c r="DH68" s="1241"/>
      <c r="DI68" s="1241"/>
      <c r="DJ68" s="1241"/>
      <c r="DK68" s="814"/>
      <c r="DL68" s="814"/>
      <c r="DM68" s="1246" t="str">
        <f>$G68</f>
        <v>(C)室内全熱負荷以降の外気負荷等は、熱源容量計算用の基準別、時刻別の値です。外気負荷を含めた空調機の容量の計算等は別紙「AC-2系統 空調機容量の計算」をご参照ください。</v>
      </c>
      <c r="DN68" s="1247"/>
      <c r="DO68" s="1247"/>
      <c r="DP68" s="1247"/>
      <c r="DQ68" s="1247"/>
      <c r="DR68" s="1247"/>
      <c r="DS68" s="1247"/>
      <c r="DT68" s="1247"/>
      <c r="DU68" s="1247"/>
      <c r="DV68" s="1247"/>
      <c r="DW68" s="1247"/>
      <c r="DX68" s="1247"/>
      <c r="DY68" s="1247"/>
      <c r="DZ68" s="1247"/>
      <c r="EA68" s="1247"/>
      <c r="EB68" s="1247"/>
      <c r="EC68" s="1247"/>
      <c r="ED68" s="1247"/>
      <c r="EE68" s="1247"/>
      <c r="EF68" s="1247"/>
      <c r="EG68" s="1247"/>
      <c r="EH68" s="1247"/>
      <c r="EI68" s="1247"/>
      <c r="EJ68" s="1247"/>
      <c r="EK68" s="1247"/>
      <c r="EL68" s="1247"/>
      <c r="EM68" s="1247"/>
      <c r="EN68" s="1247"/>
      <c r="EO68" s="1247"/>
      <c r="EP68" s="1247"/>
      <c r="EQ68" s="1247"/>
      <c r="ER68" s="1247"/>
      <c r="ES68" s="1247"/>
      <c r="ET68" s="1247"/>
      <c r="EU68" s="1247"/>
      <c r="EV68" s="1247"/>
      <c r="EW68" s="1247"/>
      <c r="EX68" s="1247"/>
      <c r="EY68" s="1247"/>
      <c r="EZ68" s="1247"/>
      <c r="FA68" s="1247"/>
      <c r="FB68" s="1247"/>
      <c r="FC68" s="1247"/>
      <c r="FD68" s="1247"/>
      <c r="FE68" s="1247"/>
      <c r="FF68" s="1247"/>
      <c r="FG68" s="1247"/>
      <c r="FH68" s="1248"/>
      <c r="FI68" s="1245"/>
      <c r="FJ68" s="1240" t="s">
        <v>350</v>
      </c>
      <c r="FK68" s="1241"/>
      <c r="FL68" s="1241"/>
      <c r="FM68" s="1241"/>
      <c r="FN68" s="814"/>
      <c r="FO68" s="814"/>
      <c r="FP68" s="1242"/>
      <c r="FQ68" s="1243"/>
      <c r="FR68" s="1243"/>
      <c r="FS68" s="1243"/>
      <c r="FT68" s="1243"/>
      <c r="FU68" s="1249"/>
      <c r="FV68" s="1250"/>
      <c r="FW68" s="1243"/>
      <c r="FX68" s="1243"/>
      <c r="FY68" s="1243"/>
      <c r="FZ68" s="1243"/>
      <c r="GA68" s="1243"/>
      <c r="GB68" s="1243"/>
      <c r="GC68" s="1251"/>
      <c r="GD68" s="1243"/>
      <c r="GE68" s="1244"/>
      <c r="GF68" s="681"/>
      <c r="GG68" s="599"/>
      <c r="GH68" s="599"/>
      <c r="GI68" s="599"/>
      <c r="GJ68" s="480"/>
      <c r="GK68" s="526"/>
      <c r="GL68" s="527"/>
      <c r="GM68" s="526"/>
      <c r="GN68" s="527"/>
      <c r="GO68" s="526"/>
      <c r="GP68" s="526"/>
      <c r="GQ68" s="526"/>
      <c r="GR68" s="527"/>
      <c r="GT68" s="576"/>
      <c r="GU68" s="1253"/>
      <c r="GV68" s="1253"/>
      <c r="GW68" s="1253"/>
      <c r="GX68" s="1253"/>
      <c r="GY68" s="1110"/>
      <c r="GZ68" s="1254"/>
      <c r="HA68" s="1254"/>
      <c r="HB68" s="1254"/>
    </row>
    <row r="69" spans="1:211" ht="20.100000000000001" customHeight="1">
      <c r="BC69" s="390"/>
      <c r="DF69" s="390"/>
      <c r="FI69" s="390"/>
      <c r="GF69" s="496"/>
      <c r="GG69" s="599"/>
      <c r="GH69" s="599"/>
      <c r="GI69" s="599"/>
      <c r="GJ69" s="527"/>
      <c r="GT69" s="1182"/>
      <c r="GU69" s="527"/>
      <c r="GV69" s="526"/>
      <c r="GW69" s="527"/>
      <c r="GX69" s="526"/>
      <c r="GY69" s="526"/>
      <c r="HA69" s="392"/>
    </row>
    <row r="70" spans="1:211" ht="20.100000000000001" customHeight="1">
      <c r="BC70" s="390"/>
      <c r="DF70" s="390"/>
      <c r="FI70" s="390"/>
      <c r="GJ70" s="392"/>
      <c r="GT70" s="682"/>
      <c r="GU70" s="526"/>
      <c r="GV70" s="526"/>
      <c r="GW70" s="526"/>
      <c r="GX70" s="526"/>
      <c r="GY70" s="526"/>
      <c r="HA70" s="527"/>
    </row>
    <row r="71" spans="1:211" ht="20.100000000000001" customHeight="1">
      <c r="BC71" s="390"/>
      <c r="DF71" s="390"/>
      <c r="FI71" s="390"/>
      <c r="GJ71" s="577"/>
      <c r="GS71" s="392"/>
      <c r="GT71" s="1252"/>
      <c r="GU71" s="527"/>
      <c r="GV71" s="392"/>
      <c r="GW71" s="527"/>
      <c r="GX71" s="392"/>
      <c r="GY71" s="576"/>
      <c r="GZ71" s="414"/>
      <c r="HA71" s="527"/>
      <c r="HB71" s="414"/>
    </row>
    <row r="72" spans="1:211" ht="20.100000000000001" customHeight="1">
      <c r="BC72" s="390"/>
      <c r="DF72" s="390"/>
      <c r="FI72" s="390"/>
      <c r="GJ72" s="527"/>
      <c r="GT72" s="1182"/>
      <c r="GU72" s="527"/>
      <c r="GV72" s="526"/>
      <c r="GW72" s="527"/>
      <c r="GX72" s="526"/>
      <c r="GY72" s="526"/>
      <c r="HA72" s="392"/>
    </row>
    <row r="73" spans="1:211" ht="20.100000000000001" customHeight="1">
      <c r="BC73" s="390"/>
      <c r="DF73" s="390"/>
      <c r="FI73" s="390"/>
      <c r="GJ73" s="527"/>
      <c r="GT73" s="1182"/>
      <c r="GU73" s="392"/>
      <c r="GV73" s="392"/>
      <c r="GW73" s="392"/>
      <c r="GX73" s="392"/>
      <c r="GY73" s="526"/>
      <c r="HA73" s="480"/>
    </row>
    <row r="74" spans="1:211" ht="20.100000000000001" customHeight="1">
      <c r="BC74" s="390"/>
      <c r="DF74" s="390"/>
      <c r="FI74" s="390"/>
      <c r="GT74" s="1182"/>
      <c r="GU74" s="480"/>
      <c r="GV74" s="483"/>
      <c r="GW74" s="480"/>
      <c r="GX74" s="483"/>
      <c r="GY74" s="392"/>
      <c r="HA74" s="577"/>
    </row>
    <row r="75" spans="1:211" ht="20.100000000000001" customHeight="1">
      <c r="BC75" s="390"/>
      <c r="DF75" s="390"/>
      <c r="FI75" s="390"/>
      <c r="GT75" s="392"/>
      <c r="GU75" s="577"/>
      <c r="GV75" s="414"/>
      <c r="GW75" s="577"/>
      <c r="GX75" s="414"/>
      <c r="GY75" s="483"/>
      <c r="HA75" s="527"/>
    </row>
    <row r="76" spans="1:211" ht="20.100000000000001" customHeight="1">
      <c r="BC76" s="390"/>
      <c r="DF76" s="390"/>
      <c r="FI76" s="390"/>
      <c r="GT76" s="483"/>
      <c r="GU76" s="527"/>
      <c r="GV76" s="526"/>
      <c r="GW76" s="527"/>
      <c r="GX76" s="526"/>
      <c r="GY76" s="414"/>
      <c r="HA76" s="527"/>
    </row>
    <row r="77" spans="1:211" ht="20.100000000000001" customHeight="1">
      <c r="BC77" s="390"/>
      <c r="DF77" s="390"/>
      <c r="FI77" s="390"/>
      <c r="GT77" s="850"/>
      <c r="GU77" s="527"/>
      <c r="GV77" s="526"/>
      <c r="GW77" s="527"/>
      <c r="GX77" s="526"/>
      <c r="GZ77" s="526"/>
    </row>
    <row r="78" spans="1:211" ht="20.100000000000001" customHeight="1">
      <c r="BC78" s="390"/>
      <c r="DF78" s="390"/>
      <c r="FI78" s="390"/>
      <c r="GT78" s="1182"/>
      <c r="GZ78" s="526"/>
    </row>
    <row r="79" spans="1:211" ht="20.100000000000001" customHeight="1">
      <c r="BC79" s="390"/>
      <c r="DF79" s="390"/>
      <c r="FI79" s="390"/>
      <c r="GT79" s="1182"/>
    </row>
    <row r="80" spans="1:211" ht="20.100000000000001" customHeight="1">
      <c r="BC80" s="390"/>
      <c r="DF80" s="390"/>
      <c r="FI80" s="390"/>
    </row>
    <row r="81" spans="55:165" ht="20.100000000000001" customHeight="1">
      <c r="BC81" s="390"/>
      <c r="DF81" s="390"/>
      <c r="FI81" s="390"/>
    </row>
    <row r="82" spans="55:165" ht="20.100000000000001" customHeight="1">
      <c r="BC82" s="390"/>
      <c r="DF82" s="390"/>
      <c r="FI82" s="390"/>
    </row>
    <row r="83" spans="55:165" ht="20.100000000000001" customHeight="1">
      <c r="BC83" s="390"/>
      <c r="DF83" s="390"/>
      <c r="FI83" s="390"/>
    </row>
    <row r="84" spans="55:165" ht="20.100000000000001" customHeight="1">
      <c r="BC84" s="390"/>
      <c r="DF84" s="390"/>
      <c r="FI84" s="390"/>
    </row>
    <row r="85" spans="55:165" ht="20.100000000000001" customHeight="1">
      <c r="BC85" s="390"/>
      <c r="DF85" s="390"/>
      <c r="FI85" s="390"/>
    </row>
    <row r="86" spans="55:165" ht="20.100000000000001" customHeight="1">
      <c r="BC86" s="390"/>
      <c r="DF86" s="390"/>
    </row>
    <row r="87" spans="55:165" ht="20.100000000000001" customHeight="1">
      <c r="BC87" s="390"/>
      <c r="DF87" s="390"/>
    </row>
    <row r="88" spans="55:165" ht="20.100000000000001" customHeight="1">
      <c r="BC88" s="390"/>
      <c r="DF88" s="390"/>
    </row>
    <row r="89" spans="55:165" ht="20.100000000000001" customHeight="1">
      <c r="BC89" s="390"/>
      <c r="DF89" s="390"/>
    </row>
  </sheetData>
  <dataConsolidate/>
  <mergeCells count="329">
    <mergeCell ref="GB59:GC59"/>
    <mergeCell ref="GB61:GC61"/>
    <mergeCell ref="GD59:GE59"/>
    <mergeCell ref="GD61:GE61"/>
    <mergeCell ref="FV59:FW59"/>
    <mergeCell ref="FX59:FY59"/>
    <mergeCell ref="FZ59:GA59"/>
    <mergeCell ref="FV61:FW61"/>
    <mergeCell ref="FX61:FY61"/>
    <mergeCell ref="FZ61:GA61"/>
    <mergeCell ref="DM68:FH68"/>
    <mergeCell ref="FJ68:FM68"/>
    <mergeCell ref="FP68:FU68"/>
    <mergeCell ref="FV68:GC68"/>
    <mergeCell ref="GD68:GE68"/>
    <mergeCell ref="DK63:DL64"/>
    <mergeCell ref="FJ63:FM64"/>
    <mergeCell ref="FN63:FO64"/>
    <mergeCell ref="GD65:GE65"/>
    <mergeCell ref="FV66:GC66"/>
    <mergeCell ref="A68:D68"/>
    <mergeCell ref="G68:BB68"/>
    <mergeCell ref="BD68:BG68"/>
    <mergeCell ref="BJ68:DE68"/>
    <mergeCell ref="DG68:DJ68"/>
    <mergeCell ref="DK56:DL57"/>
    <mergeCell ref="FJ56:FM57"/>
    <mergeCell ref="FN56:FO57"/>
    <mergeCell ref="A63:D64"/>
    <mergeCell ref="E63:F64"/>
    <mergeCell ref="BD63:BG64"/>
    <mergeCell ref="BH63:BI64"/>
    <mergeCell ref="DG63:DJ64"/>
    <mergeCell ref="GN51:GN52"/>
    <mergeCell ref="GO51:GO52"/>
    <mergeCell ref="GP51:GP52"/>
    <mergeCell ref="GQ51:GQ52"/>
    <mergeCell ref="GU54:GX54"/>
    <mergeCell ref="A56:D57"/>
    <mergeCell ref="E56:F57"/>
    <mergeCell ref="BD56:BG57"/>
    <mergeCell ref="BH56:BI57"/>
    <mergeCell ref="DG56:DJ57"/>
    <mergeCell ref="FX49:FY51"/>
    <mergeCell ref="FZ49:GA51"/>
    <mergeCell ref="GB49:GC51"/>
    <mergeCell ref="GD49:GE51"/>
    <mergeCell ref="GL51:GL52"/>
    <mergeCell ref="GM51:GM52"/>
    <mergeCell ref="GQ44:GR44"/>
    <mergeCell ref="BA46:BB46"/>
    <mergeCell ref="DD46:DE46"/>
    <mergeCell ref="FG46:FH46"/>
    <mergeCell ref="FT46:FU46"/>
    <mergeCell ref="A48:A51"/>
    <mergeCell ref="BD48:BD51"/>
    <mergeCell ref="DG48:DG51"/>
    <mergeCell ref="FJ48:FJ51"/>
    <mergeCell ref="FV49:FW51"/>
    <mergeCell ref="FV44:FW46"/>
    <mergeCell ref="FX44:FY46"/>
    <mergeCell ref="FZ44:GA46"/>
    <mergeCell ref="GB44:GC46"/>
    <mergeCell ref="GD44:GE46"/>
    <mergeCell ref="GM44:GN44"/>
    <mergeCell ref="GO41:GP41"/>
    <mergeCell ref="GQ41:GR41"/>
    <mergeCell ref="GM42:GN42"/>
    <mergeCell ref="GO42:GP42"/>
    <mergeCell ref="GQ42:GR42"/>
    <mergeCell ref="GK43:GL44"/>
    <mergeCell ref="GM43:GN43"/>
    <mergeCell ref="GO43:GP43"/>
    <mergeCell ref="GQ43:GR43"/>
    <mergeCell ref="GO44:GP44"/>
    <mergeCell ref="GK39:GL40"/>
    <mergeCell ref="GM39:GN40"/>
    <mergeCell ref="GO39:GP40"/>
    <mergeCell ref="GQ39:GR40"/>
    <mergeCell ref="A41:A44"/>
    <mergeCell ref="BD41:BD44"/>
    <mergeCell ref="DG41:DG44"/>
    <mergeCell ref="FJ41:FJ44"/>
    <mergeCell ref="GK41:GL42"/>
    <mergeCell ref="GM41:GN41"/>
    <mergeCell ref="GU37:GV37"/>
    <mergeCell ref="C38:D38"/>
    <mergeCell ref="E38:F38"/>
    <mergeCell ref="BF38:BG38"/>
    <mergeCell ref="BH38:BI38"/>
    <mergeCell ref="DI38:DJ38"/>
    <mergeCell ref="DK38:DL38"/>
    <mergeCell ref="FL38:FM38"/>
    <mergeCell ref="FN38:FO38"/>
    <mergeCell ref="GU38:GZ38"/>
    <mergeCell ref="DG37:DG40"/>
    <mergeCell ref="DI37:DJ37"/>
    <mergeCell ref="DK37:DL37"/>
    <mergeCell ref="FJ37:FJ40"/>
    <mergeCell ref="FL37:FM37"/>
    <mergeCell ref="FN37:FO37"/>
    <mergeCell ref="DI39:DJ39"/>
    <mergeCell ref="DK39:DL39"/>
    <mergeCell ref="FL39:FM39"/>
    <mergeCell ref="FN39:FO39"/>
    <mergeCell ref="A37:A40"/>
    <mergeCell ref="C37:D37"/>
    <mergeCell ref="E37:F37"/>
    <mergeCell ref="BD37:BD40"/>
    <mergeCell ref="BF37:BG37"/>
    <mergeCell ref="BH37:BI37"/>
    <mergeCell ref="C39:D39"/>
    <mergeCell ref="E39:F39"/>
    <mergeCell ref="BF39:BG39"/>
    <mergeCell ref="BH39:BI39"/>
    <mergeCell ref="GU33:GV33"/>
    <mergeCell ref="A34:A36"/>
    <mergeCell ref="BD34:BD36"/>
    <mergeCell ref="DG34:DG36"/>
    <mergeCell ref="FJ34:FJ36"/>
    <mergeCell ref="GK34:GP34"/>
    <mergeCell ref="GU34:GV34"/>
    <mergeCell ref="GU35:GV35"/>
    <mergeCell ref="GK36:GP36"/>
    <mergeCell ref="GU36:GV36"/>
    <mergeCell ref="GY31:GY32"/>
    <mergeCell ref="GZ31:GZ32"/>
    <mergeCell ref="HA31:HA32"/>
    <mergeCell ref="B32:C32"/>
    <mergeCell ref="BE32:BF32"/>
    <mergeCell ref="DH32:DI32"/>
    <mergeCell ref="FK32:FL32"/>
    <mergeCell ref="B31:C31"/>
    <mergeCell ref="BE31:BF31"/>
    <mergeCell ref="DH31:DI31"/>
    <mergeCell ref="FK31:FL31"/>
    <mergeCell ref="GW31:GW32"/>
    <mergeCell ref="GX31:GX32"/>
    <mergeCell ref="GK22:GN22"/>
    <mergeCell ref="GU22:GY22"/>
    <mergeCell ref="HA22:HB22"/>
    <mergeCell ref="A27:A33"/>
    <mergeCell ref="BD27:BD33"/>
    <mergeCell ref="DG27:DG33"/>
    <mergeCell ref="FJ27:FJ33"/>
    <mergeCell ref="GU30:GV32"/>
    <mergeCell ref="GW30:HA30"/>
    <mergeCell ref="HB30:HB32"/>
    <mergeCell ref="GK20:GL20"/>
    <mergeCell ref="GU20:GV20"/>
    <mergeCell ref="GX20:GY20"/>
    <mergeCell ref="HA20:HB20"/>
    <mergeCell ref="GK21:GM21"/>
    <mergeCell ref="GU21:GW21"/>
    <mergeCell ref="GX21:GY21"/>
    <mergeCell ref="HA21:HB21"/>
    <mergeCell ref="GK18:GL18"/>
    <mergeCell ref="GU18:GV18"/>
    <mergeCell ref="GX18:GY18"/>
    <mergeCell ref="HA18:HB18"/>
    <mergeCell ref="GK19:GL19"/>
    <mergeCell ref="GU19:GV19"/>
    <mergeCell ref="GX19:GY19"/>
    <mergeCell ref="HA19:HB19"/>
    <mergeCell ref="HA15:HB15"/>
    <mergeCell ref="GK16:GL16"/>
    <mergeCell ref="GU16:GV16"/>
    <mergeCell ref="GX16:GY16"/>
    <mergeCell ref="HA16:HB16"/>
    <mergeCell ref="GK17:GL17"/>
    <mergeCell ref="GU17:GV17"/>
    <mergeCell ref="GX17:GY17"/>
    <mergeCell ref="HA17:HB17"/>
    <mergeCell ref="GU14:GV14"/>
    <mergeCell ref="GX14:GY14"/>
    <mergeCell ref="HA14:HB14"/>
    <mergeCell ref="A15:A26"/>
    <mergeCell ref="BD15:BD26"/>
    <mergeCell ref="DG15:DG26"/>
    <mergeCell ref="FJ15:FJ26"/>
    <mergeCell ref="GK15:GL15"/>
    <mergeCell ref="GU15:GV15"/>
    <mergeCell ref="GX15:GY15"/>
    <mergeCell ref="GD10:GE43"/>
    <mergeCell ref="GK12:GL12"/>
    <mergeCell ref="GU12:GV12"/>
    <mergeCell ref="GX12:GY12"/>
    <mergeCell ref="HA12:HB12"/>
    <mergeCell ref="GK13:GL13"/>
    <mergeCell ref="GU13:GV13"/>
    <mergeCell ref="GX13:GY13"/>
    <mergeCell ref="HA13:HB13"/>
    <mergeCell ref="GK14:GL14"/>
    <mergeCell ref="FJ7:FO8"/>
    <mergeCell ref="FV7:GE9"/>
    <mergeCell ref="A9:A14"/>
    <mergeCell ref="BD9:BD14"/>
    <mergeCell ref="DG9:DG14"/>
    <mergeCell ref="FJ9:FJ14"/>
    <mergeCell ref="FV10:FW43"/>
    <mergeCell ref="FX10:FY43"/>
    <mergeCell ref="FZ10:GA43"/>
    <mergeCell ref="GB10:GC43"/>
    <mergeCell ref="GA6:GB6"/>
    <mergeCell ref="GE6:GF6"/>
    <mergeCell ref="GK6:GM6"/>
    <mergeCell ref="GU6:GW6"/>
    <mergeCell ref="A7:F8"/>
    <mergeCell ref="G7:BB7"/>
    <mergeCell ref="BD7:BI8"/>
    <mergeCell ref="BJ7:DE7"/>
    <mergeCell ref="DG7:DL8"/>
    <mergeCell ref="DM7:FH7"/>
    <mergeCell ref="DX6:DY6"/>
    <mergeCell ref="EB6:EC6"/>
    <mergeCell ref="FL6:FN6"/>
    <mergeCell ref="FO6:FP6"/>
    <mergeCell ref="FQ6:FU6"/>
    <mergeCell ref="FV6:FW6"/>
    <mergeCell ref="BY6:BZ6"/>
    <mergeCell ref="CE6:CF6"/>
    <mergeCell ref="DI6:DK6"/>
    <mergeCell ref="DL6:DM6"/>
    <mergeCell ref="DN6:DR6"/>
    <mergeCell ref="DS6:DT6"/>
    <mergeCell ref="AB6:AC6"/>
    <mergeCell ref="BF6:BH6"/>
    <mergeCell ref="BI6:BJ6"/>
    <mergeCell ref="BK6:BO6"/>
    <mergeCell ref="BP6:BQ6"/>
    <mergeCell ref="BU6:BV6"/>
    <mergeCell ref="C6:E6"/>
    <mergeCell ref="F6:G6"/>
    <mergeCell ref="H6:L6"/>
    <mergeCell ref="M6:N6"/>
    <mergeCell ref="R6:S6"/>
    <mergeCell ref="V6:W6"/>
    <mergeCell ref="FX5:FY5"/>
    <mergeCell ref="FZ5:GA5"/>
    <mergeCell ref="GB5:GC5"/>
    <mergeCell ref="GD5:GE5"/>
    <mergeCell ref="GK5:GM5"/>
    <mergeCell ref="GU5:GW5"/>
    <mergeCell ref="DQ5:DR5"/>
    <mergeCell ref="DS5:DT5"/>
    <mergeCell ref="DU5:DV5"/>
    <mergeCell ref="DW5:DX5"/>
    <mergeCell ref="DY5:DZ5"/>
    <mergeCell ref="EA5:EB5"/>
    <mergeCell ref="BR5:BS5"/>
    <mergeCell ref="BT5:BU5"/>
    <mergeCell ref="BV5:BW5"/>
    <mergeCell ref="BX5:BY5"/>
    <mergeCell ref="DM5:DN5"/>
    <mergeCell ref="DO5:DP5"/>
    <mergeCell ref="S5:T5"/>
    <mergeCell ref="U5:V5"/>
    <mergeCell ref="BJ5:BK5"/>
    <mergeCell ref="BL5:BM5"/>
    <mergeCell ref="BN5:BO5"/>
    <mergeCell ref="BP5:BQ5"/>
    <mergeCell ref="G5:H5"/>
    <mergeCell ref="I5:J5"/>
    <mergeCell ref="K5:L5"/>
    <mergeCell ref="M5:N5"/>
    <mergeCell ref="O5:P5"/>
    <mergeCell ref="Q5:R5"/>
    <mergeCell ref="EC4:EE5"/>
    <mergeCell ref="FX4:FY4"/>
    <mergeCell ref="FZ4:GA4"/>
    <mergeCell ref="GB4:GC4"/>
    <mergeCell ref="GD4:GE4"/>
    <mergeCell ref="GF4:GH5"/>
    <mergeCell ref="FP5:FQ5"/>
    <mergeCell ref="FR5:FS5"/>
    <mergeCell ref="FT5:FU5"/>
    <mergeCell ref="FV5:FW5"/>
    <mergeCell ref="FX3:GE3"/>
    <mergeCell ref="GF3:GH3"/>
    <mergeCell ref="GJ3:GR3"/>
    <mergeCell ref="GT3:HB3"/>
    <mergeCell ref="O4:P4"/>
    <mergeCell ref="Q4:R4"/>
    <mergeCell ref="S4:T4"/>
    <mergeCell ref="U4:V4"/>
    <mergeCell ref="W4:Y5"/>
    <mergeCell ref="BR4:BS4"/>
    <mergeCell ref="FJ3:FJ4"/>
    <mergeCell ref="FK3:FK4"/>
    <mergeCell ref="FL3:FL4"/>
    <mergeCell ref="FM3:FS4"/>
    <mergeCell ref="FT3:FU4"/>
    <mergeCell ref="FV3:FW4"/>
    <mergeCell ref="DI3:DI4"/>
    <mergeCell ref="DJ3:DP4"/>
    <mergeCell ref="DQ3:DR4"/>
    <mergeCell ref="DS3:DT4"/>
    <mergeCell ref="DU3:EB3"/>
    <mergeCell ref="EC3:EE3"/>
    <mergeCell ref="DU4:DV4"/>
    <mergeCell ref="DW4:DX4"/>
    <mergeCell ref="DY4:DZ4"/>
    <mergeCell ref="EA4:EB4"/>
    <mergeCell ref="BN3:BO4"/>
    <mergeCell ref="BP3:BQ4"/>
    <mergeCell ref="BR3:BY3"/>
    <mergeCell ref="BZ3:CB3"/>
    <mergeCell ref="DG3:DG4"/>
    <mergeCell ref="DH3:DH4"/>
    <mergeCell ref="BT4:BU4"/>
    <mergeCell ref="BV4:BW4"/>
    <mergeCell ref="BX4:BY4"/>
    <mergeCell ref="BZ4:CB5"/>
    <mergeCell ref="O3:V3"/>
    <mergeCell ref="W3:Y3"/>
    <mergeCell ref="BD3:BD4"/>
    <mergeCell ref="BE3:BE4"/>
    <mergeCell ref="BF3:BF4"/>
    <mergeCell ref="BG3:BM4"/>
    <mergeCell ref="H1:I1"/>
    <mergeCell ref="BK1:BL1"/>
    <mergeCell ref="DN1:DO1"/>
    <mergeCell ref="FQ1:FR1"/>
    <mergeCell ref="A3:A4"/>
    <mergeCell ref="B3:B4"/>
    <mergeCell ref="C3:C4"/>
    <mergeCell ref="D3:J4"/>
    <mergeCell ref="K3:L4"/>
    <mergeCell ref="M3:N4"/>
  </mergeCells>
  <phoneticPr fontId="3"/>
  <printOptions horizontalCentered="1" gridLinesSet="0"/>
  <pageMargins left="0.39370078740157483" right="0.19685039370078741" top="0.62992125984251968" bottom="0.47244094488188981" header="0.15748031496062992" footer="0.31496062992125984"/>
  <pageSetup paperSize="9" scale="38" fitToWidth="0" orientation="landscape" horizontalDpi="4294967292" verticalDpi="400" r:id="rId1"/>
  <headerFooter scaleWithDoc="0">
    <oddFooter>&amp;C&amp;"ＭＳ Ｐゴシック,標準"&amp;9( &amp;P / &amp;N )</oddFooter>
  </headerFooter>
  <rowBreaks count="1" manualBreakCount="1">
    <brk id="1" max="210" man="1"/>
  </rowBreaks>
  <colBreaks count="3" manualBreakCount="3">
    <brk id="55" max="68" man="1"/>
    <brk id="110" max="68" man="1"/>
    <brk id="165" max="68"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MO89"/>
  <sheetViews>
    <sheetView showGridLines="0" zoomScale="80" zoomScaleNormal="80" workbookViewId="0">
      <pane ySplit="8" topLeftCell="A42" activePane="bottomLeft" state="frozenSplit"/>
      <selection pane="bottomLeft"/>
    </sheetView>
  </sheetViews>
  <sheetFormatPr defaultColWidth="7.42578125" defaultRowHeight="20.100000000000001" customHeight="1"/>
  <cols>
    <col min="1" max="1" width="5" style="393" customWidth="1"/>
    <col min="2" max="6" width="9.5703125" style="393" customWidth="1"/>
    <col min="7" max="7" width="4.7109375" style="393" customWidth="1"/>
    <col min="8" max="8" width="7.7109375" style="393" customWidth="1"/>
    <col min="9" max="9" width="4.7109375" style="393" customWidth="1"/>
    <col min="10" max="10" width="7.7109375" style="393" customWidth="1"/>
    <col min="11" max="11" width="4.7109375" style="393" customWidth="1"/>
    <col min="12" max="12" width="7.7109375" style="393" customWidth="1"/>
    <col min="13" max="13" width="4.7109375" style="393" customWidth="1"/>
    <col min="14" max="14" width="7.7109375" style="393" customWidth="1"/>
    <col min="15" max="15" width="4.7109375" style="393" customWidth="1"/>
    <col min="16" max="16" width="7.7109375" style="393" customWidth="1"/>
    <col min="17" max="17" width="4.7109375" style="393" customWidth="1"/>
    <col min="18" max="18" width="7.7109375" style="393" customWidth="1"/>
    <col min="19" max="19" width="4.7109375" style="393" customWidth="1"/>
    <col min="20" max="20" width="7.7109375" style="393" customWidth="1"/>
    <col min="21" max="21" width="4.7109375" style="393" customWidth="1"/>
    <col min="22" max="22" width="7.7109375" style="393" customWidth="1"/>
    <col min="23" max="23" width="4.7109375" style="393" customWidth="1"/>
    <col min="24" max="24" width="7.7109375" style="393" customWidth="1"/>
    <col min="25" max="25" width="4.7109375" style="393" customWidth="1"/>
    <col min="26" max="26" width="7.7109375" style="393" customWidth="1"/>
    <col min="27" max="27" width="4.7109375" style="393" customWidth="1"/>
    <col min="28" max="28" width="7.7109375" style="393" customWidth="1"/>
    <col min="29" max="29" width="4.7109375" style="393" customWidth="1"/>
    <col min="30" max="30" width="7.7109375" style="393" customWidth="1"/>
    <col min="31" max="31" width="4.7109375" style="393" customWidth="1"/>
    <col min="32" max="32" width="7.7109375" style="393" customWidth="1"/>
    <col min="33" max="33" width="4.7109375" style="393" customWidth="1"/>
    <col min="34" max="34" width="7.7109375" style="393" customWidth="1"/>
    <col min="35" max="35" width="4.7109375" style="393" customWidth="1"/>
    <col min="36" max="36" width="7.7109375" style="393" customWidth="1"/>
    <col min="37" max="37" width="4.7109375" style="393" customWidth="1"/>
    <col min="38" max="38" width="7.7109375" style="393" customWidth="1"/>
    <col min="39" max="39" width="4.7109375" style="393" customWidth="1"/>
    <col min="40" max="40" width="7.7109375" style="393" customWidth="1"/>
    <col min="41" max="41" width="4.7109375" style="393" customWidth="1"/>
    <col min="42" max="42" width="7.7109375" style="393" customWidth="1"/>
    <col min="43" max="43" width="4.7109375" style="393" customWidth="1"/>
    <col min="44" max="44" width="7.7109375" style="393" customWidth="1"/>
    <col min="45" max="45" width="4.7109375" style="393" customWidth="1"/>
    <col min="46" max="46" width="7.7109375" style="393" customWidth="1"/>
    <col min="47" max="47" width="4.7109375" style="393" customWidth="1"/>
    <col min="48" max="48" width="7.7109375" style="393" customWidth="1"/>
    <col min="49" max="49" width="4.7109375" style="393" customWidth="1"/>
    <col min="50" max="50" width="7.7109375" style="393" customWidth="1"/>
    <col min="51" max="51" width="4.7109375" style="393" customWidth="1"/>
    <col min="52" max="52" width="7.7109375" style="393" customWidth="1"/>
    <col min="53" max="53" width="4.7109375" style="393" customWidth="1"/>
    <col min="54" max="54" width="7.7109375" style="393" customWidth="1"/>
    <col min="55" max="55" width="4.28515625" style="1203" customWidth="1"/>
    <col min="56" max="56" width="5" style="393" customWidth="1"/>
    <col min="57" max="61" width="9.5703125" style="393" customWidth="1"/>
    <col min="62" max="62" width="4.7109375" style="393" customWidth="1"/>
    <col min="63" max="63" width="7.7109375" style="393" customWidth="1"/>
    <col min="64" max="64" width="4.7109375" style="393" customWidth="1"/>
    <col min="65" max="65" width="7.7109375" style="393" customWidth="1"/>
    <col min="66" max="66" width="4.7109375" style="393" customWidth="1"/>
    <col min="67" max="67" width="7.7109375" style="393" customWidth="1"/>
    <col min="68" max="68" width="4.7109375" style="393" customWidth="1"/>
    <col min="69" max="69" width="7.7109375" style="393" customWidth="1"/>
    <col min="70" max="70" width="4.7109375" style="393" customWidth="1"/>
    <col min="71" max="71" width="7.7109375" style="393" customWidth="1"/>
    <col min="72" max="72" width="4.7109375" style="393" customWidth="1"/>
    <col min="73" max="73" width="7.7109375" style="393" customWidth="1"/>
    <col min="74" max="74" width="4.7109375" style="393" customWidth="1"/>
    <col min="75" max="75" width="7.7109375" style="393" customWidth="1"/>
    <col min="76" max="76" width="4.7109375" style="393" customWidth="1"/>
    <col min="77" max="77" width="7.7109375" style="393" customWidth="1"/>
    <col min="78" max="78" width="4.7109375" style="393" customWidth="1"/>
    <col min="79" max="79" width="7.7109375" style="393" customWidth="1"/>
    <col min="80" max="80" width="4.7109375" style="393" customWidth="1"/>
    <col min="81" max="81" width="7.7109375" style="393" customWidth="1"/>
    <col min="82" max="82" width="4.7109375" style="393" customWidth="1"/>
    <col min="83" max="83" width="7.7109375" style="393" customWidth="1"/>
    <col min="84" max="84" width="4.7109375" style="393" customWidth="1"/>
    <col min="85" max="85" width="7.7109375" style="393" customWidth="1"/>
    <col min="86" max="86" width="4.7109375" style="393" customWidth="1"/>
    <col min="87" max="87" width="7.7109375" style="393" customWidth="1"/>
    <col min="88" max="88" width="4.7109375" style="393" customWidth="1"/>
    <col min="89" max="89" width="7.7109375" style="393" customWidth="1"/>
    <col min="90" max="90" width="4.7109375" style="393" customWidth="1"/>
    <col min="91" max="91" width="7.7109375" style="393" customWidth="1"/>
    <col min="92" max="92" width="4.7109375" style="393" customWidth="1"/>
    <col min="93" max="93" width="7.7109375" style="393" customWidth="1"/>
    <col min="94" max="94" width="4.7109375" style="393" customWidth="1"/>
    <col min="95" max="95" width="7.7109375" style="393" customWidth="1"/>
    <col min="96" max="96" width="4.7109375" style="393" customWidth="1"/>
    <col min="97" max="97" width="7.7109375" style="393" customWidth="1"/>
    <col min="98" max="98" width="4.7109375" style="393" customWidth="1"/>
    <col min="99" max="99" width="7.7109375" style="393" customWidth="1"/>
    <col min="100" max="100" width="4.7109375" style="393" customWidth="1"/>
    <col min="101" max="101" width="7.7109375" style="393" customWidth="1"/>
    <col min="102" max="102" width="4.7109375" style="393" customWidth="1"/>
    <col min="103" max="103" width="7.7109375" style="393" customWidth="1"/>
    <col min="104" max="104" width="4.7109375" style="393" customWidth="1"/>
    <col min="105" max="105" width="7.7109375" style="393" customWidth="1"/>
    <col min="106" max="106" width="4.7109375" style="393" customWidth="1"/>
    <col min="107" max="107" width="7.7109375" style="393" customWidth="1"/>
    <col min="108" max="108" width="4.7109375" style="393" customWidth="1"/>
    <col min="109" max="109" width="7.7109375" style="393" customWidth="1"/>
    <col min="110" max="110" width="4.7109375" style="1203" customWidth="1"/>
    <col min="111" max="111" width="5" style="393" customWidth="1"/>
    <col min="112" max="116" width="9.5703125" style="393" customWidth="1"/>
    <col min="117" max="117" width="4.7109375" style="393" customWidth="1"/>
    <col min="118" max="118" width="7.7109375" style="393" customWidth="1"/>
    <col min="119" max="119" width="4.7109375" style="393" customWidth="1"/>
    <col min="120" max="120" width="7.7109375" style="393" customWidth="1"/>
    <col min="121" max="121" width="4.7109375" style="393" customWidth="1"/>
    <col min="122" max="122" width="7.7109375" style="393" customWidth="1"/>
    <col min="123" max="123" width="4.7109375" style="393" customWidth="1"/>
    <col min="124" max="124" width="7.7109375" style="393" customWidth="1"/>
    <col min="125" max="125" width="4.7109375" style="393" customWidth="1"/>
    <col min="126" max="126" width="7.7109375" style="393" customWidth="1"/>
    <col min="127" max="127" width="4.7109375" style="393" customWidth="1"/>
    <col min="128" max="128" width="7.7109375" style="393" customWidth="1"/>
    <col min="129" max="129" width="4.7109375" style="393" customWidth="1"/>
    <col min="130" max="130" width="7.7109375" style="393" customWidth="1"/>
    <col min="131" max="131" width="4.7109375" style="393" customWidth="1"/>
    <col min="132" max="132" width="7.7109375" style="393" customWidth="1"/>
    <col min="133" max="133" width="4.7109375" style="393" customWidth="1"/>
    <col min="134" max="134" width="7.7109375" style="393" customWidth="1"/>
    <col min="135" max="135" width="4.7109375" style="393" customWidth="1"/>
    <col min="136" max="136" width="7.7109375" style="393" customWidth="1"/>
    <col min="137" max="137" width="4.7109375" style="393" customWidth="1"/>
    <col min="138" max="138" width="7.7109375" style="393" customWidth="1"/>
    <col min="139" max="139" width="4.7109375" style="393" customWidth="1"/>
    <col min="140" max="140" width="7.7109375" style="393" customWidth="1"/>
    <col min="141" max="141" width="4.7109375" style="393" customWidth="1"/>
    <col min="142" max="142" width="7.7109375" style="393" customWidth="1"/>
    <col min="143" max="143" width="4.7109375" style="393" customWidth="1"/>
    <col min="144" max="144" width="7.7109375" style="393" customWidth="1"/>
    <col min="145" max="145" width="4.7109375" style="393" customWidth="1"/>
    <col min="146" max="146" width="7.7109375" style="393" customWidth="1"/>
    <col min="147" max="147" width="4.7109375" style="393" customWidth="1"/>
    <col min="148" max="148" width="7.7109375" style="393" customWidth="1"/>
    <col min="149" max="149" width="4.7109375" style="393" customWidth="1"/>
    <col min="150" max="150" width="7.7109375" style="393" customWidth="1"/>
    <col min="151" max="151" width="4.7109375" style="393" customWidth="1"/>
    <col min="152" max="152" width="7.7109375" style="393" customWidth="1"/>
    <col min="153" max="153" width="4.7109375" style="393" customWidth="1"/>
    <col min="154" max="154" width="7.7109375" style="393" customWidth="1"/>
    <col min="155" max="155" width="4.7109375" style="393" customWidth="1"/>
    <col min="156" max="156" width="7.7109375" style="393" customWidth="1"/>
    <col min="157" max="157" width="4.7109375" style="393" customWidth="1"/>
    <col min="158" max="158" width="7.7109375" style="393" customWidth="1"/>
    <col min="159" max="159" width="4.7109375" style="393" customWidth="1"/>
    <col min="160" max="160" width="7.7109375" style="393" customWidth="1"/>
    <col min="161" max="161" width="4.7109375" style="393" customWidth="1"/>
    <col min="162" max="162" width="7.7109375" style="393" customWidth="1"/>
    <col min="163" max="163" width="4.7109375" style="393" customWidth="1"/>
    <col min="164" max="164" width="7.7109375" style="393" customWidth="1"/>
    <col min="165" max="165" width="4.7109375" style="1203" customWidth="1"/>
    <col min="166" max="166" width="5" style="393" customWidth="1"/>
    <col min="167" max="171" width="9.5703125" style="393" customWidth="1"/>
    <col min="172" max="173" width="4.7109375" style="393" customWidth="1"/>
    <col min="174" max="174" width="7.7109375" style="393" customWidth="1"/>
    <col min="175" max="176" width="4.7109375" style="393" customWidth="1"/>
    <col min="177" max="177" width="7.7109375" style="393" customWidth="1"/>
    <col min="178" max="178" width="4.7109375" style="393" customWidth="1"/>
    <col min="179" max="179" width="7.7109375" style="393" customWidth="1"/>
    <col min="180" max="180" width="4.7109375" style="393" customWidth="1"/>
    <col min="181" max="181" width="7.7109375" style="393" customWidth="1"/>
    <col min="182" max="182" width="4.7109375" style="393" customWidth="1"/>
    <col min="183" max="183" width="7.7109375" style="393" customWidth="1"/>
    <col min="184" max="184" width="4.7109375" style="393" customWidth="1"/>
    <col min="185" max="185" width="7.7109375" style="393" customWidth="1"/>
    <col min="186" max="186" width="4.7109375" style="393" customWidth="1"/>
    <col min="187" max="187" width="7.7109375" style="393" customWidth="1"/>
    <col min="188" max="188" width="4.7109375" style="393" customWidth="1"/>
    <col min="189" max="191" width="7.7109375" style="1239" customWidth="1"/>
    <col min="192" max="192" width="4.7109375" style="1239" customWidth="1"/>
    <col min="193" max="193" width="6.7109375" style="1239" customWidth="1"/>
    <col min="194" max="199" width="8.7109375" style="1239" customWidth="1"/>
    <col min="200" max="200" width="12.5703125" style="1239" customWidth="1"/>
    <col min="201" max="201" width="7.140625" style="1239" customWidth="1"/>
    <col min="202" max="202" width="4.7109375" style="1239" customWidth="1"/>
    <col min="203" max="203" width="6.7109375" style="1239" customWidth="1"/>
    <col min="204" max="210" width="8.7109375" style="1239" customWidth="1"/>
    <col min="211" max="211" width="4.28515625" style="1203" customWidth="1"/>
    <col min="212" max="212" width="7.42578125" style="393" customWidth="1"/>
    <col min="213" max="213" width="24.5703125" style="393" customWidth="1"/>
    <col min="214" max="214" width="8.85546875" style="393" customWidth="1"/>
    <col min="215" max="16384" width="7.42578125" style="393"/>
  </cols>
  <sheetData>
    <row r="1" spans="1:353" s="386" customFormat="1" ht="42" customHeight="1">
      <c r="A1" s="375" t="s">
        <v>282</v>
      </c>
      <c r="B1" s="376"/>
      <c r="C1" s="376"/>
      <c r="D1" s="376"/>
      <c r="E1" s="376"/>
      <c r="F1" s="376"/>
      <c r="G1" s="376"/>
      <c r="H1" s="377"/>
      <c r="I1" s="377"/>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8" t="s">
        <v>284</v>
      </c>
      <c r="AY1" s="376" t="s">
        <v>581</v>
      </c>
      <c r="AZ1" s="376"/>
      <c r="BA1" s="376"/>
      <c r="BB1" s="379"/>
      <c r="BC1" s="380"/>
      <c r="BD1" s="375" t="s">
        <v>282</v>
      </c>
      <c r="BE1" s="376"/>
      <c r="BF1" s="376"/>
      <c r="BG1" s="376"/>
      <c r="BH1" s="376"/>
      <c r="BI1" s="376"/>
      <c r="BJ1" s="376"/>
      <c r="BK1" s="377"/>
      <c r="BL1" s="377"/>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8" t="s">
        <v>284</v>
      </c>
      <c r="DB1" s="376" t="str">
        <f>$AY1</f>
        <v>9時-18時</v>
      </c>
      <c r="DC1" s="378"/>
      <c r="DD1" s="376"/>
      <c r="DE1" s="379"/>
      <c r="DF1" s="380"/>
      <c r="DG1" s="375" t="s">
        <v>282</v>
      </c>
      <c r="DH1" s="376"/>
      <c r="DI1" s="376"/>
      <c r="DJ1" s="376"/>
      <c r="DK1" s="376"/>
      <c r="DL1" s="376"/>
      <c r="DM1" s="376"/>
      <c r="DN1" s="377"/>
      <c r="DO1" s="377"/>
      <c r="DP1" s="376"/>
      <c r="DQ1" s="376"/>
      <c r="DR1" s="376"/>
      <c r="DS1" s="376"/>
      <c r="DT1" s="376"/>
      <c r="DU1" s="376"/>
      <c r="DV1" s="376"/>
      <c r="DW1" s="376"/>
      <c r="DX1" s="376"/>
      <c r="DY1" s="376"/>
      <c r="DZ1" s="376"/>
      <c r="EA1" s="376"/>
      <c r="EB1" s="376"/>
      <c r="EC1" s="376"/>
      <c r="ED1" s="376"/>
      <c r="EE1" s="376"/>
      <c r="EF1" s="376"/>
      <c r="EG1" s="376"/>
      <c r="EH1" s="376"/>
      <c r="EI1" s="376"/>
      <c r="EJ1" s="376"/>
      <c r="EK1" s="376"/>
      <c r="EL1" s="376"/>
      <c r="EM1" s="376"/>
      <c r="EN1" s="376"/>
      <c r="EO1" s="376"/>
      <c r="EP1" s="376"/>
      <c r="EQ1" s="376"/>
      <c r="ER1" s="376"/>
      <c r="ES1" s="376"/>
      <c r="ET1" s="376"/>
      <c r="EU1" s="376"/>
      <c r="EV1" s="376"/>
      <c r="EW1" s="376"/>
      <c r="EX1" s="376"/>
      <c r="EY1" s="376"/>
      <c r="EZ1" s="376"/>
      <c r="FA1" s="376"/>
      <c r="FB1" s="376"/>
      <c r="FC1" s="376"/>
      <c r="FD1" s="378" t="s">
        <v>284</v>
      </c>
      <c r="FE1" s="376" t="str">
        <f>$AY1</f>
        <v>9時-18時</v>
      </c>
      <c r="FF1" s="378"/>
      <c r="FG1" s="376"/>
      <c r="FH1" s="379"/>
      <c r="FI1" s="381"/>
      <c r="FJ1" s="375" t="s">
        <v>282</v>
      </c>
      <c r="FK1" s="376"/>
      <c r="FL1" s="376"/>
      <c r="FM1" s="376"/>
      <c r="FN1" s="376"/>
      <c r="FO1" s="376"/>
      <c r="FP1" s="376"/>
      <c r="FQ1" s="377"/>
      <c r="FR1" s="377"/>
      <c r="FS1" s="376"/>
      <c r="FT1" s="376"/>
      <c r="FU1" s="376"/>
      <c r="FV1" s="376"/>
      <c r="FW1" s="376"/>
      <c r="FX1" s="376"/>
      <c r="FY1" s="376"/>
      <c r="FZ1" s="376"/>
      <c r="GA1" s="376"/>
      <c r="GB1" s="376"/>
      <c r="GC1" s="376"/>
      <c r="GD1" s="376"/>
      <c r="GE1" s="376"/>
      <c r="GF1" s="376"/>
      <c r="GG1" s="376"/>
      <c r="GH1" s="376"/>
      <c r="GI1" s="376"/>
      <c r="GJ1" s="376"/>
      <c r="GK1" s="376"/>
      <c r="GL1" s="376"/>
      <c r="GM1" s="376"/>
      <c r="GN1" s="376"/>
      <c r="GO1" s="376"/>
      <c r="GP1" s="376"/>
      <c r="GQ1" s="376"/>
      <c r="GR1" s="376"/>
      <c r="GS1" s="376"/>
      <c r="GT1" s="376"/>
      <c r="GU1" s="378"/>
      <c r="GV1" s="376"/>
      <c r="GW1" s="376"/>
      <c r="GX1" s="376"/>
      <c r="GY1" s="378" t="s">
        <v>440</v>
      </c>
      <c r="GZ1" s="376" t="s">
        <v>356</v>
      </c>
      <c r="HA1" s="376"/>
      <c r="HB1" s="379"/>
      <c r="HC1" s="1444" t="s">
        <v>587</v>
      </c>
      <c r="HD1" s="382"/>
      <c r="HE1" s="383"/>
      <c r="HF1" s="382"/>
      <c r="HG1" s="1442"/>
      <c r="HH1" s="384" t="s">
        <v>285</v>
      </c>
      <c r="HI1" s="385"/>
    </row>
    <row r="2" spans="1:353" ht="20.100000000000001" customHeight="1" thickBot="1">
      <c r="A2" s="387"/>
      <c r="B2" s="387"/>
      <c r="C2" s="387"/>
      <c r="D2" s="387"/>
      <c r="E2" s="387"/>
      <c r="F2" s="387"/>
      <c r="G2" s="387"/>
      <c r="H2" s="387"/>
      <c r="I2" s="387"/>
      <c r="J2" s="387"/>
      <c r="K2" s="387"/>
      <c r="L2" s="387"/>
      <c r="M2" s="387"/>
      <c r="N2" s="387"/>
      <c r="O2" s="387"/>
      <c r="P2" s="387"/>
      <c r="Q2" s="387"/>
      <c r="R2" s="387"/>
      <c r="S2" s="387"/>
      <c r="T2" s="387"/>
      <c r="U2" s="387"/>
      <c r="V2" s="387"/>
      <c r="W2" s="387"/>
      <c r="X2" s="388"/>
      <c r="Y2" s="387"/>
      <c r="Z2" s="387"/>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9"/>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8"/>
      <c r="CB2" s="387"/>
      <c r="CC2" s="387"/>
      <c r="CD2" s="388"/>
      <c r="CE2" s="388"/>
      <c r="CF2" s="388"/>
      <c r="CG2" s="388"/>
      <c r="CH2" s="388"/>
      <c r="CI2" s="388"/>
      <c r="CJ2" s="388"/>
      <c r="CK2" s="388"/>
      <c r="CL2" s="388"/>
      <c r="CM2" s="388"/>
      <c r="CN2" s="388"/>
      <c r="CO2" s="388"/>
      <c r="CP2" s="388"/>
      <c r="CQ2" s="388"/>
      <c r="CR2" s="388"/>
      <c r="CS2" s="388"/>
      <c r="CT2" s="388"/>
      <c r="CU2" s="388"/>
      <c r="CV2" s="388"/>
      <c r="CW2" s="388"/>
      <c r="CX2" s="388"/>
      <c r="CY2" s="388"/>
      <c r="CZ2" s="388"/>
      <c r="DA2" s="388"/>
      <c r="DB2" s="388"/>
      <c r="DC2" s="388"/>
      <c r="DD2" s="388"/>
      <c r="DE2" s="388"/>
      <c r="DF2" s="390"/>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8"/>
      <c r="EE2" s="387"/>
      <c r="EF2" s="387"/>
      <c r="EG2" s="388"/>
      <c r="EH2" s="388"/>
      <c r="EI2" s="388"/>
      <c r="EJ2" s="388"/>
      <c r="EK2" s="388"/>
      <c r="EL2" s="388"/>
      <c r="EM2" s="388"/>
      <c r="EN2" s="388"/>
      <c r="EO2" s="388"/>
      <c r="EP2" s="388"/>
      <c r="EQ2" s="388"/>
      <c r="ER2" s="388"/>
      <c r="ES2" s="388"/>
      <c r="ET2" s="388"/>
      <c r="EU2" s="388"/>
      <c r="EV2" s="388"/>
      <c r="EW2" s="388"/>
      <c r="EX2" s="388"/>
      <c r="EY2" s="388"/>
      <c r="EZ2" s="388"/>
      <c r="FA2" s="388"/>
      <c r="FB2" s="388"/>
      <c r="FC2" s="388"/>
      <c r="FD2" s="388"/>
      <c r="FE2" s="388"/>
      <c r="FF2" s="388"/>
      <c r="FG2" s="388"/>
      <c r="FH2" s="388"/>
      <c r="FI2" s="390"/>
      <c r="FJ2" s="387"/>
      <c r="FK2" s="387"/>
      <c r="FL2" s="387"/>
      <c r="FM2" s="387"/>
      <c r="FN2" s="387"/>
      <c r="FO2" s="387"/>
      <c r="FP2" s="387"/>
      <c r="FQ2" s="387"/>
      <c r="FR2" s="387"/>
      <c r="FS2" s="387"/>
      <c r="FT2" s="387"/>
      <c r="FU2" s="387"/>
      <c r="FV2" s="387"/>
      <c r="FW2" s="387"/>
      <c r="FX2" s="387"/>
      <c r="FY2" s="387"/>
      <c r="FZ2" s="387"/>
      <c r="GA2" s="387"/>
      <c r="GB2" s="387"/>
      <c r="GC2" s="387"/>
      <c r="GD2" s="387"/>
      <c r="GE2" s="387"/>
      <c r="GF2" s="387"/>
      <c r="GG2" s="391"/>
      <c r="GH2" s="391"/>
      <c r="GI2" s="391"/>
      <c r="GJ2" s="391"/>
      <c r="GK2" s="391"/>
      <c r="GL2" s="391"/>
      <c r="GM2" s="391"/>
      <c r="GN2" s="391"/>
      <c r="GO2" s="391"/>
      <c r="GP2" s="391"/>
      <c r="GQ2" s="391"/>
      <c r="GR2" s="391"/>
      <c r="GS2" s="391"/>
      <c r="GT2" s="392"/>
      <c r="GU2" s="392"/>
      <c r="GV2" s="391"/>
      <c r="GW2" s="391"/>
      <c r="GX2" s="391"/>
      <c r="GY2" s="391"/>
      <c r="GZ2" s="391"/>
      <c r="HA2" s="391"/>
      <c r="HB2" s="391"/>
      <c r="HC2" s="389"/>
      <c r="HD2" s="387"/>
      <c r="HE2" s="387"/>
      <c r="HF2" s="387"/>
      <c r="HG2" s="387"/>
    </row>
    <row r="3" spans="1:353" ht="20.100000000000001" customHeight="1">
      <c r="A3" s="394" t="s">
        <v>562</v>
      </c>
      <c r="B3" s="395">
        <v>208</v>
      </c>
      <c r="C3" s="396" t="s">
        <v>540</v>
      </c>
      <c r="D3" s="397" t="s">
        <v>584</v>
      </c>
      <c r="E3" s="397"/>
      <c r="F3" s="397"/>
      <c r="G3" s="397"/>
      <c r="H3" s="397"/>
      <c r="I3" s="397"/>
      <c r="J3" s="398"/>
      <c r="K3" s="399" t="s">
        <v>585</v>
      </c>
      <c r="L3" s="400"/>
      <c r="M3" s="399" t="s">
        <v>368</v>
      </c>
      <c r="N3" s="400"/>
      <c r="O3" s="401" t="s">
        <v>700</v>
      </c>
      <c r="P3" s="402"/>
      <c r="Q3" s="402"/>
      <c r="R3" s="402"/>
      <c r="S3" s="402"/>
      <c r="T3" s="402"/>
      <c r="U3" s="402"/>
      <c r="V3" s="403"/>
      <c r="W3" s="404" t="s">
        <v>369</v>
      </c>
      <c r="X3" s="405"/>
      <c r="Y3" s="406"/>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394" t="s">
        <v>370</v>
      </c>
      <c r="BE3" s="395">
        <v>208</v>
      </c>
      <c r="BF3" s="396" t="s">
        <v>364</v>
      </c>
      <c r="BG3" s="408" t="s">
        <v>580</v>
      </c>
      <c r="BH3" s="408"/>
      <c r="BI3" s="408"/>
      <c r="BJ3" s="408"/>
      <c r="BK3" s="408"/>
      <c r="BL3" s="408"/>
      <c r="BM3" s="409"/>
      <c r="BN3" s="399" t="s">
        <v>367</v>
      </c>
      <c r="BO3" s="400"/>
      <c r="BP3" s="399" t="s">
        <v>368</v>
      </c>
      <c r="BQ3" s="400"/>
      <c r="BR3" s="401" t="s">
        <v>645</v>
      </c>
      <c r="BS3" s="402"/>
      <c r="BT3" s="402"/>
      <c r="BU3" s="402"/>
      <c r="BV3" s="402"/>
      <c r="BW3" s="402"/>
      <c r="BX3" s="402"/>
      <c r="BY3" s="403"/>
      <c r="BZ3" s="404" t="s">
        <v>369</v>
      </c>
      <c r="CA3" s="405"/>
      <c r="CB3" s="406"/>
      <c r="CC3" s="407"/>
      <c r="CD3" s="407"/>
      <c r="CE3" s="407"/>
      <c r="CF3" s="407"/>
      <c r="CG3" s="407"/>
      <c r="CH3" s="407"/>
      <c r="CI3" s="407"/>
      <c r="CJ3" s="407"/>
      <c r="CK3" s="407"/>
      <c r="CL3" s="407"/>
      <c r="CM3" s="407"/>
      <c r="CN3" s="407"/>
      <c r="CO3" s="407"/>
      <c r="CP3" s="407"/>
      <c r="CQ3" s="407"/>
      <c r="CR3" s="407"/>
      <c r="CS3" s="407"/>
      <c r="CT3" s="407"/>
      <c r="CU3" s="407"/>
      <c r="CV3" s="407"/>
      <c r="CW3" s="407"/>
      <c r="CX3" s="407"/>
      <c r="CY3" s="407"/>
      <c r="CZ3" s="407"/>
      <c r="DA3" s="407"/>
      <c r="DB3" s="407"/>
      <c r="DC3" s="407"/>
      <c r="DD3" s="407"/>
      <c r="DE3" s="407"/>
      <c r="DF3" s="407"/>
      <c r="DG3" s="394" t="s">
        <v>370</v>
      </c>
      <c r="DH3" s="395">
        <v>208</v>
      </c>
      <c r="DI3" s="396" t="s">
        <v>364</v>
      </c>
      <c r="DJ3" s="408" t="s">
        <v>580</v>
      </c>
      <c r="DK3" s="408"/>
      <c r="DL3" s="408"/>
      <c r="DM3" s="408"/>
      <c r="DN3" s="408"/>
      <c r="DO3" s="408"/>
      <c r="DP3" s="409"/>
      <c r="DQ3" s="399" t="s">
        <v>367</v>
      </c>
      <c r="DR3" s="400"/>
      <c r="DS3" s="399" t="s">
        <v>368</v>
      </c>
      <c r="DT3" s="400"/>
      <c r="DU3" s="401" t="s">
        <v>650</v>
      </c>
      <c r="DV3" s="402"/>
      <c r="DW3" s="402"/>
      <c r="DX3" s="402"/>
      <c r="DY3" s="402"/>
      <c r="DZ3" s="402"/>
      <c r="EA3" s="402"/>
      <c r="EB3" s="403"/>
      <c r="EC3" s="404" t="s">
        <v>369</v>
      </c>
      <c r="ED3" s="405"/>
      <c r="EE3" s="406"/>
      <c r="EF3" s="407"/>
      <c r="EG3" s="407"/>
      <c r="EH3" s="407"/>
      <c r="EI3" s="407"/>
      <c r="EJ3" s="407"/>
      <c r="EK3" s="407"/>
      <c r="EL3" s="407"/>
      <c r="EM3" s="407"/>
      <c r="EN3" s="407"/>
      <c r="EO3" s="407"/>
      <c r="EP3" s="407"/>
      <c r="EQ3" s="407"/>
      <c r="ER3" s="407"/>
      <c r="ES3" s="407"/>
      <c r="ET3" s="407"/>
      <c r="EU3" s="407"/>
      <c r="EV3" s="407"/>
      <c r="EW3" s="407"/>
      <c r="EX3" s="407"/>
      <c r="EY3" s="407"/>
      <c r="EZ3" s="407"/>
      <c r="FA3" s="407"/>
      <c r="FB3" s="407"/>
      <c r="FC3" s="407"/>
      <c r="FD3" s="407"/>
      <c r="FE3" s="407"/>
      <c r="FF3" s="407"/>
      <c r="FG3" s="407"/>
      <c r="FH3" s="407"/>
      <c r="FI3" s="407"/>
      <c r="FJ3" s="394" t="s">
        <v>370</v>
      </c>
      <c r="FK3" s="395">
        <v>208</v>
      </c>
      <c r="FL3" s="396" t="s">
        <v>364</v>
      </c>
      <c r="FM3" s="408" t="s">
        <v>580</v>
      </c>
      <c r="FN3" s="408"/>
      <c r="FO3" s="408"/>
      <c r="FP3" s="408"/>
      <c r="FQ3" s="408"/>
      <c r="FR3" s="408"/>
      <c r="FS3" s="409"/>
      <c r="FT3" s="399" t="s">
        <v>367</v>
      </c>
      <c r="FU3" s="400"/>
      <c r="FV3" s="399" t="s">
        <v>368</v>
      </c>
      <c r="FW3" s="400"/>
      <c r="FX3" s="401" t="s">
        <v>708</v>
      </c>
      <c r="FY3" s="402"/>
      <c r="FZ3" s="402"/>
      <c r="GA3" s="402"/>
      <c r="GB3" s="402"/>
      <c r="GC3" s="402"/>
      <c r="GD3" s="402"/>
      <c r="GE3" s="403"/>
      <c r="GF3" s="404" t="s">
        <v>369</v>
      </c>
      <c r="GG3" s="405"/>
      <c r="GH3" s="406"/>
      <c r="GI3" s="410"/>
      <c r="GJ3" s="411" t="s">
        <v>442</v>
      </c>
      <c r="GK3" s="412"/>
      <c r="GL3" s="412"/>
      <c r="GM3" s="412"/>
      <c r="GN3" s="412"/>
      <c r="GO3" s="412"/>
      <c r="GP3" s="412"/>
      <c r="GQ3" s="412"/>
      <c r="GR3" s="413"/>
      <c r="GS3" s="414"/>
      <c r="GT3" s="411" t="s">
        <v>443</v>
      </c>
      <c r="GU3" s="412"/>
      <c r="GV3" s="412"/>
      <c r="GW3" s="412"/>
      <c r="GX3" s="412"/>
      <c r="GY3" s="412"/>
      <c r="GZ3" s="412"/>
      <c r="HA3" s="412"/>
      <c r="HB3" s="413"/>
      <c r="HC3" s="415"/>
      <c r="HD3" s="438"/>
      <c r="HE3" s="417"/>
      <c r="HF3" s="417"/>
      <c r="HG3" s="387"/>
    </row>
    <row r="4" spans="1:353" ht="20.100000000000001" customHeight="1">
      <c r="A4" s="418"/>
      <c r="B4" s="419"/>
      <c r="C4" s="420"/>
      <c r="D4" s="421"/>
      <c r="E4" s="421"/>
      <c r="F4" s="421"/>
      <c r="G4" s="421"/>
      <c r="H4" s="421"/>
      <c r="I4" s="421"/>
      <c r="J4" s="422"/>
      <c r="K4" s="423"/>
      <c r="L4" s="424"/>
      <c r="M4" s="423"/>
      <c r="N4" s="424"/>
      <c r="O4" s="425" t="s">
        <v>371</v>
      </c>
      <c r="P4" s="426"/>
      <c r="Q4" s="427" t="s">
        <v>372</v>
      </c>
      <c r="R4" s="426"/>
      <c r="S4" s="428" t="s">
        <v>373</v>
      </c>
      <c r="T4" s="429"/>
      <c r="U4" s="430" t="s">
        <v>374</v>
      </c>
      <c r="V4" s="431"/>
      <c r="W4" s="432" t="s">
        <v>375</v>
      </c>
      <c r="X4" s="433"/>
      <c r="Y4" s="434"/>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18"/>
      <c r="BE4" s="419"/>
      <c r="BF4" s="420"/>
      <c r="BG4" s="435"/>
      <c r="BH4" s="435"/>
      <c r="BI4" s="435"/>
      <c r="BJ4" s="435"/>
      <c r="BK4" s="435"/>
      <c r="BL4" s="435"/>
      <c r="BM4" s="436"/>
      <c r="BN4" s="423"/>
      <c r="BO4" s="424"/>
      <c r="BP4" s="423"/>
      <c r="BQ4" s="424"/>
      <c r="BR4" s="425" t="s">
        <v>371</v>
      </c>
      <c r="BS4" s="426"/>
      <c r="BT4" s="427" t="s">
        <v>372</v>
      </c>
      <c r="BU4" s="426"/>
      <c r="BV4" s="428" t="s">
        <v>373</v>
      </c>
      <c r="BW4" s="429"/>
      <c r="BX4" s="430" t="s">
        <v>374</v>
      </c>
      <c r="BY4" s="431"/>
      <c r="BZ4" s="432" t="s">
        <v>375</v>
      </c>
      <c r="CA4" s="433"/>
      <c r="CB4" s="434"/>
      <c r="CC4" s="407"/>
      <c r="CD4" s="407"/>
      <c r="CE4" s="407"/>
      <c r="CF4" s="407"/>
      <c r="CG4" s="407"/>
      <c r="CH4" s="407"/>
      <c r="CI4" s="407"/>
      <c r="CJ4" s="407"/>
      <c r="CK4" s="407"/>
      <c r="CL4" s="407"/>
      <c r="CM4" s="407"/>
      <c r="CN4" s="407"/>
      <c r="CO4" s="407"/>
      <c r="CP4" s="407"/>
      <c r="CQ4" s="407"/>
      <c r="CR4" s="407"/>
      <c r="CS4" s="407"/>
      <c r="CT4" s="407"/>
      <c r="CU4" s="407"/>
      <c r="CV4" s="407"/>
      <c r="CW4" s="407"/>
      <c r="CX4" s="407"/>
      <c r="CY4" s="407"/>
      <c r="CZ4" s="407"/>
      <c r="DA4" s="407"/>
      <c r="DB4" s="407"/>
      <c r="DC4" s="407"/>
      <c r="DD4" s="407"/>
      <c r="DE4" s="407"/>
      <c r="DF4" s="407"/>
      <c r="DG4" s="418"/>
      <c r="DH4" s="419"/>
      <c r="DI4" s="420"/>
      <c r="DJ4" s="435"/>
      <c r="DK4" s="435"/>
      <c r="DL4" s="435"/>
      <c r="DM4" s="435"/>
      <c r="DN4" s="435"/>
      <c r="DO4" s="435"/>
      <c r="DP4" s="436"/>
      <c r="DQ4" s="423"/>
      <c r="DR4" s="424"/>
      <c r="DS4" s="423"/>
      <c r="DT4" s="424"/>
      <c r="DU4" s="425" t="s">
        <v>371</v>
      </c>
      <c r="DV4" s="426"/>
      <c r="DW4" s="427" t="s">
        <v>372</v>
      </c>
      <c r="DX4" s="426"/>
      <c r="DY4" s="428" t="s">
        <v>373</v>
      </c>
      <c r="DZ4" s="429"/>
      <c r="EA4" s="430" t="s">
        <v>374</v>
      </c>
      <c r="EB4" s="431"/>
      <c r="EC4" s="432" t="s">
        <v>375</v>
      </c>
      <c r="ED4" s="433"/>
      <c r="EE4" s="434"/>
      <c r="EF4" s="407"/>
      <c r="EG4" s="407"/>
      <c r="EH4" s="407"/>
      <c r="EI4" s="407"/>
      <c r="EJ4" s="407"/>
      <c r="EK4" s="407"/>
      <c r="EL4" s="407"/>
      <c r="EM4" s="407"/>
      <c r="EN4" s="407"/>
      <c r="EO4" s="407"/>
      <c r="EP4" s="407"/>
      <c r="EQ4" s="407"/>
      <c r="ER4" s="407"/>
      <c r="ES4" s="407"/>
      <c r="ET4" s="407"/>
      <c r="EU4" s="407"/>
      <c r="EV4" s="407"/>
      <c r="EW4" s="407"/>
      <c r="EX4" s="407"/>
      <c r="EY4" s="407"/>
      <c r="EZ4" s="407"/>
      <c r="FA4" s="407"/>
      <c r="FB4" s="407"/>
      <c r="FC4" s="407"/>
      <c r="FD4" s="407"/>
      <c r="FE4" s="407"/>
      <c r="FF4" s="407"/>
      <c r="FG4" s="407"/>
      <c r="FH4" s="407"/>
      <c r="FI4" s="407"/>
      <c r="FJ4" s="418"/>
      <c r="FK4" s="419"/>
      <c r="FL4" s="420"/>
      <c r="FM4" s="435"/>
      <c r="FN4" s="435"/>
      <c r="FO4" s="435"/>
      <c r="FP4" s="435"/>
      <c r="FQ4" s="435"/>
      <c r="FR4" s="435"/>
      <c r="FS4" s="436"/>
      <c r="FT4" s="423"/>
      <c r="FU4" s="424"/>
      <c r="FV4" s="423"/>
      <c r="FW4" s="424"/>
      <c r="FX4" s="425" t="s">
        <v>371</v>
      </c>
      <c r="FY4" s="426"/>
      <c r="FZ4" s="427" t="s">
        <v>372</v>
      </c>
      <c r="GA4" s="426"/>
      <c r="GB4" s="428" t="s">
        <v>373</v>
      </c>
      <c r="GC4" s="429"/>
      <c r="GD4" s="430" t="s">
        <v>374</v>
      </c>
      <c r="GE4" s="431"/>
      <c r="GF4" s="432" t="s">
        <v>352</v>
      </c>
      <c r="GG4" s="433"/>
      <c r="GH4" s="434"/>
      <c r="GI4" s="410"/>
      <c r="GJ4" s="437"/>
      <c r="GK4" s="437"/>
      <c r="GL4" s="437"/>
      <c r="GM4" s="437"/>
      <c r="GN4" s="437"/>
      <c r="GO4" s="437"/>
      <c r="GP4" s="437"/>
      <c r="GQ4" s="437"/>
      <c r="GR4" s="437"/>
      <c r="GS4" s="414"/>
      <c r="GT4" s="437"/>
      <c r="GU4" s="437"/>
      <c r="GV4" s="437"/>
      <c r="GW4" s="437"/>
      <c r="GX4" s="437"/>
      <c r="GY4" s="437"/>
      <c r="GZ4" s="437"/>
      <c r="HA4" s="437"/>
      <c r="HB4" s="437"/>
      <c r="HC4" s="1445"/>
      <c r="HD4" s="438"/>
      <c r="HE4" s="438"/>
      <c r="HF4" s="501"/>
      <c r="HG4" s="387"/>
      <c r="MO4" s="393" t="s">
        <v>352</v>
      </c>
    </row>
    <row r="5" spans="1:353" ht="24.95" customHeight="1" thickBot="1">
      <c r="A5" s="439" t="s">
        <v>378</v>
      </c>
      <c r="B5" s="440">
        <v>2</v>
      </c>
      <c r="C5" s="441" t="s">
        <v>379</v>
      </c>
      <c r="D5" s="442">
        <v>53.3</v>
      </c>
      <c r="E5" s="443" t="s">
        <v>380</v>
      </c>
      <c r="F5" s="444">
        <v>2.8</v>
      </c>
      <c r="G5" s="445" t="s">
        <v>381</v>
      </c>
      <c r="H5" s="446"/>
      <c r="I5" s="447">
        <v>149.29999999999998</v>
      </c>
      <c r="J5" s="448"/>
      <c r="K5" s="449">
        <v>110</v>
      </c>
      <c r="L5" s="450"/>
      <c r="M5" s="449">
        <v>50</v>
      </c>
      <c r="N5" s="450"/>
      <c r="O5" s="1438" t="s">
        <v>696</v>
      </c>
      <c r="P5" s="451"/>
      <c r="Q5" s="1439" t="s">
        <v>697</v>
      </c>
      <c r="R5" s="452"/>
      <c r="S5" s="1440" t="s">
        <v>698</v>
      </c>
      <c r="T5" s="453"/>
      <c r="U5" s="1441" t="s">
        <v>699</v>
      </c>
      <c r="V5" s="454"/>
      <c r="W5" s="455"/>
      <c r="X5" s="456"/>
      <c r="Y5" s="457"/>
      <c r="Z5" s="415"/>
      <c r="AA5" s="458"/>
      <c r="AB5" s="415"/>
      <c r="AC5" s="458"/>
      <c r="AD5" s="415"/>
      <c r="AE5" s="458"/>
      <c r="AF5" s="415"/>
      <c r="AG5" s="458"/>
      <c r="AH5" s="415"/>
      <c r="AI5" s="458"/>
      <c r="AJ5" s="415"/>
      <c r="AK5" s="458"/>
      <c r="AL5" s="415"/>
      <c r="AM5" s="458"/>
      <c r="AN5" s="415"/>
      <c r="AO5" s="458"/>
      <c r="AP5" s="415"/>
      <c r="AQ5" s="458"/>
      <c r="AR5" s="415"/>
      <c r="AS5" s="458"/>
      <c r="AT5" s="415"/>
      <c r="AU5" s="458"/>
      <c r="AV5" s="415"/>
      <c r="AW5" s="458"/>
      <c r="AX5" s="415"/>
      <c r="AY5" s="458"/>
      <c r="AZ5" s="415"/>
      <c r="BA5" s="458"/>
      <c r="BB5" s="415"/>
      <c r="BC5" s="415"/>
      <c r="BD5" s="439" t="s">
        <v>378</v>
      </c>
      <c r="BE5" s="440">
        <v>2</v>
      </c>
      <c r="BF5" s="441" t="s">
        <v>287</v>
      </c>
      <c r="BG5" s="442">
        <v>53.3</v>
      </c>
      <c r="BH5" s="443" t="s">
        <v>380</v>
      </c>
      <c r="BI5" s="444">
        <v>2.8</v>
      </c>
      <c r="BJ5" s="445" t="s">
        <v>381</v>
      </c>
      <c r="BK5" s="446"/>
      <c r="BL5" s="447">
        <v>149.29999999999998</v>
      </c>
      <c r="BM5" s="448"/>
      <c r="BN5" s="449">
        <v>110</v>
      </c>
      <c r="BO5" s="450"/>
      <c r="BP5" s="449">
        <v>50</v>
      </c>
      <c r="BQ5" s="450"/>
      <c r="BR5" s="1438" t="s">
        <v>683</v>
      </c>
      <c r="BS5" s="451"/>
      <c r="BT5" s="1439" t="s">
        <v>701</v>
      </c>
      <c r="BU5" s="452"/>
      <c r="BV5" s="1440" t="s">
        <v>702</v>
      </c>
      <c r="BW5" s="453"/>
      <c r="BX5" s="1441" t="s">
        <v>699</v>
      </c>
      <c r="BY5" s="454"/>
      <c r="BZ5" s="455"/>
      <c r="CA5" s="456"/>
      <c r="CB5" s="457"/>
      <c r="CC5" s="415"/>
      <c r="CD5" s="458"/>
      <c r="CE5" s="415"/>
      <c r="CF5" s="458"/>
      <c r="CG5" s="415"/>
      <c r="CH5" s="458"/>
      <c r="CI5" s="415"/>
      <c r="CJ5" s="458"/>
      <c r="CK5" s="415"/>
      <c r="CL5" s="458"/>
      <c r="CM5" s="415"/>
      <c r="CN5" s="458"/>
      <c r="CO5" s="415"/>
      <c r="CP5" s="458"/>
      <c r="CQ5" s="415"/>
      <c r="CR5" s="458"/>
      <c r="CS5" s="415"/>
      <c r="CT5" s="458"/>
      <c r="CU5" s="415"/>
      <c r="CV5" s="458"/>
      <c r="CW5" s="415"/>
      <c r="CX5" s="458"/>
      <c r="CY5" s="415"/>
      <c r="CZ5" s="458"/>
      <c r="DA5" s="415"/>
      <c r="DB5" s="458"/>
      <c r="DC5" s="415"/>
      <c r="DD5" s="458"/>
      <c r="DE5" s="415"/>
      <c r="DF5" s="415"/>
      <c r="DG5" s="439" t="s">
        <v>378</v>
      </c>
      <c r="DH5" s="440">
        <v>2</v>
      </c>
      <c r="DI5" s="441" t="s">
        <v>287</v>
      </c>
      <c r="DJ5" s="442">
        <v>53.3</v>
      </c>
      <c r="DK5" s="443" t="s">
        <v>380</v>
      </c>
      <c r="DL5" s="444">
        <v>2.8</v>
      </c>
      <c r="DM5" s="445" t="s">
        <v>381</v>
      </c>
      <c r="DN5" s="446"/>
      <c r="DO5" s="447">
        <v>149.29999999999998</v>
      </c>
      <c r="DP5" s="448"/>
      <c r="DQ5" s="449">
        <v>110</v>
      </c>
      <c r="DR5" s="450"/>
      <c r="DS5" s="449">
        <v>50</v>
      </c>
      <c r="DT5" s="450"/>
      <c r="DU5" s="1438" t="s">
        <v>646</v>
      </c>
      <c r="DV5" s="451"/>
      <c r="DW5" s="1439" t="s">
        <v>697</v>
      </c>
      <c r="DX5" s="452"/>
      <c r="DY5" s="1440" t="s">
        <v>703</v>
      </c>
      <c r="DZ5" s="453"/>
      <c r="EA5" s="1441" t="s">
        <v>699</v>
      </c>
      <c r="EB5" s="454"/>
      <c r="EC5" s="455"/>
      <c r="ED5" s="456"/>
      <c r="EE5" s="457"/>
      <c r="EF5" s="415"/>
      <c r="EG5" s="458"/>
      <c r="EH5" s="415"/>
      <c r="EI5" s="458"/>
      <c r="EJ5" s="415"/>
      <c r="EK5" s="458"/>
      <c r="EL5" s="415"/>
      <c r="EM5" s="458"/>
      <c r="EN5" s="415"/>
      <c r="EO5" s="458"/>
      <c r="EP5" s="415"/>
      <c r="EQ5" s="458"/>
      <c r="ER5" s="415"/>
      <c r="ES5" s="458"/>
      <c r="ET5" s="415"/>
      <c r="EU5" s="458"/>
      <c r="EV5" s="415"/>
      <c r="EW5" s="458"/>
      <c r="EX5" s="415"/>
      <c r="EY5" s="458"/>
      <c r="EZ5" s="415"/>
      <c r="FA5" s="458"/>
      <c r="FB5" s="415"/>
      <c r="FC5" s="458"/>
      <c r="FD5" s="415"/>
      <c r="FE5" s="458"/>
      <c r="FF5" s="415"/>
      <c r="FG5" s="458"/>
      <c r="FH5" s="415"/>
      <c r="FI5" s="415"/>
      <c r="FJ5" s="439" t="s">
        <v>378</v>
      </c>
      <c r="FK5" s="440">
        <v>2</v>
      </c>
      <c r="FL5" s="441" t="s">
        <v>287</v>
      </c>
      <c r="FM5" s="442">
        <v>53.3</v>
      </c>
      <c r="FN5" s="443" t="s">
        <v>380</v>
      </c>
      <c r="FO5" s="444">
        <v>2.8</v>
      </c>
      <c r="FP5" s="445" t="s">
        <v>381</v>
      </c>
      <c r="FQ5" s="446"/>
      <c r="FR5" s="447">
        <v>149.29999999999998</v>
      </c>
      <c r="FS5" s="448"/>
      <c r="FT5" s="449">
        <v>110</v>
      </c>
      <c r="FU5" s="450"/>
      <c r="FV5" s="449">
        <v>50</v>
      </c>
      <c r="FW5" s="450"/>
      <c r="FX5" s="1438" t="s">
        <v>704</v>
      </c>
      <c r="FY5" s="451"/>
      <c r="FZ5" s="1439" t="s">
        <v>705</v>
      </c>
      <c r="GA5" s="452"/>
      <c r="GB5" s="1440" t="s">
        <v>706</v>
      </c>
      <c r="GC5" s="453"/>
      <c r="GD5" s="1441" t="s">
        <v>707</v>
      </c>
      <c r="GE5" s="454"/>
      <c r="GF5" s="455"/>
      <c r="GG5" s="456"/>
      <c r="GH5" s="457"/>
      <c r="GI5" s="459"/>
      <c r="GJ5" s="410"/>
      <c r="GK5" s="460" t="s">
        <v>444</v>
      </c>
      <c r="GL5" s="460"/>
      <c r="GM5" s="460"/>
      <c r="GN5" s="410" t="s">
        <v>445</v>
      </c>
      <c r="GO5" s="461"/>
      <c r="GP5" s="461"/>
      <c r="GQ5" s="461"/>
      <c r="GR5" s="410"/>
      <c r="GS5" s="410"/>
      <c r="GT5" s="414"/>
      <c r="GU5" s="460" t="s">
        <v>446</v>
      </c>
      <c r="GV5" s="460"/>
      <c r="GW5" s="460"/>
      <c r="GX5" s="410" t="s">
        <v>445</v>
      </c>
      <c r="GY5" s="461"/>
      <c r="GZ5" s="461"/>
      <c r="HA5" s="461"/>
      <c r="HB5" s="410"/>
      <c r="HC5" s="462"/>
      <c r="HD5" s="438"/>
      <c r="HE5" s="438"/>
      <c r="HF5" s="501"/>
      <c r="HG5" s="387"/>
    </row>
    <row r="6" spans="1:353" ht="20.100000000000001" customHeight="1" thickBot="1">
      <c r="A6" s="463" t="s">
        <v>586</v>
      </c>
      <c r="B6" s="464"/>
      <c r="C6" s="465" t="s">
        <v>383</v>
      </c>
      <c r="D6" s="465"/>
      <c r="E6" s="465"/>
      <c r="F6" s="466">
        <v>0</v>
      </c>
      <c r="G6" s="466"/>
      <c r="H6" s="465" t="s">
        <v>384</v>
      </c>
      <c r="I6" s="465"/>
      <c r="J6" s="465"/>
      <c r="K6" s="465"/>
      <c r="L6" s="465"/>
      <c r="M6" s="467">
        <v>0</v>
      </c>
      <c r="N6" s="467"/>
      <c r="O6" s="468"/>
      <c r="P6" s="469"/>
      <c r="Q6" s="469" t="s">
        <v>385</v>
      </c>
      <c r="R6" s="470">
        <v>0</v>
      </c>
      <c r="S6" s="470"/>
      <c r="T6" s="471"/>
      <c r="U6" s="472" t="s">
        <v>386</v>
      </c>
      <c r="V6" s="473">
        <v>0</v>
      </c>
      <c r="W6" s="473"/>
      <c r="X6" s="474"/>
      <c r="Y6" s="469"/>
      <c r="Z6" s="469"/>
      <c r="AA6" s="469"/>
      <c r="AB6" s="467"/>
      <c r="AC6" s="467"/>
      <c r="AD6" s="469"/>
      <c r="AE6" s="468"/>
      <c r="AF6" s="464"/>
      <c r="AG6" s="469"/>
      <c r="AH6" s="469"/>
      <c r="AI6" s="474"/>
      <c r="AJ6" s="469"/>
      <c r="AK6" s="474"/>
      <c r="AL6" s="469"/>
      <c r="AM6" s="474"/>
      <c r="AN6" s="469"/>
      <c r="AO6" s="474"/>
      <c r="AP6" s="469"/>
      <c r="AQ6" s="474"/>
      <c r="AR6" s="469"/>
      <c r="AS6" s="474"/>
      <c r="AT6" s="469"/>
      <c r="AU6" s="474"/>
      <c r="AV6" s="469"/>
      <c r="AW6" s="474"/>
      <c r="AX6" s="475"/>
      <c r="AY6" s="474"/>
      <c r="AZ6" s="469"/>
      <c r="BA6" s="474"/>
      <c r="BB6" s="37" t="s">
        <v>388</v>
      </c>
      <c r="BC6" s="476"/>
      <c r="BD6" s="463" t="s">
        <v>382</v>
      </c>
      <c r="BE6" s="464"/>
      <c r="BF6" s="465" t="s">
        <v>383</v>
      </c>
      <c r="BG6" s="465"/>
      <c r="BH6" s="465"/>
      <c r="BI6" s="466">
        <v>0</v>
      </c>
      <c r="BJ6" s="466"/>
      <c r="BK6" s="465" t="s">
        <v>384</v>
      </c>
      <c r="BL6" s="465"/>
      <c r="BM6" s="465"/>
      <c r="BN6" s="465"/>
      <c r="BO6" s="465"/>
      <c r="BP6" s="467">
        <v>0</v>
      </c>
      <c r="BQ6" s="467"/>
      <c r="BR6" s="468"/>
      <c r="BS6" s="469"/>
      <c r="BT6" s="469" t="s">
        <v>288</v>
      </c>
      <c r="BU6" s="470">
        <v>0</v>
      </c>
      <c r="BV6" s="470"/>
      <c r="BW6" s="471"/>
      <c r="BX6" s="472" t="s">
        <v>289</v>
      </c>
      <c r="BY6" s="473">
        <v>0</v>
      </c>
      <c r="BZ6" s="473"/>
      <c r="CA6" s="474"/>
      <c r="CB6" s="469"/>
      <c r="CC6" s="469"/>
      <c r="CD6" s="474"/>
      <c r="CE6" s="467"/>
      <c r="CF6" s="467"/>
      <c r="CG6" s="469"/>
      <c r="CH6" s="468"/>
      <c r="CI6" s="464"/>
      <c r="CJ6" s="469"/>
      <c r="CK6" s="469"/>
      <c r="CL6" s="474"/>
      <c r="CM6" s="469"/>
      <c r="CN6" s="474"/>
      <c r="CO6" s="469"/>
      <c r="CP6" s="474"/>
      <c r="CQ6" s="469"/>
      <c r="CR6" s="474"/>
      <c r="CS6" s="469"/>
      <c r="CT6" s="474"/>
      <c r="CU6" s="469"/>
      <c r="CV6" s="474"/>
      <c r="CW6" s="469"/>
      <c r="CX6" s="474"/>
      <c r="CY6" s="469"/>
      <c r="CZ6" s="474"/>
      <c r="DA6" s="469"/>
      <c r="DB6" s="474"/>
      <c r="DC6" s="469"/>
      <c r="DD6" s="474"/>
      <c r="DE6" s="477" t="s">
        <v>390</v>
      </c>
      <c r="DF6" s="478"/>
      <c r="DG6" s="463" t="s">
        <v>382</v>
      </c>
      <c r="DH6" s="464"/>
      <c r="DI6" s="465" t="s">
        <v>383</v>
      </c>
      <c r="DJ6" s="465"/>
      <c r="DK6" s="465"/>
      <c r="DL6" s="466">
        <v>0</v>
      </c>
      <c r="DM6" s="466"/>
      <c r="DN6" s="465" t="s">
        <v>384</v>
      </c>
      <c r="DO6" s="465"/>
      <c r="DP6" s="465"/>
      <c r="DQ6" s="465"/>
      <c r="DR6" s="465"/>
      <c r="DS6" s="467">
        <v>0</v>
      </c>
      <c r="DT6" s="467"/>
      <c r="DU6" s="468"/>
      <c r="DV6" s="469"/>
      <c r="DW6" s="469" t="s">
        <v>288</v>
      </c>
      <c r="DX6" s="470">
        <v>0</v>
      </c>
      <c r="DY6" s="470"/>
      <c r="DZ6" s="471"/>
      <c r="EA6" s="472" t="s">
        <v>289</v>
      </c>
      <c r="EB6" s="473">
        <v>0</v>
      </c>
      <c r="EC6" s="473"/>
      <c r="ED6" s="474"/>
      <c r="EE6" s="469"/>
      <c r="EF6" s="474"/>
      <c r="EG6" s="469"/>
      <c r="EH6" s="464"/>
      <c r="EI6" s="474"/>
      <c r="EJ6" s="469"/>
      <c r="EK6" s="468"/>
      <c r="EL6" s="464"/>
      <c r="EM6" s="469"/>
      <c r="EN6" s="469"/>
      <c r="EO6" s="474"/>
      <c r="EP6" s="469"/>
      <c r="EQ6" s="474"/>
      <c r="ER6" s="469"/>
      <c r="ES6" s="474"/>
      <c r="ET6" s="469"/>
      <c r="EU6" s="474"/>
      <c r="EV6" s="469"/>
      <c r="EW6" s="474"/>
      <c r="EX6" s="469"/>
      <c r="EY6" s="474"/>
      <c r="EZ6" s="469"/>
      <c r="FA6" s="474"/>
      <c r="FB6" s="469"/>
      <c r="FC6" s="474"/>
      <c r="FD6" s="469"/>
      <c r="FE6" s="474"/>
      <c r="FF6" s="469"/>
      <c r="FG6" s="474"/>
      <c r="FH6" s="479" t="s">
        <v>392</v>
      </c>
      <c r="FI6" s="478"/>
      <c r="FJ6" s="463" t="s">
        <v>393</v>
      </c>
      <c r="FK6" s="464"/>
      <c r="FL6" s="465" t="s">
        <v>383</v>
      </c>
      <c r="FM6" s="465"/>
      <c r="FN6" s="465"/>
      <c r="FO6" s="466">
        <v>0</v>
      </c>
      <c r="FP6" s="466"/>
      <c r="FQ6" s="465" t="s">
        <v>384</v>
      </c>
      <c r="FR6" s="465"/>
      <c r="FS6" s="465"/>
      <c r="FT6" s="465"/>
      <c r="FU6" s="465"/>
      <c r="FV6" s="467">
        <v>0</v>
      </c>
      <c r="FW6" s="467"/>
      <c r="FX6" s="468"/>
      <c r="FY6" s="469"/>
      <c r="FZ6" s="469" t="s">
        <v>394</v>
      </c>
      <c r="GA6" s="470">
        <v>0</v>
      </c>
      <c r="GB6" s="470"/>
      <c r="GC6" s="471"/>
      <c r="GD6" s="472" t="s">
        <v>395</v>
      </c>
      <c r="GE6" s="473">
        <v>0</v>
      </c>
      <c r="GF6" s="473"/>
      <c r="GG6" s="474"/>
      <c r="GH6" s="469"/>
      <c r="GI6" s="469"/>
      <c r="GJ6" s="480"/>
      <c r="GK6" s="481" t="s">
        <v>447</v>
      </c>
      <c r="GL6" s="481"/>
      <c r="GM6" s="481"/>
      <c r="GN6" s="482">
        <v>2</v>
      </c>
      <c r="GO6" s="483"/>
      <c r="GP6" s="483"/>
      <c r="GQ6" s="483"/>
      <c r="GR6" s="480"/>
      <c r="GS6" s="480"/>
      <c r="GT6" s="414"/>
      <c r="GU6" s="481" t="s">
        <v>448</v>
      </c>
      <c r="GV6" s="481"/>
      <c r="GW6" s="481"/>
      <c r="GX6" s="482">
        <v>2</v>
      </c>
      <c r="GY6" s="414"/>
      <c r="GZ6" s="414"/>
      <c r="HA6" s="483"/>
      <c r="HB6" s="483"/>
      <c r="HC6" s="484"/>
      <c r="HD6" s="438"/>
      <c r="HE6" s="438"/>
      <c r="HF6" s="501"/>
      <c r="HG6" s="387"/>
    </row>
    <row r="7" spans="1:353" ht="20.100000000000001" customHeight="1">
      <c r="A7" s="485" t="s">
        <v>290</v>
      </c>
      <c r="B7" s="486"/>
      <c r="C7" s="486"/>
      <c r="D7" s="486"/>
      <c r="E7" s="486"/>
      <c r="F7" s="487"/>
      <c r="G7" s="488" t="s">
        <v>291</v>
      </c>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90"/>
      <c r="BC7" s="462"/>
      <c r="BD7" s="485" t="s">
        <v>290</v>
      </c>
      <c r="BE7" s="486"/>
      <c r="BF7" s="486"/>
      <c r="BG7" s="486"/>
      <c r="BH7" s="486"/>
      <c r="BI7" s="487"/>
      <c r="BJ7" s="488" t="s">
        <v>292</v>
      </c>
      <c r="BK7" s="489"/>
      <c r="BL7" s="489"/>
      <c r="BM7" s="489"/>
      <c r="BN7" s="489"/>
      <c r="BO7" s="489"/>
      <c r="BP7" s="489"/>
      <c r="BQ7" s="489"/>
      <c r="BR7" s="489"/>
      <c r="BS7" s="489"/>
      <c r="BT7" s="489"/>
      <c r="BU7" s="489"/>
      <c r="BV7" s="489"/>
      <c r="BW7" s="489"/>
      <c r="BX7" s="489"/>
      <c r="BY7" s="489"/>
      <c r="BZ7" s="489"/>
      <c r="CA7" s="489"/>
      <c r="CB7" s="489"/>
      <c r="CC7" s="489"/>
      <c r="CD7" s="489"/>
      <c r="CE7" s="489"/>
      <c r="CF7" s="489"/>
      <c r="CG7" s="489"/>
      <c r="CH7" s="489"/>
      <c r="CI7" s="489"/>
      <c r="CJ7" s="489"/>
      <c r="CK7" s="489"/>
      <c r="CL7" s="489"/>
      <c r="CM7" s="489"/>
      <c r="CN7" s="489"/>
      <c r="CO7" s="489"/>
      <c r="CP7" s="489"/>
      <c r="CQ7" s="489"/>
      <c r="CR7" s="489"/>
      <c r="CS7" s="489"/>
      <c r="CT7" s="489"/>
      <c r="CU7" s="489"/>
      <c r="CV7" s="489"/>
      <c r="CW7" s="489"/>
      <c r="CX7" s="489"/>
      <c r="CY7" s="489"/>
      <c r="CZ7" s="489"/>
      <c r="DA7" s="489"/>
      <c r="DB7" s="489"/>
      <c r="DC7" s="489"/>
      <c r="DD7" s="489"/>
      <c r="DE7" s="490"/>
      <c r="DF7" s="462"/>
      <c r="DG7" s="485" t="s">
        <v>290</v>
      </c>
      <c r="DH7" s="486"/>
      <c r="DI7" s="486"/>
      <c r="DJ7" s="486"/>
      <c r="DK7" s="486"/>
      <c r="DL7" s="487"/>
      <c r="DM7" s="488" t="s">
        <v>293</v>
      </c>
      <c r="DN7" s="489"/>
      <c r="DO7" s="489"/>
      <c r="DP7" s="489"/>
      <c r="DQ7" s="489"/>
      <c r="DR7" s="489"/>
      <c r="DS7" s="489"/>
      <c r="DT7" s="489"/>
      <c r="DU7" s="489"/>
      <c r="DV7" s="489"/>
      <c r="DW7" s="489"/>
      <c r="DX7" s="489"/>
      <c r="DY7" s="489"/>
      <c r="DZ7" s="489"/>
      <c r="EA7" s="489"/>
      <c r="EB7" s="489"/>
      <c r="EC7" s="489"/>
      <c r="ED7" s="489"/>
      <c r="EE7" s="489"/>
      <c r="EF7" s="489"/>
      <c r="EG7" s="489"/>
      <c r="EH7" s="489"/>
      <c r="EI7" s="489"/>
      <c r="EJ7" s="489"/>
      <c r="EK7" s="489"/>
      <c r="EL7" s="489"/>
      <c r="EM7" s="489"/>
      <c r="EN7" s="489"/>
      <c r="EO7" s="489"/>
      <c r="EP7" s="489"/>
      <c r="EQ7" s="489"/>
      <c r="ER7" s="489"/>
      <c r="ES7" s="489"/>
      <c r="ET7" s="489"/>
      <c r="EU7" s="489"/>
      <c r="EV7" s="489"/>
      <c r="EW7" s="489"/>
      <c r="EX7" s="489"/>
      <c r="EY7" s="489"/>
      <c r="EZ7" s="489"/>
      <c r="FA7" s="489"/>
      <c r="FB7" s="489"/>
      <c r="FC7" s="489"/>
      <c r="FD7" s="489"/>
      <c r="FE7" s="489"/>
      <c r="FF7" s="489"/>
      <c r="FG7" s="489"/>
      <c r="FH7" s="490"/>
      <c r="FI7" s="462"/>
      <c r="FJ7" s="485" t="s">
        <v>290</v>
      </c>
      <c r="FK7" s="486"/>
      <c r="FL7" s="486"/>
      <c r="FM7" s="486"/>
      <c r="FN7" s="486"/>
      <c r="FO7" s="487"/>
      <c r="FP7" s="491" t="s">
        <v>294</v>
      </c>
      <c r="FQ7" s="492"/>
      <c r="FR7" s="492"/>
      <c r="FS7" s="492"/>
      <c r="FT7" s="492"/>
      <c r="FU7" s="492"/>
      <c r="FV7" s="493" t="s">
        <v>295</v>
      </c>
      <c r="FW7" s="494"/>
      <c r="FX7" s="494"/>
      <c r="FY7" s="494"/>
      <c r="FZ7" s="494"/>
      <c r="GA7" s="494"/>
      <c r="GB7" s="494"/>
      <c r="GC7" s="494"/>
      <c r="GD7" s="494"/>
      <c r="GE7" s="495"/>
      <c r="GF7" s="496"/>
      <c r="GG7" s="461"/>
      <c r="GH7" s="461"/>
      <c r="GI7" s="461"/>
      <c r="GJ7" s="497"/>
      <c r="GK7" s="498"/>
      <c r="GL7" s="498"/>
      <c r="GM7" s="498"/>
      <c r="GN7" s="499"/>
      <c r="GO7" s="499"/>
      <c r="GP7" s="498"/>
      <c r="GQ7" s="498"/>
      <c r="GR7" s="498"/>
      <c r="GS7" s="498"/>
      <c r="GT7" s="498"/>
      <c r="GU7" s="498"/>
      <c r="GV7" s="498"/>
      <c r="GW7" s="498"/>
      <c r="GX7" s="498"/>
      <c r="GY7" s="498"/>
      <c r="GZ7" s="498"/>
      <c r="HA7" s="498"/>
      <c r="HB7" s="498"/>
      <c r="HC7" s="538"/>
      <c r="HD7" s="438"/>
      <c r="HE7" s="438"/>
      <c r="HF7" s="501"/>
      <c r="HG7" s="387"/>
    </row>
    <row r="8" spans="1:353" s="528" customFormat="1" ht="20.100000000000001" customHeight="1">
      <c r="A8" s="502"/>
      <c r="B8" s="503"/>
      <c r="C8" s="503"/>
      <c r="D8" s="503"/>
      <c r="E8" s="503"/>
      <c r="F8" s="504"/>
      <c r="G8" s="505">
        <v>1</v>
      </c>
      <c r="H8" s="506"/>
      <c r="I8" s="507">
        <v>2</v>
      </c>
      <c r="J8" s="506"/>
      <c r="K8" s="507">
        <v>3</v>
      </c>
      <c r="L8" s="506"/>
      <c r="M8" s="507">
        <v>4</v>
      </c>
      <c r="N8" s="506"/>
      <c r="O8" s="507">
        <v>5</v>
      </c>
      <c r="P8" s="506"/>
      <c r="Q8" s="507">
        <v>6</v>
      </c>
      <c r="R8" s="506"/>
      <c r="S8" s="507">
        <v>7</v>
      </c>
      <c r="T8" s="506"/>
      <c r="U8" s="507">
        <v>8</v>
      </c>
      <c r="V8" s="506"/>
      <c r="W8" s="507">
        <v>9</v>
      </c>
      <c r="X8" s="506"/>
      <c r="Y8" s="507">
        <v>10</v>
      </c>
      <c r="Z8" s="506"/>
      <c r="AA8" s="507">
        <v>11</v>
      </c>
      <c r="AB8" s="506"/>
      <c r="AC8" s="507">
        <v>12</v>
      </c>
      <c r="AD8" s="506"/>
      <c r="AE8" s="507">
        <v>13</v>
      </c>
      <c r="AF8" s="506"/>
      <c r="AG8" s="507">
        <v>14</v>
      </c>
      <c r="AH8" s="506"/>
      <c r="AI8" s="507">
        <v>15</v>
      </c>
      <c r="AJ8" s="506"/>
      <c r="AK8" s="507">
        <v>16</v>
      </c>
      <c r="AL8" s="506"/>
      <c r="AM8" s="507">
        <v>17</v>
      </c>
      <c r="AN8" s="506"/>
      <c r="AO8" s="507">
        <v>18</v>
      </c>
      <c r="AP8" s="506"/>
      <c r="AQ8" s="507">
        <v>19</v>
      </c>
      <c r="AR8" s="506"/>
      <c r="AS8" s="507">
        <v>20</v>
      </c>
      <c r="AT8" s="506"/>
      <c r="AU8" s="507">
        <v>21</v>
      </c>
      <c r="AV8" s="506"/>
      <c r="AW8" s="507">
        <v>22</v>
      </c>
      <c r="AX8" s="506"/>
      <c r="AY8" s="507">
        <v>23</v>
      </c>
      <c r="AZ8" s="506"/>
      <c r="BA8" s="507">
        <v>24</v>
      </c>
      <c r="BB8" s="508"/>
      <c r="BC8" s="484"/>
      <c r="BD8" s="502"/>
      <c r="BE8" s="503"/>
      <c r="BF8" s="503"/>
      <c r="BG8" s="503"/>
      <c r="BH8" s="503"/>
      <c r="BI8" s="504"/>
      <c r="BJ8" s="509">
        <v>1</v>
      </c>
      <c r="BK8" s="510"/>
      <c r="BL8" s="511">
        <v>2</v>
      </c>
      <c r="BM8" s="510"/>
      <c r="BN8" s="511">
        <v>3</v>
      </c>
      <c r="BO8" s="510"/>
      <c r="BP8" s="511">
        <v>4</v>
      </c>
      <c r="BQ8" s="510"/>
      <c r="BR8" s="511">
        <v>5</v>
      </c>
      <c r="BS8" s="510"/>
      <c r="BT8" s="511">
        <v>6</v>
      </c>
      <c r="BU8" s="510"/>
      <c r="BV8" s="511">
        <v>7</v>
      </c>
      <c r="BW8" s="510"/>
      <c r="BX8" s="511">
        <v>8</v>
      </c>
      <c r="BY8" s="510"/>
      <c r="BZ8" s="511">
        <v>9</v>
      </c>
      <c r="CA8" s="510"/>
      <c r="CB8" s="511">
        <v>10</v>
      </c>
      <c r="CC8" s="510"/>
      <c r="CD8" s="511">
        <v>11</v>
      </c>
      <c r="CE8" s="510"/>
      <c r="CF8" s="511">
        <v>12</v>
      </c>
      <c r="CG8" s="510"/>
      <c r="CH8" s="511">
        <v>13</v>
      </c>
      <c r="CI8" s="510"/>
      <c r="CJ8" s="511">
        <v>14</v>
      </c>
      <c r="CK8" s="510"/>
      <c r="CL8" s="511">
        <v>15</v>
      </c>
      <c r="CM8" s="510"/>
      <c r="CN8" s="511">
        <v>16</v>
      </c>
      <c r="CO8" s="510"/>
      <c r="CP8" s="511">
        <v>17</v>
      </c>
      <c r="CQ8" s="510"/>
      <c r="CR8" s="511">
        <v>18</v>
      </c>
      <c r="CS8" s="510"/>
      <c r="CT8" s="511">
        <v>19</v>
      </c>
      <c r="CU8" s="510"/>
      <c r="CV8" s="511">
        <v>20</v>
      </c>
      <c r="CW8" s="510"/>
      <c r="CX8" s="511">
        <v>21</v>
      </c>
      <c r="CY8" s="510"/>
      <c r="CZ8" s="511">
        <v>22</v>
      </c>
      <c r="DA8" s="510"/>
      <c r="DB8" s="511">
        <v>23</v>
      </c>
      <c r="DC8" s="510"/>
      <c r="DD8" s="511">
        <v>24</v>
      </c>
      <c r="DE8" s="512"/>
      <c r="DF8" s="484"/>
      <c r="DG8" s="502"/>
      <c r="DH8" s="503"/>
      <c r="DI8" s="503"/>
      <c r="DJ8" s="503"/>
      <c r="DK8" s="503"/>
      <c r="DL8" s="504"/>
      <c r="DM8" s="513">
        <v>1</v>
      </c>
      <c r="DN8" s="514"/>
      <c r="DO8" s="515">
        <v>2</v>
      </c>
      <c r="DP8" s="514"/>
      <c r="DQ8" s="515">
        <v>3</v>
      </c>
      <c r="DR8" s="514"/>
      <c r="DS8" s="515">
        <v>4</v>
      </c>
      <c r="DT8" s="514"/>
      <c r="DU8" s="515">
        <v>5</v>
      </c>
      <c r="DV8" s="514"/>
      <c r="DW8" s="515">
        <v>6</v>
      </c>
      <c r="DX8" s="514"/>
      <c r="DY8" s="515">
        <v>7</v>
      </c>
      <c r="DZ8" s="514"/>
      <c r="EA8" s="515">
        <v>8</v>
      </c>
      <c r="EB8" s="514"/>
      <c r="EC8" s="515">
        <v>9</v>
      </c>
      <c r="ED8" s="514"/>
      <c r="EE8" s="515">
        <v>10</v>
      </c>
      <c r="EF8" s="514"/>
      <c r="EG8" s="515">
        <v>11</v>
      </c>
      <c r="EH8" s="514"/>
      <c r="EI8" s="515">
        <v>12</v>
      </c>
      <c r="EJ8" s="514"/>
      <c r="EK8" s="515">
        <v>13</v>
      </c>
      <c r="EL8" s="514"/>
      <c r="EM8" s="515">
        <v>14</v>
      </c>
      <c r="EN8" s="514"/>
      <c r="EO8" s="515">
        <v>15</v>
      </c>
      <c r="EP8" s="514"/>
      <c r="EQ8" s="515">
        <v>16</v>
      </c>
      <c r="ER8" s="514"/>
      <c r="ES8" s="515">
        <v>17</v>
      </c>
      <c r="ET8" s="514"/>
      <c r="EU8" s="515">
        <v>18</v>
      </c>
      <c r="EV8" s="514"/>
      <c r="EW8" s="515">
        <v>19</v>
      </c>
      <c r="EX8" s="514"/>
      <c r="EY8" s="515">
        <v>20</v>
      </c>
      <c r="EZ8" s="514"/>
      <c r="FA8" s="515">
        <v>21</v>
      </c>
      <c r="FB8" s="514"/>
      <c r="FC8" s="515">
        <v>22</v>
      </c>
      <c r="FD8" s="514"/>
      <c r="FE8" s="515">
        <v>23</v>
      </c>
      <c r="FF8" s="514"/>
      <c r="FG8" s="515">
        <v>24</v>
      </c>
      <c r="FH8" s="516"/>
      <c r="FI8" s="484"/>
      <c r="FJ8" s="502"/>
      <c r="FK8" s="503"/>
      <c r="FL8" s="503"/>
      <c r="FM8" s="503"/>
      <c r="FN8" s="503"/>
      <c r="FO8" s="504"/>
      <c r="FP8" s="517" t="s">
        <v>296</v>
      </c>
      <c r="FQ8" s="518"/>
      <c r="FR8" s="519"/>
      <c r="FS8" s="520" t="s">
        <v>297</v>
      </c>
      <c r="FT8" s="520"/>
      <c r="FU8" s="521"/>
      <c r="FV8" s="522"/>
      <c r="FW8" s="523"/>
      <c r="FX8" s="523"/>
      <c r="FY8" s="523"/>
      <c r="FZ8" s="523"/>
      <c r="GA8" s="523"/>
      <c r="GB8" s="523"/>
      <c r="GC8" s="523"/>
      <c r="GD8" s="523"/>
      <c r="GE8" s="524"/>
      <c r="GF8" s="496"/>
      <c r="GG8" s="480"/>
      <c r="GH8" s="480"/>
      <c r="GI8" s="480"/>
      <c r="GJ8" s="525" t="s">
        <v>424</v>
      </c>
      <c r="GK8" s="525"/>
      <c r="GL8" s="526"/>
      <c r="GM8" s="527"/>
      <c r="GN8" s="526"/>
      <c r="GO8" s="527"/>
      <c r="GP8" s="526"/>
      <c r="GQ8" s="526"/>
      <c r="GR8" s="526"/>
      <c r="GS8" s="526"/>
      <c r="GT8" s="525" t="s">
        <v>424</v>
      </c>
      <c r="GU8" s="525"/>
      <c r="GV8" s="414"/>
      <c r="GW8" s="480"/>
      <c r="GX8" s="483"/>
      <c r="GY8" s="480"/>
      <c r="GZ8" s="483"/>
      <c r="HA8" s="527"/>
      <c r="HB8" s="527"/>
      <c r="HC8" s="527"/>
      <c r="HD8" s="438"/>
      <c r="HE8" s="438"/>
      <c r="HF8" s="1443"/>
      <c r="HG8" s="1443"/>
    </row>
    <row r="9" spans="1:353" ht="22.5" customHeight="1">
      <c r="A9" s="529" t="s">
        <v>298</v>
      </c>
      <c r="B9" s="530" t="s">
        <v>299</v>
      </c>
      <c r="C9" s="531" t="s">
        <v>300</v>
      </c>
      <c r="D9" s="531" t="s">
        <v>569</v>
      </c>
      <c r="E9" s="532" t="s">
        <v>570</v>
      </c>
      <c r="F9" s="533" t="s">
        <v>303</v>
      </c>
      <c r="G9" s="534" t="s">
        <v>571</v>
      </c>
      <c r="H9" s="535" t="s">
        <v>572</v>
      </c>
      <c r="I9" s="536" t="s">
        <v>306</v>
      </c>
      <c r="J9" s="535" t="s">
        <v>572</v>
      </c>
      <c r="K9" s="536" t="s">
        <v>306</v>
      </c>
      <c r="L9" s="535" t="s">
        <v>572</v>
      </c>
      <c r="M9" s="536" t="s">
        <v>306</v>
      </c>
      <c r="N9" s="535" t="s">
        <v>572</v>
      </c>
      <c r="O9" s="536" t="s">
        <v>306</v>
      </c>
      <c r="P9" s="535" t="s">
        <v>572</v>
      </c>
      <c r="Q9" s="536" t="s">
        <v>306</v>
      </c>
      <c r="R9" s="535" t="s">
        <v>572</v>
      </c>
      <c r="S9" s="536" t="s">
        <v>306</v>
      </c>
      <c r="T9" s="535" t="s">
        <v>572</v>
      </c>
      <c r="U9" s="536" t="s">
        <v>306</v>
      </c>
      <c r="V9" s="535" t="s">
        <v>572</v>
      </c>
      <c r="W9" s="536" t="s">
        <v>306</v>
      </c>
      <c r="X9" s="535" t="s">
        <v>572</v>
      </c>
      <c r="Y9" s="536" t="s">
        <v>306</v>
      </c>
      <c r="Z9" s="535" t="s">
        <v>572</v>
      </c>
      <c r="AA9" s="536" t="s">
        <v>306</v>
      </c>
      <c r="AB9" s="535" t="s">
        <v>572</v>
      </c>
      <c r="AC9" s="536" t="s">
        <v>306</v>
      </c>
      <c r="AD9" s="535" t="s">
        <v>572</v>
      </c>
      <c r="AE9" s="536" t="s">
        <v>306</v>
      </c>
      <c r="AF9" s="535" t="s">
        <v>572</v>
      </c>
      <c r="AG9" s="536" t="s">
        <v>306</v>
      </c>
      <c r="AH9" s="535" t="s">
        <v>572</v>
      </c>
      <c r="AI9" s="536" t="s">
        <v>306</v>
      </c>
      <c r="AJ9" s="535" t="s">
        <v>572</v>
      </c>
      <c r="AK9" s="536" t="s">
        <v>306</v>
      </c>
      <c r="AL9" s="535" t="s">
        <v>572</v>
      </c>
      <c r="AM9" s="536" t="s">
        <v>306</v>
      </c>
      <c r="AN9" s="535" t="s">
        <v>572</v>
      </c>
      <c r="AO9" s="536" t="s">
        <v>306</v>
      </c>
      <c r="AP9" s="535" t="s">
        <v>572</v>
      </c>
      <c r="AQ9" s="536" t="s">
        <v>306</v>
      </c>
      <c r="AR9" s="535" t="s">
        <v>572</v>
      </c>
      <c r="AS9" s="536" t="s">
        <v>306</v>
      </c>
      <c r="AT9" s="535" t="s">
        <v>572</v>
      </c>
      <c r="AU9" s="536" t="s">
        <v>306</v>
      </c>
      <c r="AV9" s="535" t="s">
        <v>572</v>
      </c>
      <c r="AW9" s="536" t="s">
        <v>306</v>
      </c>
      <c r="AX9" s="535" t="s">
        <v>572</v>
      </c>
      <c r="AY9" s="536" t="s">
        <v>306</v>
      </c>
      <c r="AZ9" s="535" t="s">
        <v>572</v>
      </c>
      <c r="BA9" s="536" t="s">
        <v>306</v>
      </c>
      <c r="BB9" s="537" t="s">
        <v>307</v>
      </c>
      <c r="BC9" s="500"/>
      <c r="BD9" s="529" t="s">
        <v>298</v>
      </c>
      <c r="BE9" s="530" t="s">
        <v>299</v>
      </c>
      <c r="BF9" s="531" t="s">
        <v>300</v>
      </c>
      <c r="BG9" s="531" t="s">
        <v>569</v>
      </c>
      <c r="BH9" s="532" t="s">
        <v>570</v>
      </c>
      <c r="BI9" s="533" t="s">
        <v>303</v>
      </c>
      <c r="BJ9" s="534" t="s">
        <v>571</v>
      </c>
      <c r="BK9" s="535" t="s">
        <v>572</v>
      </c>
      <c r="BL9" s="536" t="s">
        <v>306</v>
      </c>
      <c r="BM9" s="535" t="s">
        <v>572</v>
      </c>
      <c r="BN9" s="536" t="s">
        <v>306</v>
      </c>
      <c r="BO9" s="535" t="s">
        <v>572</v>
      </c>
      <c r="BP9" s="536" t="s">
        <v>306</v>
      </c>
      <c r="BQ9" s="535" t="s">
        <v>572</v>
      </c>
      <c r="BR9" s="536" t="s">
        <v>306</v>
      </c>
      <c r="BS9" s="535" t="s">
        <v>572</v>
      </c>
      <c r="BT9" s="536" t="s">
        <v>306</v>
      </c>
      <c r="BU9" s="535" t="s">
        <v>572</v>
      </c>
      <c r="BV9" s="536" t="s">
        <v>306</v>
      </c>
      <c r="BW9" s="535" t="s">
        <v>572</v>
      </c>
      <c r="BX9" s="536" t="s">
        <v>306</v>
      </c>
      <c r="BY9" s="535" t="s">
        <v>572</v>
      </c>
      <c r="BZ9" s="536" t="s">
        <v>306</v>
      </c>
      <c r="CA9" s="535" t="s">
        <v>572</v>
      </c>
      <c r="CB9" s="536" t="s">
        <v>306</v>
      </c>
      <c r="CC9" s="535" t="s">
        <v>572</v>
      </c>
      <c r="CD9" s="536" t="s">
        <v>306</v>
      </c>
      <c r="CE9" s="535" t="s">
        <v>572</v>
      </c>
      <c r="CF9" s="536" t="s">
        <v>306</v>
      </c>
      <c r="CG9" s="535" t="s">
        <v>572</v>
      </c>
      <c r="CH9" s="536" t="s">
        <v>306</v>
      </c>
      <c r="CI9" s="535" t="s">
        <v>572</v>
      </c>
      <c r="CJ9" s="536" t="s">
        <v>306</v>
      </c>
      <c r="CK9" s="535" t="s">
        <v>572</v>
      </c>
      <c r="CL9" s="536" t="s">
        <v>306</v>
      </c>
      <c r="CM9" s="535" t="s">
        <v>572</v>
      </c>
      <c r="CN9" s="536" t="s">
        <v>306</v>
      </c>
      <c r="CO9" s="535" t="s">
        <v>572</v>
      </c>
      <c r="CP9" s="536" t="s">
        <v>306</v>
      </c>
      <c r="CQ9" s="535" t="s">
        <v>572</v>
      </c>
      <c r="CR9" s="536" t="s">
        <v>306</v>
      </c>
      <c r="CS9" s="535" t="s">
        <v>572</v>
      </c>
      <c r="CT9" s="536" t="s">
        <v>306</v>
      </c>
      <c r="CU9" s="535" t="s">
        <v>572</v>
      </c>
      <c r="CV9" s="536" t="s">
        <v>306</v>
      </c>
      <c r="CW9" s="535" t="s">
        <v>572</v>
      </c>
      <c r="CX9" s="536" t="s">
        <v>306</v>
      </c>
      <c r="CY9" s="535" t="s">
        <v>572</v>
      </c>
      <c r="CZ9" s="536" t="s">
        <v>306</v>
      </c>
      <c r="DA9" s="535" t="s">
        <v>572</v>
      </c>
      <c r="DB9" s="536" t="s">
        <v>306</v>
      </c>
      <c r="DC9" s="535" t="s">
        <v>572</v>
      </c>
      <c r="DD9" s="536" t="s">
        <v>306</v>
      </c>
      <c r="DE9" s="537" t="s">
        <v>307</v>
      </c>
      <c r="DF9" s="500"/>
      <c r="DG9" s="529" t="s">
        <v>298</v>
      </c>
      <c r="DH9" s="530" t="s">
        <v>299</v>
      </c>
      <c r="DI9" s="531" t="s">
        <v>300</v>
      </c>
      <c r="DJ9" s="531" t="s">
        <v>569</v>
      </c>
      <c r="DK9" s="532" t="s">
        <v>570</v>
      </c>
      <c r="DL9" s="533" t="s">
        <v>303</v>
      </c>
      <c r="DM9" s="534" t="s">
        <v>571</v>
      </c>
      <c r="DN9" s="535" t="s">
        <v>572</v>
      </c>
      <c r="DO9" s="536" t="s">
        <v>306</v>
      </c>
      <c r="DP9" s="535" t="s">
        <v>572</v>
      </c>
      <c r="DQ9" s="536" t="s">
        <v>306</v>
      </c>
      <c r="DR9" s="535" t="s">
        <v>572</v>
      </c>
      <c r="DS9" s="536" t="s">
        <v>306</v>
      </c>
      <c r="DT9" s="535" t="s">
        <v>572</v>
      </c>
      <c r="DU9" s="536" t="s">
        <v>306</v>
      </c>
      <c r="DV9" s="535" t="s">
        <v>572</v>
      </c>
      <c r="DW9" s="536" t="s">
        <v>306</v>
      </c>
      <c r="DX9" s="535" t="s">
        <v>572</v>
      </c>
      <c r="DY9" s="536" t="s">
        <v>306</v>
      </c>
      <c r="DZ9" s="535" t="s">
        <v>572</v>
      </c>
      <c r="EA9" s="536" t="s">
        <v>306</v>
      </c>
      <c r="EB9" s="535" t="s">
        <v>572</v>
      </c>
      <c r="EC9" s="536" t="s">
        <v>306</v>
      </c>
      <c r="ED9" s="535" t="s">
        <v>572</v>
      </c>
      <c r="EE9" s="536" t="s">
        <v>306</v>
      </c>
      <c r="EF9" s="535" t="s">
        <v>572</v>
      </c>
      <c r="EG9" s="536" t="s">
        <v>306</v>
      </c>
      <c r="EH9" s="535" t="s">
        <v>572</v>
      </c>
      <c r="EI9" s="536" t="s">
        <v>306</v>
      </c>
      <c r="EJ9" s="535" t="s">
        <v>572</v>
      </c>
      <c r="EK9" s="536" t="s">
        <v>306</v>
      </c>
      <c r="EL9" s="535" t="s">
        <v>572</v>
      </c>
      <c r="EM9" s="536" t="s">
        <v>306</v>
      </c>
      <c r="EN9" s="535" t="s">
        <v>572</v>
      </c>
      <c r="EO9" s="536" t="s">
        <v>306</v>
      </c>
      <c r="EP9" s="535" t="s">
        <v>572</v>
      </c>
      <c r="EQ9" s="536" t="s">
        <v>306</v>
      </c>
      <c r="ER9" s="535" t="s">
        <v>572</v>
      </c>
      <c r="ES9" s="536" t="s">
        <v>306</v>
      </c>
      <c r="ET9" s="535" t="s">
        <v>572</v>
      </c>
      <c r="EU9" s="536" t="s">
        <v>306</v>
      </c>
      <c r="EV9" s="535" t="s">
        <v>572</v>
      </c>
      <c r="EW9" s="536" t="s">
        <v>306</v>
      </c>
      <c r="EX9" s="535" t="s">
        <v>572</v>
      </c>
      <c r="EY9" s="536" t="s">
        <v>306</v>
      </c>
      <c r="EZ9" s="535" t="s">
        <v>572</v>
      </c>
      <c r="FA9" s="536" t="s">
        <v>306</v>
      </c>
      <c r="FB9" s="535" t="s">
        <v>572</v>
      </c>
      <c r="FC9" s="536" t="s">
        <v>306</v>
      </c>
      <c r="FD9" s="535" t="s">
        <v>572</v>
      </c>
      <c r="FE9" s="536" t="s">
        <v>306</v>
      </c>
      <c r="FF9" s="535" t="s">
        <v>572</v>
      </c>
      <c r="FG9" s="536" t="s">
        <v>306</v>
      </c>
      <c r="FH9" s="537" t="s">
        <v>307</v>
      </c>
      <c r="FI9" s="538"/>
      <c r="FJ9" s="539" t="s">
        <v>298</v>
      </c>
      <c r="FK9" s="530" t="s">
        <v>299</v>
      </c>
      <c r="FL9" s="531" t="s">
        <v>300</v>
      </c>
      <c r="FM9" s="531" t="s">
        <v>569</v>
      </c>
      <c r="FN9" s="532" t="s">
        <v>570</v>
      </c>
      <c r="FO9" s="533" t="s">
        <v>303</v>
      </c>
      <c r="FP9" s="540" t="s">
        <v>45</v>
      </c>
      <c r="FQ9" s="541" t="s">
        <v>306</v>
      </c>
      <c r="FR9" s="535" t="s">
        <v>307</v>
      </c>
      <c r="FS9" s="542" t="s">
        <v>45</v>
      </c>
      <c r="FT9" s="541" t="s">
        <v>306</v>
      </c>
      <c r="FU9" s="535" t="s">
        <v>307</v>
      </c>
      <c r="FV9" s="522"/>
      <c r="FW9" s="523"/>
      <c r="FX9" s="523"/>
      <c r="FY9" s="523"/>
      <c r="FZ9" s="523"/>
      <c r="GA9" s="523"/>
      <c r="GB9" s="523"/>
      <c r="GC9" s="523"/>
      <c r="GD9" s="543"/>
      <c r="GE9" s="544"/>
      <c r="GF9" s="496"/>
      <c r="GG9" s="545"/>
      <c r="GH9" s="545"/>
      <c r="GI9" s="545"/>
      <c r="GJ9" s="526"/>
      <c r="GK9" s="527" t="s">
        <v>449</v>
      </c>
      <c r="GL9" s="526"/>
      <c r="GM9" s="527"/>
      <c r="GN9" s="526"/>
      <c r="GO9" s="546">
        <v>0.92</v>
      </c>
      <c r="GP9" s="526"/>
      <c r="GQ9" s="526"/>
      <c r="GR9" s="526"/>
      <c r="GS9" s="526"/>
      <c r="GT9" s="547"/>
      <c r="GU9" s="480" t="s">
        <v>450</v>
      </c>
      <c r="GV9" s="414"/>
      <c r="GW9" s="480"/>
      <c r="GX9" s="548">
        <v>1</v>
      </c>
      <c r="GY9" s="480"/>
      <c r="GZ9" s="483"/>
      <c r="HA9" s="527"/>
      <c r="HB9" s="527"/>
      <c r="HC9" s="527"/>
      <c r="HD9" s="438"/>
      <c r="HE9" s="438"/>
      <c r="HF9" s="1447"/>
      <c r="HG9" s="1447"/>
    </row>
    <row r="10" spans="1:353" ht="20.100000000000001" customHeight="1">
      <c r="A10" s="549"/>
      <c r="B10" s="550" t="s">
        <v>237</v>
      </c>
      <c r="C10" s="551" t="s">
        <v>71</v>
      </c>
      <c r="D10" s="552">
        <f>ROUND(5.4*0.85,2)</f>
        <v>4.59</v>
      </c>
      <c r="E10" s="550" t="s">
        <v>354</v>
      </c>
      <c r="F10" s="551" t="s">
        <v>196</v>
      </c>
      <c r="G10" s="553">
        <v>0</v>
      </c>
      <c r="H10" s="554">
        <f>ROUND(ROUND(5.4*0.85,2)*0.49*0,0)</f>
        <v>0</v>
      </c>
      <c r="I10" s="555">
        <v>0</v>
      </c>
      <c r="J10" s="556">
        <f>ROUND(ROUND(5.4*0.85,2)*0.49*0,0)</f>
        <v>0</v>
      </c>
      <c r="K10" s="557">
        <v>0</v>
      </c>
      <c r="L10" s="556">
        <f>ROUND(ROUND(5.4*0.85,2)*0.49*0,0)</f>
        <v>0</v>
      </c>
      <c r="M10" s="557">
        <v>0</v>
      </c>
      <c r="N10" s="556">
        <f>ROUND(ROUND(5.4*0.85,2)*0.49*0,0)</f>
        <v>0</v>
      </c>
      <c r="O10" s="557">
        <v>0</v>
      </c>
      <c r="P10" s="556">
        <f>ROUND(ROUND(5.4*0.85,2)*0.49*0,0)</f>
        <v>0</v>
      </c>
      <c r="Q10" s="557">
        <v>0</v>
      </c>
      <c r="R10" s="556">
        <f>ROUND(ROUND(5.4*0.85,2)*0.49*0,0)</f>
        <v>0</v>
      </c>
      <c r="S10" s="557">
        <v>0</v>
      </c>
      <c r="T10" s="556">
        <f>ROUND(ROUND(5.4*0.85,2)*0.49*0,0)</f>
        <v>0</v>
      </c>
      <c r="U10" s="557">
        <v>0</v>
      </c>
      <c r="V10" s="556">
        <f>ROUND(ROUND(5.4*0.85,2)*0.49*0,0)</f>
        <v>0</v>
      </c>
      <c r="W10" s="557">
        <v>116</v>
      </c>
      <c r="X10" s="556">
        <f>ROUND(ROUND(5.4*0.85,2)*0.49*116,0)</f>
        <v>261</v>
      </c>
      <c r="Y10" s="557">
        <v>130</v>
      </c>
      <c r="Z10" s="556">
        <f>ROUND(ROUND(5.4*0.85,2)*0.49*130,0)</f>
        <v>292</v>
      </c>
      <c r="AA10" s="557">
        <v>135</v>
      </c>
      <c r="AB10" s="556">
        <f>ROUND(ROUND(5.4*0.85,2)*0.49*135,0)</f>
        <v>304</v>
      </c>
      <c r="AC10" s="557">
        <v>136</v>
      </c>
      <c r="AD10" s="556">
        <f>ROUND(ROUND(5.4*0.85,2)*0.49*136,0)</f>
        <v>306</v>
      </c>
      <c r="AE10" s="557">
        <v>134</v>
      </c>
      <c r="AF10" s="556">
        <f>ROUND(ROUND(5.4*0.85,2)*0.49*134,0)</f>
        <v>301</v>
      </c>
      <c r="AG10" s="557">
        <v>125</v>
      </c>
      <c r="AH10" s="556">
        <f>ROUND(ROUND(5.4*0.85,2)*0.49*125,0)</f>
        <v>281</v>
      </c>
      <c r="AI10" s="557">
        <v>107</v>
      </c>
      <c r="AJ10" s="556">
        <f>ROUND(ROUND(5.4*0.85,2)*0.49*107,0)</f>
        <v>241</v>
      </c>
      <c r="AK10" s="557">
        <v>80</v>
      </c>
      <c r="AL10" s="556">
        <f>ROUND(ROUND(5.4*0.85,2)*0.49*80,0)</f>
        <v>180</v>
      </c>
      <c r="AM10" s="557">
        <v>50</v>
      </c>
      <c r="AN10" s="556">
        <f>ROUND(ROUND(5.4*0.85,2)*0.49*50,0)</f>
        <v>112</v>
      </c>
      <c r="AO10" s="557">
        <v>14</v>
      </c>
      <c r="AP10" s="556">
        <f>ROUND(ROUND(5.4*0.85,2)*0.49*14,0)</f>
        <v>31</v>
      </c>
      <c r="AQ10" s="557">
        <v>0</v>
      </c>
      <c r="AR10" s="556">
        <f>ROUND(ROUND(5.4*0.85,2)*0.49*0,0)</f>
        <v>0</v>
      </c>
      <c r="AS10" s="557">
        <v>0</v>
      </c>
      <c r="AT10" s="556">
        <f>ROUND(ROUND(5.4*0.85,2)*0.49*0,0)</f>
        <v>0</v>
      </c>
      <c r="AU10" s="557">
        <v>0</v>
      </c>
      <c r="AV10" s="556">
        <f>ROUND(ROUND(5.4*0.85,2)*0.49*0,0)</f>
        <v>0</v>
      </c>
      <c r="AW10" s="557">
        <v>0</v>
      </c>
      <c r="AX10" s="556">
        <f>ROUND(ROUND(5.4*0.85,2)*0.49*0,0)</f>
        <v>0</v>
      </c>
      <c r="AY10" s="557">
        <v>0</v>
      </c>
      <c r="AZ10" s="556">
        <f>ROUND(ROUND(5.4*0.85,2)*0.49*0,0)</f>
        <v>0</v>
      </c>
      <c r="BA10" s="557">
        <v>0</v>
      </c>
      <c r="BB10" s="558">
        <f>ROUND(ROUND(5.4*0.85,2)*0.49*0,0)</f>
        <v>0</v>
      </c>
      <c r="BC10" s="559"/>
      <c r="BD10" s="549"/>
      <c r="BE10" s="550"/>
      <c r="BF10" s="551"/>
      <c r="BG10" s="552"/>
      <c r="BH10" s="550"/>
      <c r="BI10" s="551"/>
      <c r="BJ10" s="553">
        <v>0</v>
      </c>
      <c r="BK10" s="554">
        <f>ROUND(ROUND(5.4*0.85,2)*0.49*0,0)</f>
        <v>0</v>
      </c>
      <c r="BL10" s="555">
        <v>0</v>
      </c>
      <c r="BM10" s="556">
        <f>ROUND(ROUND(5.4*0.85,2)*0.49*0,0)</f>
        <v>0</v>
      </c>
      <c r="BN10" s="557">
        <v>0</v>
      </c>
      <c r="BO10" s="556">
        <f>ROUND(ROUND(5.4*0.85,2)*0.49*0,0)</f>
        <v>0</v>
      </c>
      <c r="BP10" s="557">
        <v>0</v>
      </c>
      <c r="BQ10" s="556">
        <f>ROUND(ROUND(5.4*0.85,2)*0.49*0,0)</f>
        <v>0</v>
      </c>
      <c r="BR10" s="557">
        <v>0</v>
      </c>
      <c r="BS10" s="556">
        <f>ROUND(ROUND(5.4*0.85,2)*0.49*0,0)</f>
        <v>0</v>
      </c>
      <c r="BT10" s="557">
        <v>0</v>
      </c>
      <c r="BU10" s="556">
        <f>ROUND(ROUND(5.4*0.85,2)*0.49*0,0)</f>
        <v>0</v>
      </c>
      <c r="BV10" s="557">
        <v>0</v>
      </c>
      <c r="BW10" s="556">
        <f>ROUND(ROUND(5.4*0.85,2)*0.49*0,0)</f>
        <v>0</v>
      </c>
      <c r="BX10" s="557">
        <v>0</v>
      </c>
      <c r="BY10" s="556">
        <f>ROUND(ROUND(5.4*0.85,2)*0.49*0,0)</f>
        <v>0</v>
      </c>
      <c r="BZ10" s="557">
        <v>103</v>
      </c>
      <c r="CA10" s="556">
        <f>ROUND(ROUND(5.4*0.85,2)*0.49*103,0)</f>
        <v>232</v>
      </c>
      <c r="CB10" s="557">
        <v>110</v>
      </c>
      <c r="CC10" s="556">
        <f>ROUND(ROUND(5.4*0.85,2)*0.49*110,0)</f>
        <v>247</v>
      </c>
      <c r="CD10" s="557">
        <v>111</v>
      </c>
      <c r="CE10" s="556">
        <f>ROUND(ROUND(5.4*0.85,2)*0.49*111,0)</f>
        <v>250</v>
      </c>
      <c r="CF10" s="557">
        <v>110</v>
      </c>
      <c r="CG10" s="556">
        <f>ROUND(ROUND(5.4*0.85,2)*0.49*110,0)</f>
        <v>247</v>
      </c>
      <c r="CH10" s="557">
        <v>112</v>
      </c>
      <c r="CI10" s="556">
        <f>ROUND(ROUND(5.4*0.85,2)*0.49*112,0)</f>
        <v>252</v>
      </c>
      <c r="CJ10" s="557">
        <v>109</v>
      </c>
      <c r="CK10" s="556">
        <f>ROUND(ROUND(5.4*0.85,2)*0.49*109,0)</f>
        <v>245</v>
      </c>
      <c r="CL10" s="557">
        <v>98</v>
      </c>
      <c r="CM10" s="556">
        <f>ROUND(ROUND(5.4*0.85,2)*0.49*98,0)</f>
        <v>220</v>
      </c>
      <c r="CN10" s="557">
        <v>76</v>
      </c>
      <c r="CO10" s="556">
        <f>ROUND(ROUND(5.4*0.85,2)*0.49*76,0)</f>
        <v>171</v>
      </c>
      <c r="CP10" s="557">
        <v>51</v>
      </c>
      <c r="CQ10" s="556">
        <f>ROUND(ROUND(5.4*0.85,2)*0.49*51,0)</f>
        <v>115</v>
      </c>
      <c r="CR10" s="557">
        <v>21</v>
      </c>
      <c r="CS10" s="556">
        <f>ROUND(ROUND(5.4*0.85,2)*0.49*21,0)</f>
        <v>47</v>
      </c>
      <c r="CT10" s="557">
        <v>0</v>
      </c>
      <c r="CU10" s="556">
        <f>ROUND(ROUND(5.4*0.85,2)*0.49*0,0)</f>
        <v>0</v>
      </c>
      <c r="CV10" s="557">
        <v>0</v>
      </c>
      <c r="CW10" s="556">
        <f>ROUND(ROUND(5.4*0.85,2)*0.49*0,0)</f>
        <v>0</v>
      </c>
      <c r="CX10" s="557">
        <v>0</v>
      </c>
      <c r="CY10" s="556">
        <f>ROUND(ROUND(5.4*0.85,2)*0.49*0,0)</f>
        <v>0</v>
      </c>
      <c r="CZ10" s="557">
        <v>0</v>
      </c>
      <c r="DA10" s="556">
        <f>ROUND(ROUND(5.4*0.85,2)*0.49*0,0)</f>
        <v>0</v>
      </c>
      <c r="DB10" s="557">
        <v>0</v>
      </c>
      <c r="DC10" s="556">
        <f>ROUND(ROUND(5.4*0.85,2)*0.49*0,0)</f>
        <v>0</v>
      </c>
      <c r="DD10" s="557">
        <v>0</v>
      </c>
      <c r="DE10" s="558">
        <f>ROUND(ROUND(5.4*0.85,2)*0.49*0,0)</f>
        <v>0</v>
      </c>
      <c r="DF10" s="559"/>
      <c r="DG10" s="549"/>
      <c r="DH10" s="550"/>
      <c r="DI10" s="551"/>
      <c r="DJ10" s="552"/>
      <c r="DK10" s="550"/>
      <c r="DL10" s="551"/>
      <c r="DM10" s="553">
        <v>0</v>
      </c>
      <c r="DN10" s="554">
        <f>ROUND(ROUND(5.4*0.85,2)*0.49*0,0)</f>
        <v>0</v>
      </c>
      <c r="DO10" s="555">
        <v>0</v>
      </c>
      <c r="DP10" s="556">
        <f>ROUND(ROUND(5.4*0.85,2)*0.49*0,0)</f>
        <v>0</v>
      </c>
      <c r="DQ10" s="557">
        <v>0</v>
      </c>
      <c r="DR10" s="556">
        <f>ROUND(ROUND(5.4*0.85,2)*0.49*0,0)</f>
        <v>0</v>
      </c>
      <c r="DS10" s="557">
        <v>0</v>
      </c>
      <c r="DT10" s="556">
        <f>ROUND(ROUND(5.4*0.85,2)*0.49*0,0)</f>
        <v>0</v>
      </c>
      <c r="DU10" s="557">
        <v>0</v>
      </c>
      <c r="DV10" s="556">
        <f>ROUND(ROUND(5.4*0.85,2)*0.49*0,0)</f>
        <v>0</v>
      </c>
      <c r="DW10" s="557">
        <v>0</v>
      </c>
      <c r="DX10" s="556">
        <f>ROUND(ROUND(5.4*0.85,2)*0.49*0,0)</f>
        <v>0</v>
      </c>
      <c r="DY10" s="557">
        <v>0</v>
      </c>
      <c r="DZ10" s="556">
        <f>ROUND(ROUND(5.4*0.85,2)*0.49*0,0)</f>
        <v>0</v>
      </c>
      <c r="EA10" s="557">
        <v>0</v>
      </c>
      <c r="EB10" s="556">
        <f>ROUND(ROUND(5.4*0.85,2)*0.49*0,0)</f>
        <v>0</v>
      </c>
      <c r="EC10" s="557">
        <v>149</v>
      </c>
      <c r="ED10" s="556">
        <f>ROUND(ROUND(5.4*0.85,2)*0.49*149,0)</f>
        <v>335</v>
      </c>
      <c r="EE10" s="557">
        <v>97</v>
      </c>
      <c r="EF10" s="556">
        <f>ROUND(ROUND(5.4*0.85,2)*0.49*97,0)</f>
        <v>218</v>
      </c>
      <c r="EG10" s="557">
        <v>101</v>
      </c>
      <c r="EH10" s="556">
        <f>ROUND(ROUND(5.4*0.85,2)*0.49*101,0)</f>
        <v>227</v>
      </c>
      <c r="EI10" s="557">
        <v>101</v>
      </c>
      <c r="EJ10" s="556">
        <f>ROUND(ROUND(5.4*0.85,2)*0.49*101,0)</f>
        <v>227</v>
      </c>
      <c r="EK10" s="557">
        <v>98</v>
      </c>
      <c r="EL10" s="556">
        <f>ROUND(ROUND(5.4*0.85,2)*0.49*98,0)</f>
        <v>220</v>
      </c>
      <c r="EM10" s="557">
        <v>91</v>
      </c>
      <c r="EN10" s="556">
        <f>ROUND(ROUND(5.4*0.85,2)*0.49*91,0)</f>
        <v>205</v>
      </c>
      <c r="EO10" s="557">
        <v>78</v>
      </c>
      <c r="EP10" s="556">
        <f>ROUND(ROUND(5.4*0.85,2)*0.49*78,0)</f>
        <v>175</v>
      </c>
      <c r="EQ10" s="557">
        <v>55</v>
      </c>
      <c r="ER10" s="556">
        <f>ROUND(ROUND(5.4*0.85,2)*0.49*55,0)</f>
        <v>124</v>
      </c>
      <c r="ES10" s="557">
        <v>24</v>
      </c>
      <c r="ET10" s="556">
        <f>ROUND(ROUND(5.4*0.85,2)*0.49*24,0)</f>
        <v>54</v>
      </c>
      <c r="EU10" s="557">
        <v>3</v>
      </c>
      <c r="EV10" s="556">
        <f>ROUND(ROUND(5.4*0.85,2)*0.49*3,0)</f>
        <v>7</v>
      </c>
      <c r="EW10" s="557">
        <v>0</v>
      </c>
      <c r="EX10" s="556">
        <f>ROUND(ROUND(5.4*0.85,2)*0.49*0,0)</f>
        <v>0</v>
      </c>
      <c r="EY10" s="557">
        <v>0</v>
      </c>
      <c r="EZ10" s="556">
        <f>ROUND(ROUND(5.4*0.85,2)*0.49*0,0)</f>
        <v>0</v>
      </c>
      <c r="FA10" s="557">
        <v>0</v>
      </c>
      <c r="FB10" s="556">
        <f>ROUND(ROUND(5.4*0.85,2)*0.49*0,0)</f>
        <v>0</v>
      </c>
      <c r="FC10" s="557">
        <v>0</v>
      </c>
      <c r="FD10" s="556">
        <f>ROUND(ROUND(5.4*0.85,2)*0.49*0,0)</f>
        <v>0</v>
      </c>
      <c r="FE10" s="557">
        <v>0</v>
      </c>
      <c r="FF10" s="556">
        <f>ROUND(ROUND(5.4*0.85,2)*0.49*0,0)</f>
        <v>0</v>
      </c>
      <c r="FG10" s="557">
        <v>0</v>
      </c>
      <c r="FH10" s="558">
        <f>ROUND(ROUND(5.4*0.85,2)*0.49*0,0)</f>
        <v>0</v>
      </c>
      <c r="FI10" s="560"/>
      <c r="FJ10" s="561"/>
      <c r="FK10" s="550"/>
      <c r="FL10" s="551"/>
      <c r="FM10" s="552"/>
      <c r="FN10" s="550"/>
      <c r="FO10" s="551"/>
      <c r="FP10" s="562"/>
      <c r="FQ10" s="555"/>
      <c r="FR10" s="554" t="s">
        <v>573</v>
      </c>
      <c r="FS10" s="563"/>
      <c r="FT10" s="555"/>
      <c r="FU10" s="564" t="s">
        <v>521</v>
      </c>
      <c r="FV10" s="565" t="s">
        <v>309</v>
      </c>
      <c r="FW10" s="1265"/>
      <c r="FX10" s="1266" t="s">
        <v>310</v>
      </c>
      <c r="FY10" s="1267"/>
      <c r="FZ10" s="1268" t="s">
        <v>311</v>
      </c>
      <c r="GA10" s="1269"/>
      <c r="GB10" s="1270" t="s">
        <v>582</v>
      </c>
      <c r="GC10" s="1271"/>
      <c r="GD10" s="573" t="s">
        <v>583</v>
      </c>
      <c r="GE10" s="574"/>
      <c r="GF10" s="496"/>
      <c r="GG10" s="545"/>
      <c r="GH10" s="545"/>
      <c r="GI10" s="545"/>
      <c r="GJ10" s="575"/>
      <c r="GK10" s="497"/>
      <c r="GL10" s="497"/>
      <c r="GM10" s="576"/>
      <c r="GN10" s="576"/>
      <c r="GO10" s="575"/>
      <c r="GP10" s="497"/>
      <c r="GQ10" s="497"/>
      <c r="GR10" s="497"/>
      <c r="GS10" s="497"/>
      <c r="GT10" s="497"/>
      <c r="GU10" s="497"/>
      <c r="GV10" s="497"/>
      <c r="GW10" s="576"/>
      <c r="GX10" s="576"/>
      <c r="GY10" s="576"/>
      <c r="GZ10" s="575"/>
      <c r="HA10" s="497"/>
      <c r="HB10" s="497"/>
      <c r="HC10" s="577"/>
      <c r="HD10" s="792"/>
      <c r="HE10" s="438"/>
      <c r="HF10" s="1447"/>
      <c r="HG10" s="1447"/>
    </row>
    <row r="11" spans="1:353" ht="20.100000000000001" customHeight="1">
      <c r="A11" s="549"/>
      <c r="B11" s="578"/>
      <c r="C11" s="579"/>
      <c r="D11" s="580"/>
      <c r="E11" s="578"/>
      <c r="F11" s="579"/>
      <c r="G11" s="581"/>
      <c r="H11" s="582"/>
      <c r="I11" s="583"/>
      <c r="J11" s="584"/>
      <c r="K11" s="585"/>
      <c r="L11" s="584"/>
      <c r="M11" s="585"/>
      <c r="N11" s="584"/>
      <c r="O11" s="585"/>
      <c r="P11" s="584"/>
      <c r="Q11" s="585"/>
      <c r="R11" s="584"/>
      <c r="S11" s="585"/>
      <c r="T11" s="584"/>
      <c r="U11" s="585"/>
      <c r="V11" s="584"/>
      <c r="W11" s="585"/>
      <c r="X11" s="584"/>
      <c r="Y11" s="585"/>
      <c r="Z11" s="584"/>
      <c r="AA11" s="585"/>
      <c r="AB11" s="584"/>
      <c r="AC11" s="585"/>
      <c r="AD11" s="584"/>
      <c r="AE11" s="585"/>
      <c r="AF11" s="584"/>
      <c r="AG11" s="585"/>
      <c r="AH11" s="584"/>
      <c r="AI11" s="585"/>
      <c r="AJ11" s="584"/>
      <c r="AK11" s="585"/>
      <c r="AL11" s="584"/>
      <c r="AM11" s="585"/>
      <c r="AN11" s="584"/>
      <c r="AO11" s="585"/>
      <c r="AP11" s="584"/>
      <c r="AQ11" s="585"/>
      <c r="AR11" s="584"/>
      <c r="AS11" s="585"/>
      <c r="AT11" s="584"/>
      <c r="AU11" s="585"/>
      <c r="AV11" s="584"/>
      <c r="AW11" s="585"/>
      <c r="AX11" s="584"/>
      <c r="AY11" s="585"/>
      <c r="AZ11" s="584"/>
      <c r="BA11" s="585"/>
      <c r="BB11" s="586"/>
      <c r="BC11" s="559"/>
      <c r="BD11" s="549"/>
      <c r="BE11" s="578"/>
      <c r="BF11" s="579"/>
      <c r="BG11" s="580"/>
      <c r="BH11" s="578"/>
      <c r="BI11" s="579"/>
      <c r="BJ11" s="581"/>
      <c r="BK11" s="582"/>
      <c r="BL11" s="583"/>
      <c r="BM11" s="584"/>
      <c r="BN11" s="585"/>
      <c r="BO11" s="584"/>
      <c r="BP11" s="585"/>
      <c r="BQ11" s="584"/>
      <c r="BR11" s="585"/>
      <c r="BS11" s="584"/>
      <c r="BT11" s="585"/>
      <c r="BU11" s="584"/>
      <c r="BV11" s="585"/>
      <c r="BW11" s="584"/>
      <c r="BX11" s="585"/>
      <c r="BY11" s="584"/>
      <c r="BZ11" s="585"/>
      <c r="CA11" s="584"/>
      <c r="CB11" s="585"/>
      <c r="CC11" s="584"/>
      <c r="CD11" s="585"/>
      <c r="CE11" s="584"/>
      <c r="CF11" s="585"/>
      <c r="CG11" s="584"/>
      <c r="CH11" s="585"/>
      <c r="CI11" s="584"/>
      <c r="CJ11" s="585"/>
      <c r="CK11" s="584"/>
      <c r="CL11" s="585"/>
      <c r="CM11" s="584"/>
      <c r="CN11" s="585"/>
      <c r="CO11" s="584"/>
      <c r="CP11" s="585"/>
      <c r="CQ11" s="584"/>
      <c r="CR11" s="585"/>
      <c r="CS11" s="584"/>
      <c r="CT11" s="585"/>
      <c r="CU11" s="584"/>
      <c r="CV11" s="585"/>
      <c r="CW11" s="584"/>
      <c r="CX11" s="585"/>
      <c r="CY11" s="584"/>
      <c r="CZ11" s="585"/>
      <c r="DA11" s="584"/>
      <c r="DB11" s="585"/>
      <c r="DC11" s="584"/>
      <c r="DD11" s="585"/>
      <c r="DE11" s="586"/>
      <c r="DF11" s="559"/>
      <c r="DG11" s="549"/>
      <c r="DH11" s="578"/>
      <c r="DI11" s="579"/>
      <c r="DJ11" s="580"/>
      <c r="DK11" s="578"/>
      <c r="DL11" s="579"/>
      <c r="DM11" s="581"/>
      <c r="DN11" s="582"/>
      <c r="DO11" s="583"/>
      <c r="DP11" s="584"/>
      <c r="DQ11" s="585"/>
      <c r="DR11" s="584"/>
      <c r="DS11" s="585"/>
      <c r="DT11" s="584"/>
      <c r="DU11" s="585"/>
      <c r="DV11" s="584"/>
      <c r="DW11" s="585"/>
      <c r="DX11" s="584"/>
      <c r="DY11" s="585"/>
      <c r="DZ11" s="584"/>
      <c r="EA11" s="585"/>
      <c r="EB11" s="584"/>
      <c r="EC11" s="585"/>
      <c r="ED11" s="584"/>
      <c r="EE11" s="585"/>
      <c r="EF11" s="584"/>
      <c r="EG11" s="585"/>
      <c r="EH11" s="584"/>
      <c r="EI11" s="585"/>
      <c r="EJ11" s="584"/>
      <c r="EK11" s="585"/>
      <c r="EL11" s="584"/>
      <c r="EM11" s="585"/>
      <c r="EN11" s="584"/>
      <c r="EO11" s="585"/>
      <c r="EP11" s="584"/>
      <c r="EQ11" s="585"/>
      <c r="ER11" s="584"/>
      <c r="ES11" s="585"/>
      <c r="ET11" s="584"/>
      <c r="EU11" s="585"/>
      <c r="EV11" s="584"/>
      <c r="EW11" s="585"/>
      <c r="EX11" s="584"/>
      <c r="EY11" s="585"/>
      <c r="EZ11" s="584"/>
      <c r="FA11" s="585"/>
      <c r="FB11" s="584"/>
      <c r="FC11" s="585"/>
      <c r="FD11" s="584"/>
      <c r="FE11" s="585"/>
      <c r="FF11" s="584"/>
      <c r="FG11" s="585"/>
      <c r="FH11" s="586"/>
      <c r="FI11" s="560"/>
      <c r="FJ11" s="561"/>
      <c r="FK11" s="578"/>
      <c r="FL11" s="579"/>
      <c r="FM11" s="580"/>
      <c r="FN11" s="578"/>
      <c r="FO11" s="579"/>
      <c r="FP11" s="587"/>
      <c r="FQ11" s="583"/>
      <c r="FR11" s="582" t="s">
        <v>521</v>
      </c>
      <c r="FS11" s="588"/>
      <c r="FT11" s="583"/>
      <c r="FU11" s="589" t="s">
        <v>521</v>
      </c>
      <c r="FV11" s="590"/>
      <c r="FW11" s="591"/>
      <c r="FX11" s="592"/>
      <c r="FY11" s="593"/>
      <c r="FZ11" s="594"/>
      <c r="GA11" s="595"/>
      <c r="GB11" s="596"/>
      <c r="GC11" s="597"/>
      <c r="GD11" s="596"/>
      <c r="GE11" s="598"/>
      <c r="GF11" s="496"/>
      <c r="GG11" s="599"/>
      <c r="GH11" s="599"/>
      <c r="GI11" s="599"/>
      <c r="GJ11" s="526"/>
      <c r="GK11" s="577" t="s">
        <v>451</v>
      </c>
      <c r="GL11" s="414"/>
      <c r="GM11" s="480"/>
      <c r="GN11" s="483"/>
      <c r="GO11" s="480"/>
      <c r="GP11" s="414"/>
      <c r="GQ11" s="526"/>
      <c r="GR11" s="526"/>
      <c r="GS11" s="526"/>
      <c r="GT11" s="545"/>
      <c r="GU11" s="577" t="s">
        <v>452</v>
      </c>
      <c r="GV11" s="414"/>
      <c r="GW11" s="480"/>
      <c r="GX11" s="483"/>
      <c r="GY11" s="480"/>
      <c r="GZ11" s="414"/>
      <c r="HA11" s="527"/>
      <c r="HB11" s="527"/>
      <c r="HC11" s="410"/>
      <c r="HD11" s="792"/>
      <c r="HE11" s="438"/>
      <c r="HF11" s="1447"/>
      <c r="HG11" s="1447"/>
    </row>
    <row r="12" spans="1:353" ht="20.100000000000001" customHeight="1">
      <c r="A12" s="549"/>
      <c r="B12" s="578"/>
      <c r="C12" s="579"/>
      <c r="D12" s="580"/>
      <c r="E12" s="578"/>
      <c r="F12" s="579"/>
      <c r="G12" s="581"/>
      <c r="H12" s="582"/>
      <c r="I12" s="583"/>
      <c r="J12" s="584"/>
      <c r="K12" s="585"/>
      <c r="L12" s="584"/>
      <c r="M12" s="585"/>
      <c r="N12" s="584"/>
      <c r="O12" s="585"/>
      <c r="P12" s="584"/>
      <c r="Q12" s="585"/>
      <c r="R12" s="584"/>
      <c r="S12" s="585"/>
      <c r="T12" s="584"/>
      <c r="U12" s="585"/>
      <c r="V12" s="584"/>
      <c r="W12" s="585"/>
      <c r="X12" s="584"/>
      <c r="Y12" s="585"/>
      <c r="Z12" s="584"/>
      <c r="AA12" s="585"/>
      <c r="AB12" s="584"/>
      <c r="AC12" s="585"/>
      <c r="AD12" s="584"/>
      <c r="AE12" s="585"/>
      <c r="AF12" s="584"/>
      <c r="AG12" s="585"/>
      <c r="AH12" s="584"/>
      <c r="AI12" s="585"/>
      <c r="AJ12" s="584"/>
      <c r="AK12" s="585"/>
      <c r="AL12" s="584"/>
      <c r="AM12" s="585"/>
      <c r="AN12" s="584"/>
      <c r="AO12" s="585"/>
      <c r="AP12" s="584"/>
      <c r="AQ12" s="585"/>
      <c r="AR12" s="584"/>
      <c r="AS12" s="585"/>
      <c r="AT12" s="584"/>
      <c r="AU12" s="585"/>
      <c r="AV12" s="584"/>
      <c r="AW12" s="585"/>
      <c r="AX12" s="584"/>
      <c r="AY12" s="585"/>
      <c r="AZ12" s="584"/>
      <c r="BA12" s="585"/>
      <c r="BB12" s="586"/>
      <c r="BC12" s="559"/>
      <c r="BD12" s="549"/>
      <c r="BE12" s="578"/>
      <c r="BF12" s="579"/>
      <c r="BG12" s="580"/>
      <c r="BH12" s="578"/>
      <c r="BI12" s="579"/>
      <c r="BJ12" s="581"/>
      <c r="BK12" s="582"/>
      <c r="BL12" s="583"/>
      <c r="BM12" s="584"/>
      <c r="BN12" s="585"/>
      <c r="BO12" s="584"/>
      <c r="BP12" s="585"/>
      <c r="BQ12" s="584"/>
      <c r="BR12" s="585"/>
      <c r="BS12" s="584"/>
      <c r="BT12" s="585"/>
      <c r="BU12" s="584"/>
      <c r="BV12" s="585"/>
      <c r="BW12" s="584"/>
      <c r="BX12" s="585"/>
      <c r="BY12" s="584"/>
      <c r="BZ12" s="585"/>
      <c r="CA12" s="584"/>
      <c r="CB12" s="585"/>
      <c r="CC12" s="584"/>
      <c r="CD12" s="585"/>
      <c r="CE12" s="584"/>
      <c r="CF12" s="585"/>
      <c r="CG12" s="584"/>
      <c r="CH12" s="585"/>
      <c r="CI12" s="584"/>
      <c r="CJ12" s="585"/>
      <c r="CK12" s="584"/>
      <c r="CL12" s="585"/>
      <c r="CM12" s="584"/>
      <c r="CN12" s="585"/>
      <c r="CO12" s="584"/>
      <c r="CP12" s="585"/>
      <c r="CQ12" s="584"/>
      <c r="CR12" s="585"/>
      <c r="CS12" s="584"/>
      <c r="CT12" s="585"/>
      <c r="CU12" s="584"/>
      <c r="CV12" s="585"/>
      <c r="CW12" s="584"/>
      <c r="CX12" s="585"/>
      <c r="CY12" s="584"/>
      <c r="CZ12" s="585"/>
      <c r="DA12" s="584"/>
      <c r="DB12" s="585"/>
      <c r="DC12" s="584"/>
      <c r="DD12" s="585"/>
      <c r="DE12" s="586"/>
      <c r="DF12" s="559"/>
      <c r="DG12" s="549"/>
      <c r="DH12" s="578"/>
      <c r="DI12" s="579"/>
      <c r="DJ12" s="580"/>
      <c r="DK12" s="578"/>
      <c r="DL12" s="579"/>
      <c r="DM12" s="581"/>
      <c r="DN12" s="582"/>
      <c r="DO12" s="583"/>
      <c r="DP12" s="584"/>
      <c r="DQ12" s="585"/>
      <c r="DR12" s="584"/>
      <c r="DS12" s="585"/>
      <c r="DT12" s="584"/>
      <c r="DU12" s="585"/>
      <c r="DV12" s="584"/>
      <c r="DW12" s="585"/>
      <c r="DX12" s="584"/>
      <c r="DY12" s="585"/>
      <c r="DZ12" s="584"/>
      <c r="EA12" s="585"/>
      <c r="EB12" s="584"/>
      <c r="EC12" s="585"/>
      <c r="ED12" s="584"/>
      <c r="EE12" s="585"/>
      <c r="EF12" s="584"/>
      <c r="EG12" s="585"/>
      <c r="EH12" s="584"/>
      <c r="EI12" s="585"/>
      <c r="EJ12" s="584"/>
      <c r="EK12" s="585"/>
      <c r="EL12" s="584"/>
      <c r="EM12" s="585"/>
      <c r="EN12" s="584"/>
      <c r="EO12" s="585"/>
      <c r="EP12" s="584"/>
      <c r="EQ12" s="585"/>
      <c r="ER12" s="584"/>
      <c r="ES12" s="585"/>
      <c r="ET12" s="584"/>
      <c r="EU12" s="585"/>
      <c r="EV12" s="584"/>
      <c r="EW12" s="585"/>
      <c r="EX12" s="584"/>
      <c r="EY12" s="585"/>
      <c r="EZ12" s="584"/>
      <c r="FA12" s="585"/>
      <c r="FB12" s="584"/>
      <c r="FC12" s="585"/>
      <c r="FD12" s="584"/>
      <c r="FE12" s="585"/>
      <c r="FF12" s="584"/>
      <c r="FG12" s="585"/>
      <c r="FH12" s="586"/>
      <c r="FI12" s="560"/>
      <c r="FJ12" s="561"/>
      <c r="FK12" s="578"/>
      <c r="FL12" s="579"/>
      <c r="FM12" s="580"/>
      <c r="FN12" s="578"/>
      <c r="FO12" s="579"/>
      <c r="FP12" s="587"/>
      <c r="FQ12" s="583"/>
      <c r="FR12" s="582" t="s">
        <v>521</v>
      </c>
      <c r="FS12" s="588"/>
      <c r="FT12" s="583"/>
      <c r="FU12" s="589" t="s">
        <v>521</v>
      </c>
      <c r="FV12" s="590"/>
      <c r="FW12" s="591"/>
      <c r="FX12" s="592"/>
      <c r="FY12" s="593"/>
      <c r="FZ12" s="594"/>
      <c r="GA12" s="595"/>
      <c r="GB12" s="596"/>
      <c r="GC12" s="597"/>
      <c r="GD12" s="596"/>
      <c r="GE12" s="598"/>
      <c r="GF12" s="496"/>
      <c r="GG12" s="599"/>
      <c r="GH12" s="599"/>
      <c r="GI12" s="599"/>
      <c r="GJ12" s="414"/>
      <c r="GK12" s="600" t="s">
        <v>370</v>
      </c>
      <c r="GL12" s="601"/>
      <c r="GM12" s="602" t="s">
        <v>453</v>
      </c>
      <c r="GN12" s="603" t="s">
        <v>454</v>
      </c>
      <c r="GO12" s="604" t="s">
        <v>455</v>
      </c>
      <c r="GP12" s="605" t="s">
        <v>456</v>
      </c>
      <c r="GQ12" s="604" t="s">
        <v>457</v>
      </c>
      <c r="GR12" s="604" t="s">
        <v>458</v>
      </c>
      <c r="GS12" s="606"/>
      <c r="GT12" s="545"/>
      <c r="GU12" s="600" t="s">
        <v>370</v>
      </c>
      <c r="GV12" s="601"/>
      <c r="GW12" s="602" t="s">
        <v>453</v>
      </c>
      <c r="GX12" s="607" t="s">
        <v>459</v>
      </c>
      <c r="GY12" s="608"/>
      <c r="GZ12" s="609" t="s">
        <v>455</v>
      </c>
      <c r="HA12" s="610" t="s">
        <v>460</v>
      </c>
      <c r="HB12" s="611"/>
      <c r="HC12" s="612"/>
      <c r="HD12" s="792"/>
      <c r="HE12" s="438"/>
      <c r="HF12" s="1447"/>
      <c r="HG12" s="1447"/>
    </row>
    <row r="13" spans="1:353" ht="20.100000000000001" customHeight="1">
      <c r="A13" s="549"/>
      <c r="B13" s="613"/>
      <c r="C13" s="614"/>
      <c r="D13" s="615"/>
      <c r="E13" s="613"/>
      <c r="F13" s="614"/>
      <c r="G13" s="616"/>
      <c r="H13" s="617"/>
      <c r="I13" s="618"/>
      <c r="J13" s="619"/>
      <c r="K13" s="620"/>
      <c r="L13" s="619"/>
      <c r="M13" s="620"/>
      <c r="N13" s="619"/>
      <c r="O13" s="620"/>
      <c r="P13" s="619"/>
      <c r="Q13" s="620"/>
      <c r="R13" s="619"/>
      <c r="S13" s="620"/>
      <c r="T13" s="619"/>
      <c r="U13" s="620"/>
      <c r="V13" s="619"/>
      <c r="W13" s="620"/>
      <c r="X13" s="619"/>
      <c r="Y13" s="620"/>
      <c r="Z13" s="619"/>
      <c r="AA13" s="620"/>
      <c r="AB13" s="619"/>
      <c r="AC13" s="620"/>
      <c r="AD13" s="619"/>
      <c r="AE13" s="620"/>
      <c r="AF13" s="619"/>
      <c r="AG13" s="620"/>
      <c r="AH13" s="619"/>
      <c r="AI13" s="620"/>
      <c r="AJ13" s="619"/>
      <c r="AK13" s="620"/>
      <c r="AL13" s="619"/>
      <c r="AM13" s="620"/>
      <c r="AN13" s="619"/>
      <c r="AO13" s="620"/>
      <c r="AP13" s="619"/>
      <c r="AQ13" s="620"/>
      <c r="AR13" s="619"/>
      <c r="AS13" s="620"/>
      <c r="AT13" s="619"/>
      <c r="AU13" s="620"/>
      <c r="AV13" s="619"/>
      <c r="AW13" s="620"/>
      <c r="AX13" s="619"/>
      <c r="AY13" s="620"/>
      <c r="AZ13" s="619"/>
      <c r="BA13" s="620"/>
      <c r="BB13" s="621"/>
      <c r="BC13" s="559"/>
      <c r="BD13" s="549"/>
      <c r="BE13" s="613"/>
      <c r="BF13" s="614"/>
      <c r="BG13" s="615"/>
      <c r="BH13" s="613"/>
      <c r="BI13" s="614"/>
      <c r="BJ13" s="616"/>
      <c r="BK13" s="617"/>
      <c r="BL13" s="618"/>
      <c r="BM13" s="619"/>
      <c r="BN13" s="620"/>
      <c r="BO13" s="619"/>
      <c r="BP13" s="620"/>
      <c r="BQ13" s="619"/>
      <c r="BR13" s="620"/>
      <c r="BS13" s="619"/>
      <c r="BT13" s="620"/>
      <c r="BU13" s="619"/>
      <c r="BV13" s="620"/>
      <c r="BW13" s="619"/>
      <c r="BX13" s="620"/>
      <c r="BY13" s="619"/>
      <c r="BZ13" s="620"/>
      <c r="CA13" s="619"/>
      <c r="CB13" s="620"/>
      <c r="CC13" s="619"/>
      <c r="CD13" s="620"/>
      <c r="CE13" s="619"/>
      <c r="CF13" s="620"/>
      <c r="CG13" s="619"/>
      <c r="CH13" s="620"/>
      <c r="CI13" s="619"/>
      <c r="CJ13" s="620"/>
      <c r="CK13" s="619"/>
      <c r="CL13" s="620"/>
      <c r="CM13" s="619"/>
      <c r="CN13" s="620"/>
      <c r="CO13" s="619"/>
      <c r="CP13" s="620"/>
      <c r="CQ13" s="619"/>
      <c r="CR13" s="620"/>
      <c r="CS13" s="619"/>
      <c r="CT13" s="620"/>
      <c r="CU13" s="619"/>
      <c r="CV13" s="620"/>
      <c r="CW13" s="619"/>
      <c r="CX13" s="620"/>
      <c r="CY13" s="619"/>
      <c r="CZ13" s="620"/>
      <c r="DA13" s="619"/>
      <c r="DB13" s="620"/>
      <c r="DC13" s="619"/>
      <c r="DD13" s="620"/>
      <c r="DE13" s="621"/>
      <c r="DF13" s="559"/>
      <c r="DG13" s="549"/>
      <c r="DH13" s="613"/>
      <c r="DI13" s="614"/>
      <c r="DJ13" s="615"/>
      <c r="DK13" s="613"/>
      <c r="DL13" s="614"/>
      <c r="DM13" s="616"/>
      <c r="DN13" s="617"/>
      <c r="DO13" s="618"/>
      <c r="DP13" s="619"/>
      <c r="DQ13" s="620"/>
      <c r="DR13" s="619"/>
      <c r="DS13" s="620"/>
      <c r="DT13" s="619"/>
      <c r="DU13" s="620"/>
      <c r="DV13" s="619"/>
      <c r="DW13" s="620"/>
      <c r="DX13" s="619"/>
      <c r="DY13" s="620"/>
      <c r="DZ13" s="619"/>
      <c r="EA13" s="620"/>
      <c r="EB13" s="619"/>
      <c r="EC13" s="620"/>
      <c r="ED13" s="619"/>
      <c r="EE13" s="620"/>
      <c r="EF13" s="619"/>
      <c r="EG13" s="620"/>
      <c r="EH13" s="619"/>
      <c r="EI13" s="620"/>
      <c r="EJ13" s="619"/>
      <c r="EK13" s="620"/>
      <c r="EL13" s="619"/>
      <c r="EM13" s="620"/>
      <c r="EN13" s="619"/>
      <c r="EO13" s="620"/>
      <c r="EP13" s="619"/>
      <c r="EQ13" s="620"/>
      <c r="ER13" s="619"/>
      <c r="ES13" s="620"/>
      <c r="ET13" s="619"/>
      <c r="EU13" s="620"/>
      <c r="EV13" s="619"/>
      <c r="EW13" s="620"/>
      <c r="EX13" s="619"/>
      <c r="EY13" s="620"/>
      <c r="EZ13" s="619"/>
      <c r="FA13" s="620"/>
      <c r="FB13" s="619"/>
      <c r="FC13" s="620"/>
      <c r="FD13" s="619"/>
      <c r="FE13" s="620"/>
      <c r="FF13" s="619"/>
      <c r="FG13" s="620"/>
      <c r="FH13" s="621"/>
      <c r="FI13" s="560"/>
      <c r="FJ13" s="561"/>
      <c r="FK13" s="613"/>
      <c r="FL13" s="614"/>
      <c r="FM13" s="615"/>
      <c r="FN13" s="613"/>
      <c r="FO13" s="614"/>
      <c r="FP13" s="622"/>
      <c r="FQ13" s="618"/>
      <c r="FR13" s="617" t="s">
        <v>312</v>
      </c>
      <c r="FS13" s="623"/>
      <c r="FT13" s="618"/>
      <c r="FU13" s="624" t="s">
        <v>312</v>
      </c>
      <c r="FV13" s="590"/>
      <c r="FW13" s="591"/>
      <c r="FX13" s="592"/>
      <c r="FY13" s="593"/>
      <c r="FZ13" s="594"/>
      <c r="GA13" s="595"/>
      <c r="GB13" s="596"/>
      <c r="GC13" s="597"/>
      <c r="GD13" s="596"/>
      <c r="GE13" s="598"/>
      <c r="GF13" s="496"/>
      <c r="GG13" s="599"/>
      <c r="GH13" s="599"/>
      <c r="GI13" s="599"/>
      <c r="GJ13" s="414"/>
      <c r="GK13" s="625">
        <v>208</v>
      </c>
      <c r="GL13" s="626"/>
      <c r="GM13" s="627" t="s">
        <v>588</v>
      </c>
      <c r="GN13" s="628">
        <v>5.4</v>
      </c>
      <c r="GO13" s="629">
        <v>1.8</v>
      </c>
      <c r="GP13" s="629">
        <v>1</v>
      </c>
      <c r="GQ13" s="630">
        <v>9.7200000000000006</v>
      </c>
      <c r="GR13" s="631">
        <v>5.4</v>
      </c>
      <c r="GS13" s="575"/>
      <c r="GT13" s="414"/>
      <c r="GU13" s="625">
        <v>208</v>
      </c>
      <c r="GV13" s="626"/>
      <c r="GW13" s="632" t="s">
        <v>589</v>
      </c>
      <c r="GX13" s="633">
        <v>5.4</v>
      </c>
      <c r="GY13" s="634"/>
      <c r="GZ13" s="635">
        <v>0.3</v>
      </c>
      <c r="HA13" s="636">
        <v>1.62</v>
      </c>
      <c r="HB13" s="637"/>
      <c r="HC13" s="527"/>
      <c r="HD13" s="792"/>
      <c r="HE13" s="438"/>
      <c r="HF13" s="387"/>
      <c r="HG13" s="387"/>
    </row>
    <row r="14" spans="1:353" ht="20.100000000000001" customHeight="1">
      <c r="A14" s="638"/>
      <c r="B14" s="639"/>
      <c r="C14" s="639"/>
      <c r="D14" s="640" t="s">
        <v>556</v>
      </c>
      <c r="E14" s="639"/>
      <c r="F14" s="639"/>
      <c r="G14" s="641"/>
      <c r="H14" s="642">
        <f>SUM(H10:H13)</f>
        <v>0</v>
      </c>
      <c r="I14" s="728"/>
      <c r="J14" s="642">
        <f>SUM(J10:J13)</f>
        <v>0</v>
      </c>
      <c r="K14" s="728"/>
      <c r="L14" s="642">
        <f>SUM(L10:L13)</f>
        <v>0</v>
      </c>
      <c r="M14" s="728"/>
      <c r="N14" s="642">
        <f>SUM(N10:N13)</f>
        <v>0</v>
      </c>
      <c r="O14" s="728"/>
      <c r="P14" s="642">
        <f>SUM(P10:P13)</f>
        <v>0</v>
      </c>
      <c r="Q14" s="728"/>
      <c r="R14" s="642">
        <f>SUM(R10:R13)</f>
        <v>0</v>
      </c>
      <c r="S14" s="728"/>
      <c r="T14" s="642">
        <f>SUM(T10:T13)</f>
        <v>0</v>
      </c>
      <c r="U14" s="728"/>
      <c r="V14" s="642">
        <f>SUM(V10:V13)</f>
        <v>0</v>
      </c>
      <c r="W14" s="728"/>
      <c r="X14" s="642">
        <f>SUM(X10:X13)</f>
        <v>261</v>
      </c>
      <c r="Y14" s="728"/>
      <c r="Z14" s="642">
        <f>SUM(Z10:Z13)</f>
        <v>292</v>
      </c>
      <c r="AA14" s="728"/>
      <c r="AB14" s="642">
        <f>SUM(AB10:AB13)</f>
        <v>304</v>
      </c>
      <c r="AC14" s="728"/>
      <c r="AD14" s="642">
        <f>SUM(AD10:AD13)</f>
        <v>306</v>
      </c>
      <c r="AE14" s="728"/>
      <c r="AF14" s="642">
        <f>SUM(AF10:AF13)</f>
        <v>301</v>
      </c>
      <c r="AG14" s="728"/>
      <c r="AH14" s="642">
        <f>SUM(AH10:AH13)</f>
        <v>281</v>
      </c>
      <c r="AI14" s="728"/>
      <c r="AJ14" s="642">
        <f>SUM(AJ10:AJ13)</f>
        <v>241</v>
      </c>
      <c r="AK14" s="728"/>
      <c r="AL14" s="642">
        <f>SUM(AL10:AL13)</f>
        <v>180</v>
      </c>
      <c r="AM14" s="728"/>
      <c r="AN14" s="642">
        <f>SUM(AN10:AN13)</f>
        <v>112</v>
      </c>
      <c r="AO14" s="728"/>
      <c r="AP14" s="642">
        <f>SUM(AP10:AP13)</f>
        <v>31</v>
      </c>
      <c r="AQ14" s="728"/>
      <c r="AR14" s="642">
        <f>SUM(AR10:AR13)</f>
        <v>0</v>
      </c>
      <c r="AS14" s="728"/>
      <c r="AT14" s="642">
        <f>SUM(AT10:AT13)</f>
        <v>0</v>
      </c>
      <c r="AU14" s="728"/>
      <c r="AV14" s="642">
        <f>SUM(AV10:AV13)</f>
        <v>0</v>
      </c>
      <c r="AW14" s="728"/>
      <c r="AX14" s="642">
        <f>SUM(AX10:AX13)</f>
        <v>0</v>
      </c>
      <c r="AY14" s="728"/>
      <c r="AZ14" s="642">
        <f>SUM(AZ10:AZ13)</f>
        <v>0</v>
      </c>
      <c r="BA14" s="728"/>
      <c r="BB14" s="644">
        <f>SUM(BB10:BB13)</f>
        <v>0</v>
      </c>
      <c r="BC14" s="645"/>
      <c r="BD14" s="638"/>
      <c r="BE14" s="639"/>
      <c r="BF14" s="639"/>
      <c r="BG14" s="640" t="s">
        <v>556</v>
      </c>
      <c r="BH14" s="639"/>
      <c r="BI14" s="639"/>
      <c r="BJ14" s="641"/>
      <c r="BK14" s="642">
        <f>SUM(BK10:BK13)</f>
        <v>0</v>
      </c>
      <c r="BL14" s="728"/>
      <c r="BM14" s="642">
        <f>SUM(BM10:BM13)</f>
        <v>0</v>
      </c>
      <c r="BN14" s="728"/>
      <c r="BO14" s="642">
        <f>SUM(BO10:BO13)</f>
        <v>0</v>
      </c>
      <c r="BP14" s="728"/>
      <c r="BQ14" s="642">
        <f>SUM(BQ10:BQ13)</f>
        <v>0</v>
      </c>
      <c r="BR14" s="728"/>
      <c r="BS14" s="642">
        <f>SUM(BS10:BS13)</f>
        <v>0</v>
      </c>
      <c r="BT14" s="728"/>
      <c r="BU14" s="642">
        <f>SUM(BU10:BU13)</f>
        <v>0</v>
      </c>
      <c r="BV14" s="728"/>
      <c r="BW14" s="642">
        <f>SUM(BW10:BW13)</f>
        <v>0</v>
      </c>
      <c r="BX14" s="728"/>
      <c r="BY14" s="642">
        <f>SUM(BY10:BY13)</f>
        <v>0</v>
      </c>
      <c r="BZ14" s="728"/>
      <c r="CA14" s="642">
        <f>SUM(CA10:CA13)</f>
        <v>232</v>
      </c>
      <c r="CB14" s="728"/>
      <c r="CC14" s="642">
        <f>SUM(CC10:CC13)</f>
        <v>247</v>
      </c>
      <c r="CD14" s="728"/>
      <c r="CE14" s="642">
        <f>SUM(CE10:CE13)</f>
        <v>250</v>
      </c>
      <c r="CF14" s="728"/>
      <c r="CG14" s="642">
        <f>SUM(CG10:CG13)</f>
        <v>247</v>
      </c>
      <c r="CH14" s="728"/>
      <c r="CI14" s="642">
        <f>SUM(CI10:CI13)</f>
        <v>252</v>
      </c>
      <c r="CJ14" s="728"/>
      <c r="CK14" s="642">
        <f>SUM(CK10:CK13)</f>
        <v>245</v>
      </c>
      <c r="CL14" s="728"/>
      <c r="CM14" s="642">
        <f>SUM(CM10:CM13)</f>
        <v>220</v>
      </c>
      <c r="CN14" s="728"/>
      <c r="CO14" s="642">
        <f>SUM(CO10:CO13)</f>
        <v>171</v>
      </c>
      <c r="CP14" s="728"/>
      <c r="CQ14" s="642">
        <f>SUM(CQ10:CQ13)</f>
        <v>115</v>
      </c>
      <c r="CR14" s="728"/>
      <c r="CS14" s="642">
        <f>SUM(CS10:CS13)</f>
        <v>47</v>
      </c>
      <c r="CT14" s="728"/>
      <c r="CU14" s="642">
        <f>SUM(CU10:CU13)</f>
        <v>0</v>
      </c>
      <c r="CV14" s="728"/>
      <c r="CW14" s="642">
        <f>SUM(CW10:CW13)</f>
        <v>0</v>
      </c>
      <c r="CX14" s="728"/>
      <c r="CY14" s="642">
        <f>SUM(CY10:CY13)</f>
        <v>0</v>
      </c>
      <c r="CZ14" s="728"/>
      <c r="DA14" s="642">
        <f>SUM(DA10:DA13)</f>
        <v>0</v>
      </c>
      <c r="DB14" s="728"/>
      <c r="DC14" s="642">
        <f>SUM(DC10:DC13)</f>
        <v>0</v>
      </c>
      <c r="DD14" s="728"/>
      <c r="DE14" s="644">
        <f>SUM(DE10:DE13)</f>
        <v>0</v>
      </c>
      <c r="DF14" s="645"/>
      <c r="DG14" s="638"/>
      <c r="DH14" s="639"/>
      <c r="DI14" s="639"/>
      <c r="DJ14" s="640" t="s">
        <v>574</v>
      </c>
      <c r="DK14" s="639"/>
      <c r="DL14" s="639"/>
      <c r="DM14" s="641"/>
      <c r="DN14" s="642">
        <f>SUM(DN10:DN13)</f>
        <v>0</v>
      </c>
      <c r="DO14" s="728"/>
      <c r="DP14" s="642">
        <f>SUM(DP10:DP13)</f>
        <v>0</v>
      </c>
      <c r="DQ14" s="728"/>
      <c r="DR14" s="642">
        <f>SUM(DR10:DR13)</f>
        <v>0</v>
      </c>
      <c r="DS14" s="728"/>
      <c r="DT14" s="642">
        <f>SUM(DT10:DT13)</f>
        <v>0</v>
      </c>
      <c r="DU14" s="728"/>
      <c r="DV14" s="642">
        <f>SUM(DV10:DV13)</f>
        <v>0</v>
      </c>
      <c r="DW14" s="728"/>
      <c r="DX14" s="642">
        <f>SUM(DX10:DX13)</f>
        <v>0</v>
      </c>
      <c r="DY14" s="728"/>
      <c r="DZ14" s="642">
        <f>SUM(DZ10:DZ13)</f>
        <v>0</v>
      </c>
      <c r="EA14" s="728"/>
      <c r="EB14" s="642">
        <f>SUM(EB10:EB13)</f>
        <v>0</v>
      </c>
      <c r="EC14" s="728"/>
      <c r="ED14" s="642">
        <f>SUM(ED10:ED13)</f>
        <v>335</v>
      </c>
      <c r="EE14" s="728"/>
      <c r="EF14" s="642">
        <f>SUM(EF10:EF13)</f>
        <v>218</v>
      </c>
      <c r="EG14" s="728"/>
      <c r="EH14" s="642">
        <f>SUM(EH10:EH13)</f>
        <v>227</v>
      </c>
      <c r="EI14" s="728"/>
      <c r="EJ14" s="642">
        <f>SUM(EJ10:EJ13)</f>
        <v>227</v>
      </c>
      <c r="EK14" s="728"/>
      <c r="EL14" s="642">
        <f>SUM(EL10:EL13)</f>
        <v>220</v>
      </c>
      <c r="EM14" s="728"/>
      <c r="EN14" s="642">
        <f>SUM(EN10:EN13)</f>
        <v>205</v>
      </c>
      <c r="EO14" s="728"/>
      <c r="EP14" s="642">
        <f>SUM(EP10:EP13)</f>
        <v>175</v>
      </c>
      <c r="EQ14" s="728"/>
      <c r="ER14" s="642">
        <f>SUM(ER10:ER13)</f>
        <v>124</v>
      </c>
      <c r="ES14" s="728"/>
      <c r="ET14" s="642">
        <f>SUM(ET10:ET13)</f>
        <v>54</v>
      </c>
      <c r="EU14" s="728"/>
      <c r="EV14" s="642">
        <f>SUM(EV10:EV13)</f>
        <v>7</v>
      </c>
      <c r="EW14" s="728"/>
      <c r="EX14" s="642">
        <f>SUM(EX10:EX13)</f>
        <v>0</v>
      </c>
      <c r="EY14" s="728"/>
      <c r="EZ14" s="642">
        <f>SUM(EZ10:EZ13)</f>
        <v>0</v>
      </c>
      <c r="FA14" s="728"/>
      <c r="FB14" s="642">
        <f>SUM(FB10:FB13)</f>
        <v>0</v>
      </c>
      <c r="FC14" s="728"/>
      <c r="FD14" s="642">
        <f>SUM(FD10:FD13)</f>
        <v>0</v>
      </c>
      <c r="FE14" s="728"/>
      <c r="FF14" s="642">
        <f>SUM(FF10:FF13)</f>
        <v>0</v>
      </c>
      <c r="FG14" s="728"/>
      <c r="FH14" s="644">
        <f>SUM(FH10:FH13)</f>
        <v>0</v>
      </c>
      <c r="FI14" s="646"/>
      <c r="FJ14" s="561"/>
      <c r="FK14" s="639"/>
      <c r="FL14" s="639"/>
      <c r="FM14" s="640" t="s">
        <v>556</v>
      </c>
      <c r="FN14" s="639"/>
      <c r="FO14" s="639"/>
      <c r="FP14" s="647"/>
      <c r="FQ14" s="648"/>
      <c r="FR14" s="642">
        <f>SUM(FR10:FR13)</f>
        <v>0</v>
      </c>
      <c r="FS14" s="649"/>
      <c r="FT14" s="648"/>
      <c r="FU14" s="650">
        <f>SUM(FU10:FU13)</f>
        <v>0</v>
      </c>
      <c r="FV14" s="590"/>
      <c r="FW14" s="591"/>
      <c r="FX14" s="592"/>
      <c r="FY14" s="593"/>
      <c r="FZ14" s="594"/>
      <c r="GA14" s="595"/>
      <c r="GB14" s="596"/>
      <c r="GC14" s="597"/>
      <c r="GD14" s="596"/>
      <c r="GE14" s="598"/>
      <c r="GF14" s="651"/>
      <c r="GG14" s="652"/>
      <c r="GH14" s="652"/>
      <c r="GI14" s="652"/>
      <c r="GJ14" s="612"/>
      <c r="GK14" s="625"/>
      <c r="GL14" s="626"/>
      <c r="GM14" s="627"/>
      <c r="GN14" s="628"/>
      <c r="GO14" s="629"/>
      <c r="GP14" s="653"/>
      <c r="GQ14" s="630">
        <v>0</v>
      </c>
      <c r="GR14" s="631">
        <v>0</v>
      </c>
      <c r="GS14" s="612"/>
      <c r="GT14" s="654"/>
      <c r="GU14" s="625"/>
      <c r="GV14" s="626"/>
      <c r="GW14" s="632"/>
      <c r="GX14" s="633"/>
      <c r="GY14" s="634"/>
      <c r="GZ14" s="635"/>
      <c r="HA14" s="636">
        <v>0</v>
      </c>
      <c r="HB14" s="637"/>
      <c r="HC14" s="527"/>
      <c r="HD14" s="1446"/>
      <c r="HE14" s="416"/>
      <c r="HF14" s="416"/>
      <c r="HG14" s="416"/>
    </row>
    <row r="15" spans="1:353" ht="24" customHeight="1">
      <c r="A15" s="529" t="s">
        <v>314</v>
      </c>
      <c r="B15" s="655" t="s">
        <v>299</v>
      </c>
      <c r="C15" s="656" t="s">
        <v>300</v>
      </c>
      <c r="D15" s="657" t="s">
        <v>575</v>
      </c>
      <c r="E15" s="657" t="s">
        <v>315</v>
      </c>
      <c r="F15" s="658" t="s">
        <v>112</v>
      </c>
      <c r="G15" s="659" t="s">
        <v>576</v>
      </c>
      <c r="H15" s="660" t="s">
        <v>528</v>
      </c>
      <c r="I15" s="661" t="s">
        <v>318</v>
      </c>
      <c r="J15" s="660" t="s">
        <v>528</v>
      </c>
      <c r="K15" s="661" t="s">
        <v>318</v>
      </c>
      <c r="L15" s="660" t="s">
        <v>577</v>
      </c>
      <c r="M15" s="661" t="s">
        <v>318</v>
      </c>
      <c r="N15" s="660" t="s">
        <v>528</v>
      </c>
      <c r="O15" s="661" t="s">
        <v>318</v>
      </c>
      <c r="P15" s="660" t="s">
        <v>528</v>
      </c>
      <c r="Q15" s="661" t="s">
        <v>318</v>
      </c>
      <c r="R15" s="660" t="s">
        <v>528</v>
      </c>
      <c r="S15" s="661" t="s">
        <v>318</v>
      </c>
      <c r="T15" s="660" t="s">
        <v>528</v>
      </c>
      <c r="U15" s="661" t="s">
        <v>318</v>
      </c>
      <c r="V15" s="660" t="s">
        <v>528</v>
      </c>
      <c r="W15" s="661" t="s">
        <v>318</v>
      </c>
      <c r="X15" s="660" t="s">
        <v>528</v>
      </c>
      <c r="Y15" s="661" t="s">
        <v>318</v>
      </c>
      <c r="Z15" s="660" t="s">
        <v>528</v>
      </c>
      <c r="AA15" s="661" t="s">
        <v>318</v>
      </c>
      <c r="AB15" s="660" t="s">
        <v>577</v>
      </c>
      <c r="AC15" s="661" t="s">
        <v>318</v>
      </c>
      <c r="AD15" s="660" t="s">
        <v>528</v>
      </c>
      <c r="AE15" s="661" t="s">
        <v>318</v>
      </c>
      <c r="AF15" s="660" t="s">
        <v>528</v>
      </c>
      <c r="AG15" s="661" t="s">
        <v>318</v>
      </c>
      <c r="AH15" s="660" t="s">
        <v>528</v>
      </c>
      <c r="AI15" s="661" t="s">
        <v>318</v>
      </c>
      <c r="AJ15" s="660" t="s">
        <v>528</v>
      </c>
      <c r="AK15" s="661" t="s">
        <v>318</v>
      </c>
      <c r="AL15" s="660" t="s">
        <v>528</v>
      </c>
      <c r="AM15" s="661" t="s">
        <v>318</v>
      </c>
      <c r="AN15" s="660" t="s">
        <v>528</v>
      </c>
      <c r="AO15" s="661" t="s">
        <v>318</v>
      </c>
      <c r="AP15" s="660" t="s">
        <v>577</v>
      </c>
      <c r="AQ15" s="661" t="s">
        <v>318</v>
      </c>
      <c r="AR15" s="660" t="s">
        <v>528</v>
      </c>
      <c r="AS15" s="661" t="s">
        <v>318</v>
      </c>
      <c r="AT15" s="660" t="s">
        <v>577</v>
      </c>
      <c r="AU15" s="661" t="s">
        <v>318</v>
      </c>
      <c r="AV15" s="660" t="s">
        <v>528</v>
      </c>
      <c r="AW15" s="661" t="s">
        <v>318</v>
      </c>
      <c r="AX15" s="660" t="s">
        <v>577</v>
      </c>
      <c r="AY15" s="661" t="s">
        <v>318</v>
      </c>
      <c r="AZ15" s="660" t="s">
        <v>528</v>
      </c>
      <c r="BA15" s="661" t="s">
        <v>318</v>
      </c>
      <c r="BB15" s="662" t="s">
        <v>319</v>
      </c>
      <c r="BC15" s="663"/>
      <c r="BD15" s="529" t="s">
        <v>314</v>
      </c>
      <c r="BE15" s="655" t="s">
        <v>299</v>
      </c>
      <c r="BF15" s="656" t="s">
        <v>300</v>
      </c>
      <c r="BG15" s="657" t="s">
        <v>575</v>
      </c>
      <c r="BH15" s="657" t="s">
        <v>315</v>
      </c>
      <c r="BI15" s="658" t="s">
        <v>112</v>
      </c>
      <c r="BJ15" s="659" t="s">
        <v>525</v>
      </c>
      <c r="BK15" s="660" t="s">
        <v>528</v>
      </c>
      <c r="BL15" s="661" t="s">
        <v>318</v>
      </c>
      <c r="BM15" s="660" t="s">
        <v>528</v>
      </c>
      <c r="BN15" s="661" t="s">
        <v>318</v>
      </c>
      <c r="BO15" s="660" t="s">
        <v>577</v>
      </c>
      <c r="BP15" s="661" t="s">
        <v>318</v>
      </c>
      <c r="BQ15" s="660" t="s">
        <v>528</v>
      </c>
      <c r="BR15" s="661" t="s">
        <v>318</v>
      </c>
      <c r="BS15" s="660" t="s">
        <v>528</v>
      </c>
      <c r="BT15" s="661" t="s">
        <v>318</v>
      </c>
      <c r="BU15" s="660" t="s">
        <v>577</v>
      </c>
      <c r="BV15" s="661" t="s">
        <v>318</v>
      </c>
      <c r="BW15" s="660" t="s">
        <v>528</v>
      </c>
      <c r="BX15" s="661" t="s">
        <v>318</v>
      </c>
      <c r="BY15" s="660" t="s">
        <v>528</v>
      </c>
      <c r="BZ15" s="661" t="s">
        <v>318</v>
      </c>
      <c r="CA15" s="660" t="s">
        <v>577</v>
      </c>
      <c r="CB15" s="661" t="s">
        <v>318</v>
      </c>
      <c r="CC15" s="660" t="s">
        <v>577</v>
      </c>
      <c r="CD15" s="661" t="s">
        <v>318</v>
      </c>
      <c r="CE15" s="660" t="s">
        <v>528</v>
      </c>
      <c r="CF15" s="661" t="s">
        <v>318</v>
      </c>
      <c r="CG15" s="660" t="s">
        <v>528</v>
      </c>
      <c r="CH15" s="661" t="s">
        <v>318</v>
      </c>
      <c r="CI15" s="660" t="s">
        <v>528</v>
      </c>
      <c r="CJ15" s="661" t="s">
        <v>318</v>
      </c>
      <c r="CK15" s="660" t="s">
        <v>528</v>
      </c>
      <c r="CL15" s="661" t="s">
        <v>318</v>
      </c>
      <c r="CM15" s="660" t="s">
        <v>528</v>
      </c>
      <c r="CN15" s="661" t="s">
        <v>318</v>
      </c>
      <c r="CO15" s="660" t="s">
        <v>528</v>
      </c>
      <c r="CP15" s="661" t="s">
        <v>318</v>
      </c>
      <c r="CQ15" s="660" t="s">
        <v>528</v>
      </c>
      <c r="CR15" s="661" t="s">
        <v>318</v>
      </c>
      <c r="CS15" s="660" t="s">
        <v>528</v>
      </c>
      <c r="CT15" s="661" t="s">
        <v>318</v>
      </c>
      <c r="CU15" s="660" t="s">
        <v>528</v>
      </c>
      <c r="CV15" s="661" t="s">
        <v>318</v>
      </c>
      <c r="CW15" s="660" t="s">
        <v>577</v>
      </c>
      <c r="CX15" s="661" t="s">
        <v>318</v>
      </c>
      <c r="CY15" s="660" t="s">
        <v>528</v>
      </c>
      <c r="CZ15" s="661" t="s">
        <v>318</v>
      </c>
      <c r="DA15" s="660" t="s">
        <v>528</v>
      </c>
      <c r="DB15" s="661" t="s">
        <v>318</v>
      </c>
      <c r="DC15" s="660" t="s">
        <v>528</v>
      </c>
      <c r="DD15" s="661" t="s">
        <v>318</v>
      </c>
      <c r="DE15" s="662" t="s">
        <v>319</v>
      </c>
      <c r="DF15" s="663"/>
      <c r="DG15" s="529" t="s">
        <v>314</v>
      </c>
      <c r="DH15" s="655" t="s">
        <v>299</v>
      </c>
      <c r="DI15" s="656" t="s">
        <v>300</v>
      </c>
      <c r="DJ15" s="657" t="s">
        <v>575</v>
      </c>
      <c r="DK15" s="657" t="s">
        <v>315</v>
      </c>
      <c r="DL15" s="658" t="s">
        <v>112</v>
      </c>
      <c r="DM15" s="659" t="s">
        <v>576</v>
      </c>
      <c r="DN15" s="660" t="s">
        <v>528</v>
      </c>
      <c r="DO15" s="661" t="s">
        <v>318</v>
      </c>
      <c r="DP15" s="660" t="s">
        <v>528</v>
      </c>
      <c r="DQ15" s="661" t="s">
        <v>318</v>
      </c>
      <c r="DR15" s="660" t="s">
        <v>528</v>
      </c>
      <c r="DS15" s="661" t="s">
        <v>318</v>
      </c>
      <c r="DT15" s="660" t="s">
        <v>528</v>
      </c>
      <c r="DU15" s="661" t="s">
        <v>318</v>
      </c>
      <c r="DV15" s="660" t="s">
        <v>528</v>
      </c>
      <c r="DW15" s="661" t="s">
        <v>318</v>
      </c>
      <c r="DX15" s="660" t="s">
        <v>528</v>
      </c>
      <c r="DY15" s="661" t="s">
        <v>318</v>
      </c>
      <c r="DZ15" s="660" t="s">
        <v>528</v>
      </c>
      <c r="EA15" s="661" t="s">
        <v>318</v>
      </c>
      <c r="EB15" s="660" t="s">
        <v>528</v>
      </c>
      <c r="EC15" s="661" t="s">
        <v>318</v>
      </c>
      <c r="ED15" s="660" t="s">
        <v>528</v>
      </c>
      <c r="EE15" s="661" t="s">
        <v>318</v>
      </c>
      <c r="EF15" s="660" t="s">
        <v>528</v>
      </c>
      <c r="EG15" s="661" t="s">
        <v>318</v>
      </c>
      <c r="EH15" s="660" t="s">
        <v>528</v>
      </c>
      <c r="EI15" s="661" t="s">
        <v>318</v>
      </c>
      <c r="EJ15" s="660" t="s">
        <v>528</v>
      </c>
      <c r="EK15" s="661" t="s">
        <v>318</v>
      </c>
      <c r="EL15" s="660" t="s">
        <v>528</v>
      </c>
      <c r="EM15" s="661" t="s">
        <v>318</v>
      </c>
      <c r="EN15" s="660" t="s">
        <v>528</v>
      </c>
      <c r="EO15" s="661" t="s">
        <v>318</v>
      </c>
      <c r="EP15" s="660" t="s">
        <v>528</v>
      </c>
      <c r="EQ15" s="661" t="s">
        <v>318</v>
      </c>
      <c r="ER15" s="660" t="s">
        <v>528</v>
      </c>
      <c r="ES15" s="661" t="s">
        <v>318</v>
      </c>
      <c r="ET15" s="660" t="s">
        <v>577</v>
      </c>
      <c r="EU15" s="661" t="s">
        <v>318</v>
      </c>
      <c r="EV15" s="660" t="s">
        <v>528</v>
      </c>
      <c r="EW15" s="661" t="s">
        <v>318</v>
      </c>
      <c r="EX15" s="660" t="s">
        <v>528</v>
      </c>
      <c r="EY15" s="661" t="s">
        <v>318</v>
      </c>
      <c r="EZ15" s="660" t="s">
        <v>528</v>
      </c>
      <c r="FA15" s="661" t="s">
        <v>318</v>
      </c>
      <c r="FB15" s="660" t="s">
        <v>577</v>
      </c>
      <c r="FC15" s="661" t="s">
        <v>318</v>
      </c>
      <c r="FD15" s="660" t="s">
        <v>577</v>
      </c>
      <c r="FE15" s="661" t="s">
        <v>318</v>
      </c>
      <c r="FF15" s="660" t="s">
        <v>528</v>
      </c>
      <c r="FG15" s="661" t="s">
        <v>318</v>
      </c>
      <c r="FH15" s="662" t="s">
        <v>319</v>
      </c>
      <c r="FI15" s="664"/>
      <c r="FJ15" s="539" t="s">
        <v>314</v>
      </c>
      <c r="FK15" s="655" t="s">
        <v>299</v>
      </c>
      <c r="FL15" s="656" t="s">
        <v>300</v>
      </c>
      <c r="FM15" s="657" t="s">
        <v>578</v>
      </c>
      <c r="FN15" s="657" t="s">
        <v>315</v>
      </c>
      <c r="FO15" s="658" t="s">
        <v>112</v>
      </c>
      <c r="FP15" s="665" t="s">
        <v>45</v>
      </c>
      <c r="FQ15" s="666" t="s">
        <v>318</v>
      </c>
      <c r="FR15" s="660" t="s">
        <v>319</v>
      </c>
      <c r="FS15" s="667" t="s">
        <v>45</v>
      </c>
      <c r="FT15" s="666" t="s">
        <v>318</v>
      </c>
      <c r="FU15" s="668" t="s">
        <v>319</v>
      </c>
      <c r="FV15" s="590"/>
      <c r="FW15" s="591"/>
      <c r="FX15" s="592"/>
      <c r="FY15" s="593"/>
      <c r="FZ15" s="594"/>
      <c r="GA15" s="595"/>
      <c r="GB15" s="596"/>
      <c r="GC15" s="597"/>
      <c r="GD15" s="596"/>
      <c r="GE15" s="598"/>
      <c r="GF15" s="669"/>
      <c r="GG15" s="670"/>
      <c r="GH15" s="670"/>
      <c r="GI15" s="670"/>
      <c r="GJ15" s="526"/>
      <c r="GK15" s="625"/>
      <c r="GL15" s="626"/>
      <c r="GM15" s="627"/>
      <c r="GN15" s="628"/>
      <c r="GO15" s="629"/>
      <c r="GP15" s="653"/>
      <c r="GQ15" s="630">
        <v>0</v>
      </c>
      <c r="GR15" s="631">
        <v>0</v>
      </c>
      <c r="GS15" s="526"/>
      <c r="GT15" s="670"/>
      <c r="GU15" s="625"/>
      <c r="GV15" s="626"/>
      <c r="GW15" s="632"/>
      <c r="GX15" s="633"/>
      <c r="GY15" s="634"/>
      <c r="GZ15" s="635"/>
      <c r="HA15" s="636">
        <v>0</v>
      </c>
      <c r="HB15" s="637"/>
      <c r="HC15" s="671"/>
      <c r="HD15" s="663"/>
      <c r="HE15" s="416"/>
      <c r="HF15" s="416"/>
      <c r="HG15" s="416"/>
    </row>
    <row r="16" spans="1:353" ht="20.100000000000001" customHeight="1">
      <c r="A16" s="549"/>
      <c r="B16" s="551" t="s">
        <v>227</v>
      </c>
      <c r="C16" s="672" t="s">
        <v>69</v>
      </c>
      <c r="D16" s="552">
        <v>36.75</v>
      </c>
      <c r="E16" s="673">
        <v>0.6</v>
      </c>
      <c r="F16" s="674"/>
      <c r="G16" s="675">
        <v>0</v>
      </c>
      <c r="H16" s="556">
        <f>ROUND(36.75*0.6*0,0)</f>
        <v>0</v>
      </c>
      <c r="I16" s="676">
        <v>0</v>
      </c>
      <c r="J16" s="556">
        <f>ROUND(36.75*0.6*0,0)</f>
        <v>0</v>
      </c>
      <c r="K16" s="676">
        <v>0</v>
      </c>
      <c r="L16" s="556">
        <f>ROUND(36.75*0.6*0,0)</f>
        <v>0</v>
      </c>
      <c r="M16" s="676">
        <v>0</v>
      </c>
      <c r="N16" s="556">
        <f>ROUND(36.75*0.6*0,0)</f>
        <v>0</v>
      </c>
      <c r="O16" s="676">
        <v>0</v>
      </c>
      <c r="P16" s="556">
        <f>ROUND(36.75*0.6*0,0)</f>
        <v>0</v>
      </c>
      <c r="Q16" s="676">
        <v>0</v>
      </c>
      <c r="R16" s="556">
        <f>ROUND(36.75*0.6*0,0)</f>
        <v>0</v>
      </c>
      <c r="S16" s="676">
        <v>0</v>
      </c>
      <c r="T16" s="556">
        <f>ROUND(36.75*0.6*0,0)</f>
        <v>0</v>
      </c>
      <c r="U16" s="676">
        <v>0</v>
      </c>
      <c r="V16" s="556">
        <f>ROUND(36.75*0.6*0,0)</f>
        <v>0</v>
      </c>
      <c r="W16" s="676">
        <v>7.1</v>
      </c>
      <c r="X16" s="556">
        <f>ROUND(36.75*0.6*7.1,0)</f>
        <v>157</v>
      </c>
      <c r="Y16" s="676">
        <v>8.4</v>
      </c>
      <c r="Z16" s="556">
        <f>ROUND(36.75*0.6*8.4,0)</f>
        <v>185</v>
      </c>
      <c r="AA16" s="676">
        <v>9.6</v>
      </c>
      <c r="AB16" s="556">
        <f>ROUND(36.75*0.6*9.6,0)</f>
        <v>212</v>
      </c>
      <c r="AC16" s="676">
        <v>10.6</v>
      </c>
      <c r="AD16" s="556">
        <f>ROUND(36.75*0.6*10.6,0)</f>
        <v>234</v>
      </c>
      <c r="AE16" s="676">
        <v>11.4</v>
      </c>
      <c r="AF16" s="556">
        <f>ROUND(36.75*0.6*11.4,0)</f>
        <v>251</v>
      </c>
      <c r="AG16" s="676">
        <v>12</v>
      </c>
      <c r="AH16" s="556">
        <f>ROUND(36.75*0.6*12,0)</f>
        <v>265</v>
      </c>
      <c r="AI16" s="676">
        <v>12.1</v>
      </c>
      <c r="AJ16" s="556">
        <f>ROUND(36.75*0.6*12.1,0)</f>
        <v>267</v>
      </c>
      <c r="AK16" s="676">
        <v>11.8</v>
      </c>
      <c r="AL16" s="556">
        <f>ROUND(36.75*0.6*11.8,0)</f>
        <v>260</v>
      </c>
      <c r="AM16" s="676">
        <v>11.1</v>
      </c>
      <c r="AN16" s="556">
        <f>ROUND(36.75*0.6*11.1,0)</f>
        <v>245</v>
      </c>
      <c r="AO16" s="676">
        <v>9.8000000000000007</v>
      </c>
      <c r="AP16" s="556">
        <f>ROUND(36.75*0.6*9.8,0)</f>
        <v>216</v>
      </c>
      <c r="AQ16" s="676">
        <v>0</v>
      </c>
      <c r="AR16" s="556">
        <f>ROUND(36.75*0.6*0,0)</f>
        <v>0</v>
      </c>
      <c r="AS16" s="676">
        <v>0</v>
      </c>
      <c r="AT16" s="556">
        <f>ROUND(36.75*0.6*0,0)</f>
        <v>0</v>
      </c>
      <c r="AU16" s="676">
        <v>0</v>
      </c>
      <c r="AV16" s="556">
        <f>ROUND(36.75*0.6*0,0)</f>
        <v>0</v>
      </c>
      <c r="AW16" s="676">
        <v>0</v>
      </c>
      <c r="AX16" s="556">
        <f>ROUND(36.75*0.6*0,0)</f>
        <v>0</v>
      </c>
      <c r="AY16" s="676">
        <v>0</v>
      </c>
      <c r="AZ16" s="556">
        <f>ROUND(36.75*0.6*0,0)</f>
        <v>0</v>
      </c>
      <c r="BA16" s="676">
        <v>0</v>
      </c>
      <c r="BB16" s="677">
        <f>ROUND(36.75*0.6*0,0)</f>
        <v>0</v>
      </c>
      <c r="BC16" s="559"/>
      <c r="BD16" s="549"/>
      <c r="BE16" s="551" t="s">
        <v>227</v>
      </c>
      <c r="BF16" s="672" t="s">
        <v>69</v>
      </c>
      <c r="BG16" s="552">
        <v>36.75</v>
      </c>
      <c r="BH16" s="673">
        <v>0.6</v>
      </c>
      <c r="BI16" s="674"/>
      <c r="BJ16" s="675">
        <v>0</v>
      </c>
      <c r="BK16" s="556">
        <f>ROUND(36.75*0.6*0,0)</f>
        <v>0</v>
      </c>
      <c r="BL16" s="676">
        <v>0</v>
      </c>
      <c r="BM16" s="556">
        <f>ROUND(36.75*0.6*0,0)</f>
        <v>0</v>
      </c>
      <c r="BN16" s="676">
        <v>0</v>
      </c>
      <c r="BO16" s="556">
        <f>ROUND(36.75*0.6*0,0)</f>
        <v>0</v>
      </c>
      <c r="BP16" s="676">
        <v>0</v>
      </c>
      <c r="BQ16" s="556">
        <f>ROUND(36.75*0.6*0,0)</f>
        <v>0</v>
      </c>
      <c r="BR16" s="676">
        <v>0</v>
      </c>
      <c r="BS16" s="556">
        <f>ROUND(36.75*0.6*0,0)</f>
        <v>0</v>
      </c>
      <c r="BT16" s="676">
        <v>0</v>
      </c>
      <c r="BU16" s="556">
        <f>ROUND(36.75*0.6*0,0)</f>
        <v>0</v>
      </c>
      <c r="BV16" s="676">
        <v>0</v>
      </c>
      <c r="BW16" s="556">
        <f>ROUND(36.75*0.6*0,0)</f>
        <v>0</v>
      </c>
      <c r="BX16" s="676">
        <v>0</v>
      </c>
      <c r="BY16" s="556">
        <f>ROUND(36.75*0.6*0,0)</f>
        <v>0</v>
      </c>
      <c r="BZ16" s="676">
        <v>8.9</v>
      </c>
      <c r="CA16" s="556">
        <f>ROUND(36.75*0.6*8.9,0)</f>
        <v>196</v>
      </c>
      <c r="CB16" s="676">
        <v>9.6</v>
      </c>
      <c r="CC16" s="556">
        <f>ROUND(36.75*0.6*9.6,0)</f>
        <v>212</v>
      </c>
      <c r="CD16" s="676">
        <v>9.9</v>
      </c>
      <c r="CE16" s="556">
        <f>ROUND(36.75*0.6*9.9,0)</f>
        <v>218</v>
      </c>
      <c r="CF16" s="676">
        <v>10.4</v>
      </c>
      <c r="CG16" s="556">
        <f>ROUND(36.75*0.6*10.4,0)</f>
        <v>229</v>
      </c>
      <c r="CH16" s="676">
        <v>10.8</v>
      </c>
      <c r="CI16" s="556">
        <f>ROUND(36.75*0.6*10.8,0)</f>
        <v>238</v>
      </c>
      <c r="CJ16" s="676">
        <v>11.2</v>
      </c>
      <c r="CK16" s="556">
        <f>ROUND(36.75*0.6*11.2,0)</f>
        <v>247</v>
      </c>
      <c r="CL16" s="676">
        <v>11.2</v>
      </c>
      <c r="CM16" s="556">
        <f>ROUND(36.75*0.6*11.2,0)</f>
        <v>247</v>
      </c>
      <c r="CN16" s="676">
        <v>11</v>
      </c>
      <c r="CO16" s="556">
        <f>ROUND(36.75*0.6*11,0)</f>
        <v>243</v>
      </c>
      <c r="CP16" s="676">
        <v>10.3</v>
      </c>
      <c r="CQ16" s="556">
        <f>ROUND(36.75*0.6*10.3,0)</f>
        <v>227</v>
      </c>
      <c r="CR16" s="676">
        <v>9.4</v>
      </c>
      <c r="CS16" s="556">
        <f>ROUND(36.75*0.6*9.4,0)</f>
        <v>207</v>
      </c>
      <c r="CT16" s="676">
        <v>0</v>
      </c>
      <c r="CU16" s="556">
        <f>ROUND(36.75*0.6*0,0)</f>
        <v>0</v>
      </c>
      <c r="CV16" s="676">
        <v>0</v>
      </c>
      <c r="CW16" s="556">
        <f>ROUND(36.75*0.6*0,0)</f>
        <v>0</v>
      </c>
      <c r="CX16" s="676">
        <v>0</v>
      </c>
      <c r="CY16" s="556">
        <f>ROUND(36.75*0.6*0,0)</f>
        <v>0</v>
      </c>
      <c r="CZ16" s="676">
        <v>0</v>
      </c>
      <c r="DA16" s="556">
        <f>ROUND(36.75*0.6*0,0)</f>
        <v>0</v>
      </c>
      <c r="DB16" s="676">
        <v>0</v>
      </c>
      <c r="DC16" s="556">
        <f>ROUND(36.75*0.6*0,0)</f>
        <v>0</v>
      </c>
      <c r="DD16" s="676">
        <v>0</v>
      </c>
      <c r="DE16" s="677">
        <f>ROUND(36.75*0.6*0,0)</f>
        <v>0</v>
      </c>
      <c r="DF16" s="559"/>
      <c r="DG16" s="549"/>
      <c r="DH16" s="551" t="s">
        <v>227</v>
      </c>
      <c r="DI16" s="672" t="s">
        <v>69</v>
      </c>
      <c r="DJ16" s="552">
        <v>36.75</v>
      </c>
      <c r="DK16" s="673">
        <v>0.6</v>
      </c>
      <c r="DL16" s="674"/>
      <c r="DM16" s="675">
        <v>0</v>
      </c>
      <c r="DN16" s="556">
        <f>ROUND(36.75*0.6*0,0)</f>
        <v>0</v>
      </c>
      <c r="DO16" s="676">
        <v>0</v>
      </c>
      <c r="DP16" s="556">
        <f>ROUND(36.75*0.6*0,0)</f>
        <v>0</v>
      </c>
      <c r="DQ16" s="676">
        <v>0</v>
      </c>
      <c r="DR16" s="556">
        <f>ROUND(36.75*0.6*0,0)</f>
        <v>0</v>
      </c>
      <c r="DS16" s="676">
        <v>0</v>
      </c>
      <c r="DT16" s="556">
        <f>ROUND(36.75*0.6*0,0)</f>
        <v>0</v>
      </c>
      <c r="DU16" s="676">
        <v>0</v>
      </c>
      <c r="DV16" s="556">
        <f>ROUND(36.75*0.6*0,0)</f>
        <v>0</v>
      </c>
      <c r="DW16" s="676">
        <v>0</v>
      </c>
      <c r="DX16" s="556">
        <f>ROUND(36.75*0.6*0,0)</f>
        <v>0</v>
      </c>
      <c r="DY16" s="676">
        <v>0</v>
      </c>
      <c r="DZ16" s="556">
        <f>ROUND(36.75*0.6*0,0)</f>
        <v>0</v>
      </c>
      <c r="EA16" s="676">
        <v>0</v>
      </c>
      <c r="EB16" s="556">
        <f>ROUND(36.75*0.6*0,0)</f>
        <v>0</v>
      </c>
      <c r="EC16" s="676">
        <v>3.1</v>
      </c>
      <c r="ED16" s="556">
        <f>ROUND(36.75*0.6*3.1,0)</f>
        <v>68</v>
      </c>
      <c r="EE16" s="676">
        <v>4.2</v>
      </c>
      <c r="EF16" s="556">
        <f>ROUND(36.75*0.6*4.2,0)</f>
        <v>93</v>
      </c>
      <c r="EG16" s="676">
        <v>5.6</v>
      </c>
      <c r="EH16" s="556">
        <f>ROUND(36.75*0.6*5.6,0)</f>
        <v>123</v>
      </c>
      <c r="EI16" s="676">
        <v>6.7</v>
      </c>
      <c r="EJ16" s="556">
        <f>ROUND(36.75*0.6*6.7,0)</f>
        <v>148</v>
      </c>
      <c r="EK16" s="676">
        <v>7.7</v>
      </c>
      <c r="EL16" s="556">
        <f>ROUND(36.75*0.6*7.7,0)</f>
        <v>170</v>
      </c>
      <c r="EM16" s="676">
        <v>8.4</v>
      </c>
      <c r="EN16" s="556">
        <f>ROUND(36.75*0.6*8.4,0)</f>
        <v>185</v>
      </c>
      <c r="EO16" s="676">
        <v>8.5</v>
      </c>
      <c r="EP16" s="556">
        <f>ROUND(36.75*0.6*8.5,0)</f>
        <v>187</v>
      </c>
      <c r="EQ16" s="676">
        <v>8.3000000000000007</v>
      </c>
      <c r="ER16" s="556">
        <f>ROUND(36.75*0.6*8.3,0)</f>
        <v>183</v>
      </c>
      <c r="ES16" s="676">
        <v>7.6</v>
      </c>
      <c r="ET16" s="556">
        <f>ROUND(36.75*0.6*7.6,0)</f>
        <v>168</v>
      </c>
      <c r="EU16" s="676">
        <v>6.5</v>
      </c>
      <c r="EV16" s="556">
        <f>ROUND(36.75*0.6*6.5,0)</f>
        <v>143</v>
      </c>
      <c r="EW16" s="676">
        <v>0</v>
      </c>
      <c r="EX16" s="556">
        <f>ROUND(36.75*0.6*0,0)</f>
        <v>0</v>
      </c>
      <c r="EY16" s="676">
        <v>0</v>
      </c>
      <c r="EZ16" s="556">
        <f>ROUND(36.75*0.6*0,0)</f>
        <v>0</v>
      </c>
      <c r="FA16" s="676">
        <v>0</v>
      </c>
      <c r="FB16" s="556">
        <f>ROUND(36.75*0.6*0,0)</f>
        <v>0</v>
      </c>
      <c r="FC16" s="676">
        <v>0</v>
      </c>
      <c r="FD16" s="556">
        <f>ROUND(36.75*0.6*0,0)</f>
        <v>0</v>
      </c>
      <c r="FE16" s="676">
        <v>0</v>
      </c>
      <c r="FF16" s="556">
        <f>ROUND(36.75*0.6*0,0)</f>
        <v>0</v>
      </c>
      <c r="FG16" s="676">
        <v>0</v>
      </c>
      <c r="FH16" s="677">
        <f>ROUND(36.75*0.6*0,0)</f>
        <v>0</v>
      </c>
      <c r="FI16" s="560"/>
      <c r="FJ16" s="561"/>
      <c r="FK16" s="551" t="s">
        <v>227</v>
      </c>
      <c r="FL16" s="672" t="s">
        <v>69</v>
      </c>
      <c r="FM16" s="552">
        <v>36.75</v>
      </c>
      <c r="FN16" s="673">
        <v>0.6</v>
      </c>
      <c r="FO16" s="674"/>
      <c r="FP16" s="678">
        <v>9</v>
      </c>
      <c r="FQ16" s="679">
        <v>20</v>
      </c>
      <c r="FR16" s="556">
        <f>ROUND(36.75*0.6*20,0)</f>
        <v>441</v>
      </c>
      <c r="FS16" s="680">
        <v>9</v>
      </c>
      <c r="FT16" s="679">
        <v>20.5</v>
      </c>
      <c r="FU16" s="564">
        <f>ROUND(36.75*0.6*20.5,0)</f>
        <v>452</v>
      </c>
      <c r="FV16" s="590"/>
      <c r="FW16" s="591"/>
      <c r="FX16" s="592"/>
      <c r="FY16" s="593"/>
      <c r="FZ16" s="594"/>
      <c r="GA16" s="595"/>
      <c r="GB16" s="596"/>
      <c r="GC16" s="597"/>
      <c r="GD16" s="596"/>
      <c r="GE16" s="598"/>
      <c r="GF16" s="681"/>
      <c r="GG16" s="670"/>
      <c r="GH16" s="670"/>
      <c r="GI16" s="670"/>
      <c r="GJ16" s="414"/>
      <c r="GK16" s="625"/>
      <c r="GL16" s="626"/>
      <c r="GM16" s="627"/>
      <c r="GN16" s="628"/>
      <c r="GO16" s="629"/>
      <c r="GP16" s="653"/>
      <c r="GQ16" s="630">
        <v>0</v>
      </c>
      <c r="GR16" s="631">
        <v>0</v>
      </c>
      <c r="GS16" s="410"/>
      <c r="GT16" s="682"/>
      <c r="GU16" s="625"/>
      <c r="GV16" s="626"/>
      <c r="GW16" s="632"/>
      <c r="GX16" s="633"/>
      <c r="GY16" s="634"/>
      <c r="GZ16" s="635"/>
      <c r="HA16" s="636">
        <v>0</v>
      </c>
      <c r="HB16" s="637"/>
      <c r="HC16" s="683"/>
      <c r="HD16" s="416"/>
      <c r="HE16" s="416"/>
      <c r="HF16" s="416"/>
      <c r="HG16" s="416"/>
    </row>
    <row r="17" spans="1:218" ht="20.100000000000001" customHeight="1">
      <c r="A17" s="549"/>
      <c r="B17" s="579" t="s">
        <v>227</v>
      </c>
      <c r="C17" s="684" t="s">
        <v>71</v>
      </c>
      <c r="D17" s="580">
        <v>21.06</v>
      </c>
      <c r="E17" s="685">
        <v>0.6</v>
      </c>
      <c r="F17" s="686"/>
      <c r="G17" s="687">
        <v>0</v>
      </c>
      <c r="H17" s="584">
        <f>ROUND(21.06*0.6*0,0)</f>
        <v>0</v>
      </c>
      <c r="I17" s="688">
        <v>0</v>
      </c>
      <c r="J17" s="584">
        <f>ROUND(21.06*0.6*0,0)</f>
        <v>0</v>
      </c>
      <c r="K17" s="688">
        <v>0</v>
      </c>
      <c r="L17" s="584">
        <f>ROUND(21.06*0.6*0,0)</f>
        <v>0</v>
      </c>
      <c r="M17" s="688">
        <v>0</v>
      </c>
      <c r="N17" s="584">
        <f>ROUND(21.06*0.6*0,0)</f>
        <v>0</v>
      </c>
      <c r="O17" s="688">
        <v>0</v>
      </c>
      <c r="P17" s="584">
        <f>ROUND(21.06*0.6*0,0)</f>
        <v>0</v>
      </c>
      <c r="Q17" s="688">
        <v>0</v>
      </c>
      <c r="R17" s="584">
        <f>ROUND(21.06*0.6*0,0)</f>
        <v>0</v>
      </c>
      <c r="S17" s="688">
        <v>0</v>
      </c>
      <c r="T17" s="584">
        <f>ROUND(21.06*0.6*0,0)</f>
        <v>0</v>
      </c>
      <c r="U17" s="688">
        <v>0</v>
      </c>
      <c r="V17" s="584">
        <f>ROUND(21.06*0.6*0,0)</f>
        <v>0</v>
      </c>
      <c r="W17" s="688">
        <v>10.5</v>
      </c>
      <c r="X17" s="584">
        <f>ROUND(21.06*0.6*10.5,0)</f>
        <v>133</v>
      </c>
      <c r="Y17" s="688">
        <v>13.2</v>
      </c>
      <c r="Z17" s="584">
        <f>ROUND(21.06*0.6*13.2,0)</f>
        <v>167</v>
      </c>
      <c r="AA17" s="688">
        <v>15</v>
      </c>
      <c r="AB17" s="584">
        <f>ROUND(21.06*0.6*15,0)</f>
        <v>190</v>
      </c>
      <c r="AC17" s="688">
        <v>15.5</v>
      </c>
      <c r="AD17" s="584">
        <f>ROUND(21.06*0.6*15.5,0)</f>
        <v>196</v>
      </c>
      <c r="AE17" s="688">
        <v>14.9</v>
      </c>
      <c r="AF17" s="584">
        <f>ROUND(21.06*0.6*14.9,0)</f>
        <v>188</v>
      </c>
      <c r="AG17" s="688">
        <v>14.2</v>
      </c>
      <c r="AH17" s="584">
        <f>ROUND(21.06*0.6*14.2,0)</f>
        <v>179</v>
      </c>
      <c r="AI17" s="688">
        <v>13.5</v>
      </c>
      <c r="AJ17" s="584">
        <f>ROUND(21.06*0.6*13.5,0)</f>
        <v>171</v>
      </c>
      <c r="AK17" s="688">
        <v>12.7</v>
      </c>
      <c r="AL17" s="584">
        <f>ROUND(21.06*0.6*12.7,0)</f>
        <v>160</v>
      </c>
      <c r="AM17" s="688">
        <v>11.6</v>
      </c>
      <c r="AN17" s="584">
        <f>ROUND(21.06*0.6*11.6,0)</f>
        <v>147</v>
      </c>
      <c r="AO17" s="688">
        <v>10.199999999999999</v>
      </c>
      <c r="AP17" s="584">
        <f>ROUND(21.06*0.6*10.2,0)</f>
        <v>129</v>
      </c>
      <c r="AQ17" s="688">
        <v>0</v>
      </c>
      <c r="AR17" s="584">
        <f>ROUND(21.06*0.6*0,0)</f>
        <v>0</v>
      </c>
      <c r="AS17" s="688">
        <v>0</v>
      </c>
      <c r="AT17" s="584">
        <f>ROUND(21.06*0.6*0,0)</f>
        <v>0</v>
      </c>
      <c r="AU17" s="688">
        <v>0</v>
      </c>
      <c r="AV17" s="584">
        <f>ROUND(21.06*0.6*0,0)</f>
        <v>0</v>
      </c>
      <c r="AW17" s="688">
        <v>0</v>
      </c>
      <c r="AX17" s="584">
        <f>ROUND(21.06*0.6*0,0)</f>
        <v>0</v>
      </c>
      <c r="AY17" s="688">
        <v>0</v>
      </c>
      <c r="AZ17" s="584">
        <f>ROUND(21.06*0.6*0,0)</f>
        <v>0</v>
      </c>
      <c r="BA17" s="688">
        <v>0</v>
      </c>
      <c r="BB17" s="586">
        <f>ROUND(21.06*0.6*0,0)</f>
        <v>0</v>
      </c>
      <c r="BC17" s="559"/>
      <c r="BD17" s="549"/>
      <c r="BE17" s="579" t="s">
        <v>227</v>
      </c>
      <c r="BF17" s="684" t="s">
        <v>71</v>
      </c>
      <c r="BG17" s="580">
        <v>21.06</v>
      </c>
      <c r="BH17" s="685">
        <v>0.6</v>
      </c>
      <c r="BI17" s="686"/>
      <c r="BJ17" s="687">
        <v>0</v>
      </c>
      <c r="BK17" s="584">
        <f>ROUND(21.06*0.6*0,0)</f>
        <v>0</v>
      </c>
      <c r="BL17" s="688">
        <v>0</v>
      </c>
      <c r="BM17" s="584">
        <f>ROUND(21.06*0.6*0,0)</f>
        <v>0</v>
      </c>
      <c r="BN17" s="688">
        <v>0</v>
      </c>
      <c r="BO17" s="584">
        <f>ROUND(21.06*0.6*0,0)</f>
        <v>0</v>
      </c>
      <c r="BP17" s="688">
        <v>0</v>
      </c>
      <c r="BQ17" s="584">
        <f>ROUND(21.06*0.6*0,0)</f>
        <v>0</v>
      </c>
      <c r="BR17" s="688">
        <v>0</v>
      </c>
      <c r="BS17" s="584">
        <f>ROUND(21.06*0.6*0,0)</f>
        <v>0</v>
      </c>
      <c r="BT17" s="688">
        <v>0</v>
      </c>
      <c r="BU17" s="584">
        <f>ROUND(21.06*0.6*0,0)</f>
        <v>0</v>
      </c>
      <c r="BV17" s="688">
        <v>0</v>
      </c>
      <c r="BW17" s="584">
        <f>ROUND(21.06*0.6*0,0)</f>
        <v>0</v>
      </c>
      <c r="BX17" s="688">
        <v>0</v>
      </c>
      <c r="BY17" s="584">
        <f>ROUND(21.06*0.6*0,0)</f>
        <v>0</v>
      </c>
      <c r="BZ17" s="688">
        <v>15.6</v>
      </c>
      <c r="CA17" s="584">
        <f>ROUND(21.06*0.6*15.6,0)</f>
        <v>197</v>
      </c>
      <c r="CB17" s="688">
        <v>18.5</v>
      </c>
      <c r="CC17" s="584">
        <f>ROUND(21.06*0.6*18.5,0)</f>
        <v>234</v>
      </c>
      <c r="CD17" s="688">
        <v>19.5</v>
      </c>
      <c r="CE17" s="584">
        <f>ROUND(21.06*0.6*19.5,0)</f>
        <v>246</v>
      </c>
      <c r="CF17" s="688">
        <v>18.8</v>
      </c>
      <c r="CG17" s="584">
        <f>ROUND(21.06*0.6*18.8,0)</f>
        <v>238</v>
      </c>
      <c r="CH17" s="688">
        <v>16.8</v>
      </c>
      <c r="CI17" s="584">
        <f>ROUND(21.06*0.6*16.8,0)</f>
        <v>212</v>
      </c>
      <c r="CJ17" s="688">
        <v>14.9</v>
      </c>
      <c r="CK17" s="584">
        <f>ROUND(21.06*0.6*14.9,0)</f>
        <v>188</v>
      </c>
      <c r="CL17" s="688">
        <v>13.6</v>
      </c>
      <c r="CM17" s="584">
        <f>ROUND(21.06*0.6*13.6,0)</f>
        <v>172</v>
      </c>
      <c r="CN17" s="688">
        <v>12.4</v>
      </c>
      <c r="CO17" s="584">
        <f>ROUND(21.06*0.6*12.4,0)</f>
        <v>157</v>
      </c>
      <c r="CP17" s="688">
        <v>11.2</v>
      </c>
      <c r="CQ17" s="584">
        <f>ROUND(21.06*0.6*11.2,0)</f>
        <v>142</v>
      </c>
      <c r="CR17" s="688">
        <v>9.9</v>
      </c>
      <c r="CS17" s="584">
        <f>ROUND(21.06*0.6*9.9,0)</f>
        <v>125</v>
      </c>
      <c r="CT17" s="688">
        <v>0</v>
      </c>
      <c r="CU17" s="584">
        <f>ROUND(21.06*0.6*0,0)</f>
        <v>0</v>
      </c>
      <c r="CV17" s="688">
        <v>0</v>
      </c>
      <c r="CW17" s="584">
        <f>ROUND(21.06*0.6*0,0)</f>
        <v>0</v>
      </c>
      <c r="CX17" s="688">
        <v>0</v>
      </c>
      <c r="CY17" s="584">
        <f>ROUND(21.06*0.6*0,0)</f>
        <v>0</v>
      </c>
      <c r="CZ17" s="688">
        <v>0</v>
      </c>
      <c r="DA17" s="584">
        <f>ROUND(21.06*0.6*0,0)</f>
        <v>0</v>
      </c>
      <c r="DB17" s="688">
        <v>0</v>
      </c>
      <c r="DC17" s="584">
        <f>ROUND(21.06*0.6*0,0)</f>
        <v>0</v>
      </c>
      <c r="DD17" s="688">
        <v>0</v>
      </c>
      <c r="DE17" s="586">
        <f>ROUND(21.06*0.6*0,0)</f>
        <v>0</v>
      </c>
      <c r="DF17" s="559"/>
      <c r="DG17" s="549"/>
      <c r="DH17" s="579" t="s">
        <v>227</v>
      </c>
      <c r="DI17" s="684" t="s">
        <v>71</v>
      </c>
      <c r="DJ17" s="580">
        <v>21.06</v>
      </c>
      <c r="DK17" s="685">
        <v>0.6</v>
      </c>
      <c r="DL17" s="686"/>
      <c r="DM17" s="687">
        <v>0</v>
      </c>
      <c r="DN17" s="584">
        <f>ROUND(21.06*0.6*0,0)</f>
        <v>0</v>
      </c>
      <c r="DO17" s="688">
        <v>0</v>
      </c>
      <c r="DP17" s="584">
        <f>ROUND(21.06*0.6*0,0)</f>
        <v>0</v>
      </c>
      <c r="DQ17" s="688">
        <v>0</v>
      </c>
      <c r="DR17" s="584">
        <f>ROUND(21.06*0.6*0,0)</f>
        <v>0</v>
      </c>
      <c r="DS17" s="688">
        <v>0</v>
      </c>
      <c r="DT17" s="584">
        <f>ROUND(21.06*0.6*0,0)</f>
        <v>0</v>
      </c>
      <c r="DU17" s="688">
        <v>0</v>
      </c>
      <c r="DV17" s="584">
        <f>ROUND(21.06*0.6*0,0)</f>
        <v>0</v>
      </c>
      <c r="DW17" s="688">
        <v>0</v>
      </c>
      <c r="DX17" s="584">
        <f>ROUND(21.06*0.6*0,0)</f>
        <v>0</v>
      </c>
      <c r="DY17" s="688">
        <v>0</v>
      </c>
      <c r="DZ17" s="584">
        <f>ROUND(21.06*0.6*0,0)</f>
        <v>0</v>
      </c>
      <c r="EA17" s="688">
        <v>0</v>
      </c>
      <c r="EB17" s="584">
        <f>ROUND(21.06*0.6*0,0)</f>
        <v>0</v>
      </c>
      <c r="EC17" s="688">
        <v>13.4</v>
      </c>
      <c r="ED17" s="584">
        <f>ROUND(21.06*0.6*13.4,0)</f>
        <v>169</v>
      </c>
      <c r="EE17" s="688">
        <v>16.600000000000001</v>
      </c>
      <c r="EF17" s="584">
        <f>ROUND(21.06*0.6*16.6,0)</f>
        <v>210</v>
      </c>
      <c r="EG17" s="688">
        <v>18</v>
      </c>
      <c r="EH17" s="584">
        <f>ROUND(21.06*0.6*18,0)</f>
        <v>227</v>
      </c>
      <c r="EI17" s="688">
        <v>17.399999999999999</v>
      </c>
      <c r="EJ17" s="584">
        <f>ROUND(21.06*0.6*17.4,0)</f>
        <v>220</v>
      </c>
      <c r="EK17" s="688">
        <v>15.3</v>
      </c>
      <c r="EL17" s="584">
        <f>ROUND(21.06*0.6*15.3,0)</f>
        <v>193</v>
      </c>
      <c r="EM17" s="688">
        <v>13.2</v>
      </c>
      <c r="EN17" s="584">
        <f>ROUND(21.06*0.6*13.2,0)</f>
        <v>167</v>
      </c>
      <c r="EO17" s="688">
        <v>11.6</v>
      </c>
      <c r="EP17" s="584">
        <f>ROUND(21.06*0.6*11.6,0)</f>
        <v>147</v>
      </c>
      <c r="EQ17" s="688">
        <v>10.199999999999999</v>
      </c>
      <c r="ER17" s="584">
        <f>ROUND(21.06*0.6*10.2,0)</f>
        <v>129</v>
      </c>
      <c r="ES17" s="688">
        <v>8.8000000000000007</v>
      </c>
      <c r="ET17" s="584">
        <f>ROUND(21.06*0.6*8.8,0)</f>
        <v>111</v>
      </c>
      <c r="EU17" s="688">
        <v>7.2</v>
      </c>
      <c r="EV17" s="584">
        <f>ROUND(21.06*0.6*7.2,0)</f>
        <v>91</v>
      </c>
      <c r="EW17" s="688">
        <v>0</v>
      </c>
      <c r="EX17" s="584">
        <f>ROUND(21.06*0.6*0,0)</f>
        <v>0</v>
      </c>
      <c r="EY17" s="688">
        <v>0</v>
      </c>
      <c r="EZ17" s="584">
        <f>ROUND(21.06*0.6*0,0)</f>
        <v>0</v>
      </c>
      <c r="FA17" s="688">
        <v>0</v>
      </c>
      <c r="FB17" s="584">
        <f>ROUND(21.06*0.6*0,0)</f>
        <v>0</v>
      </c>
      <c r="FC17" s="688">
        <v>0</v>
      </c>
      <c r="FD17" s="584">
        <f>ROUND(21.06*0.6*0,0)</f>
        <v>0</v>
      </c>
      <c r="FE17" s="688">
        <v>0</v>
      </c>
      <c r="FF17" s="584">
        <f>ROUND(21.06*0.6*0,0)</f>
        <v>0</v>
      </c>
      <c r="FG17" s="688">
        <v>0</v>
      </c>
      <c r="FH17" s="586">
        <f>ROUND(21.06*0.6*0,0)</f>
        <v>0</v>
      </c>
      <c r="FI17" s="560"/>
      <c r="FJ17" s="561"/>
      <c r="FK17" s="579" t="s">
        <v>227</v>
      </c>
      <c r="FL17" s="684" t="s">
        <v>71</v>
      </c>
      <c r="FM17" s="580">
        <v>21.06</v>
      </c>
      <c r="FN17" s="685">
        <v>0.6</v>
      </c>
      <c r="FO17" s="686"/>
      <c r="FP17" s="689">
        <v>9</v>
      </c>
      <c r="FQ17" s="690">
        <v>20</v>
      </c>
      <c r="FR17" s="584">
        <f>ROUND(21.06*0.6*20,0)</f>
        <v>253</v>
      </c>
      <c r="FS17" s="691">
        <v>9</v>
      </c>
      <c r="FT17" s="690">
        <v>20.5</v>
      </c>
      <c r="FU17" s="589">
        <f>ROUND(21.06*0.6*20.5,0)</f>
        <v>259</v>
      </c>
      <c r="FV17" s="590"/>
      <c r="FW17" s="591"/>
      <c r="FX17" s="592"/>
      <c r="FY17" s="593"/>
      <c r="FZ17" s="594"/>
      <c r="GA17" s="595"/>
      <c r="GB17" s="596"/>
      <c r="GC17" s="597"/>
      <c r="GD17" s="596"/>
      <c r="GE17" s="598"/>
      <c r="GF17" s="681"/>
      <c r="GG17" s="599"/>
      <c r="GH17" s="599"/>
      <c r="GI17" s="599"/>
      <c r="GJ17" s="577"/>
      <c r="GK17" s="625"/>
      <c r="GL17" s="626"/>
      <c r="GM17" s="627"/>
      <c r="GN17" s="628"/>
      <c r="GO17" s="629"/>
      <c r="GP17" s="653"/>
      <c r="GQ17" s="630">
        <v>0</v>
      </c>
      <c r="GR17" s="631">
        <v>0</v>
      </c>
      <c r="GS17" s="692"/>
      <c r="GT17" s="682"/>
      <c r="GU17" s="625"/>
      <c r="GV17" s="626"/>
      <c r="GW17" s="632"/>
      <c r="GX17" s="633"/>
      <c r="GY17" s="634"/>
      <c r="GZ17" s="635"/>
      <c r="HA17" s="636">
        <v>0</v>
      </c>
      <c r="HB17" s="637"/>
      <c r="HC17" s="527"/>
      <c r="HD17" s="416"/>
      <c r="HE17" s="416"/>
      <c r="HF17" s="416"/>
      <c r="HG17" s="416"/>
    </row>
    <row r="18" spans="1:218" ht="20.100000000000001" customHeight="1">
      <c r="A18" s="549"/>
      <c r="B18" s="693" t="s">
        <v>237</v>
      </c>
      <c r="C18" s="684" t="s">
        <v>71</v>
      </c>
      <c r="D18" s="580">
        <v>5.4</v>
      </c>
      <c r="E18" s="685" t="s">
        <v>353</v>
      </c>
      <c r="F18" s="686"/>
      <c r="G18" s="687">
        <v>0</v>
      </c>
      <c r="H18" s="584">
        <f>ROUND(5.4*4.2*0,0)</f>
        <v>0</v>
      </c>
      <c r="I18" s="688">
        <v>0</v>
      </c>
      <c r="J18" s="584">
        <f>ROUND(5.4*4.2*0,0)</f>
        <v>0</v>
      </c>
      <c r="K18" s="688">
        <v>0</v>
      </c>
      <c r="L18" s="584">
        <f>ROUND(5.4*4.2*0,0)</f>
        <v>0</v>
      </c>
      <c r="M18" s="688">
        <v>0</v>
      </c>
      <c r="N18" s="584">
        <f>ROUND(5.4*4.2*0,0)</f>
        <v>0</v>
      </c>
      <c r="O18" s="688">
        <v>0</v>
      </c>
      <c r="P18" s="584">
        <f>ROUND(5.4*4.2*0,0)</f>
        <v>0</v>
      </c>
      <c r="Q18" s="688">
        <v>0</v>
      </c>
      <c r="R18" s="584">
        <f>ROUND(5.4*4.2*0,0)</f>
        <v>0</v>
      </c>
      <c r="S18" s="688">
        <v>0</v>
      </c>
      <c r="T18" s="584">
        <f>ROUND(5.4*4.2*0,0)</f>
        <v>0</v>
      </c>
      <c r="U18" s="688">
        <v>0</v>
      </c>
      <c r="V18" s="584">
        <f>ROUND(5.4*4.2*0,0)</f>
        <v>0</v>
      </c>
      <c r="W18" s="688">
        <v>5.3</v>
      </c>
      <c r="X18" s="584">
        <f>ROUND(5.4*4.2*5.3,0)</f>
        <v>120</v>
      </c>
      <c r="Y18" s="688">
        <v>6.5</v>
      </c>
      <c r="Z18" s="584">
        <f>ROUND(5.4*4.2*6.5,0)</f>
        <v>147</v>
      </c>
      <c r="AA18" s="688">
        <v>7.2</v>
      </c>
      <c r="AB18" s="584">
        <f>ROUND(5.4*4.2*7.2,0)</f>
        <v>163</v>
      </c>
      <c r="AC18" s="688">
        <v>7.7</v>
      </c>
      <c r="AD18" s="584">
        <f>ROUND(5.4*4.2*7.7,0)</f>
        <v>175</v>
      </c>
      <c r="AE18" s="688">
        <v>7.9</v>
      </c>
      <c r="AF18" s="584">
        <f>ROUND(5.4*4.2*7.9,0)</f>
        <v>179</v>
      </c>
      <c r="AG18" s="688">
        <v>7.9</v>
      </c>
      <c r="AH18" s="584">
        <f>ROUND(5.4*4.2*7.9,0)</f>
        <v>179</v>
      </c>
      <c r="AI18" s="688">
        <v>7.4</v>
      </c>
      <c r="AJ18" s="584">
        <f>ROUND(5.4*4.2*7.4,0)</f>
        <v>168</v>
      </c>
      <c r="AK18" s="688">
        <v>6.9</v>
      </c>
      <c r="AL18" s="584">
        <f>ROUND(5.4*4.2*6.9,0)</f>
        <v>156</v>
      </c>
      <c r="AM18" s="688">
        <v>6</v>
      </c>
      <c r="AN18" s="584">
        <f>ROUND(5.4*4.2*6,0)</f>
        <v>136</v>
      </c>
      <c r="AO18" s="688">
        <v>5.3</v>
      </c>
      <c r="AP18" s="584">
        <f>ROUND(5.4*4.2*5.3,0)</f>
        <v>120</v>
      </c>
      <c r="AQ18" s="688">
        <v>0</v>
      </c>
      <c r="AR18" s="584">
        <f>ROUND(5.4*4.2*0,0)</f>
        <v>0</v>
      </c>
      <c r="AS18" s="688">
        <v>0</v>
      </c>
      <c r="AT18" s="584">
        <f>ROUND(5.4*4.2*0,0)</f>
        <v>0</v>
      </c>
      <c r="AU18" s="688">
        <v>0</v>
      </c>
      <c r="AV18" s="584">
        <f>ROUND(5.4*4.2*0,0)</f>
        <v>0</v>
      </c>
      <c r="AW18" s="688">
        <v>0</v>
      </c>
      <c r="AX18" s="584">
        <f>ROUND(5.4*4.2*0,0)</f>
        <v>0</v>
      </c>
      <c r="AY18" s="688">
        <v>0</v>
      </c>
      <c r="AZ18" s="584">
        <f>ROUND(5.4*4.2*0,0)</f>
        <v>0</v>
      </c>
      <c r="BA18" s="688">
        <v>0</v>
      </c>
      <c r="BB18" s="586">
        <f>ROUND(5.4*4.2*0,0)</f>
        <v>0</v>
      </c>
      <c r="BC18" s="559"/>
      <c r="BD18" s="549"/>
      <c r="BE18" s="693" t="s">
        <v>237</v>
      </c>
      <c r="BF18" s="684" t="s">
        <v>71</v>
      </c>
      <c r="BG18" s="580">
        <v>5.4</v>
      </c>
      <c r="BH18" s="685" t="s">
        <v>353</v>
      </c>
      <c r="BI18" s="686"/>
      <c r="BJ18" s="687">
        <v>0</v>
      </c>
      <c r="BK18" s="584">
        <f>ROUND(5.4*4.2*0,0)</f>
        <v>0</v>
      </c>
      <c r="BL18" s="688">
        <v>0</v>
      </c>
      <c r="BM18" s="584">
        <f>ROUND(5.4*4.2*0,0)</f>
        <v>0</v>
      </c>
      <c r="BN18" s="688">
        <v>0</v>
      </c>
      <c r="BO18" s="584">
        <f>ROUND(5.4*4.2*0,0)</f>
        <v>0</v>
      </c>
      <c r="BP18" s="688">
        <v>0</v>
      </c>
      <c r="BQ18" s="584">
        <f>ROUND(5.4*4.2*0,0)</f>
        <v>0</v>
      </c>
      <c r="BR18" s="688">
        <v>0</v>
      </c>
      <c r="BS18" s="584">
        <f>ROUND(5.4*4.2*0,0)</f>
        <v>0</v>
      </c>
      <c r="BT18" s="688">
        <v>0</v>
      </c>
      <c r="BU18" s="584">
        <f>ROUND(5.4*4.2*0,0)</f>
        <v>0</v>
      </c>
      <c r="BV18" s="688">
        <v>0</v>
      </c>
      <c r="BW18" s="584">
        <f>ROUND(5.4*4.2*0,0)</f>
        <v>0</v>
      </c>
      <c r="BX18" s="688">
        <v>0</v>
      </c>
      <c r="BY18" s="584">
        <f>ROUND(5.4*4.2*0,0)</f>
        <v>0</v>
      </c>
      <c r="BZ18" s="688">
        <v>5.0999999999999996</v>
      </c>
      <c r="CA18" s="584">
        <f>ROUND(5.4*4.2*5.1,0)</f>
        <v>116</v>
      </c>
      <c r="CB18" s="688">
        <v>6.1</v>
      </c>
      <c r="CC18" s="584">
        <f>ROUND(5.4*4.2*6.1,0)</f>
        <v>138</v>
      </c>
      <c r="CD18" s="688">
        <v>7</v>
      </c>
      <c r="CE18" s="584">
        <f>ROUND(5.4*4.2*7,0)</f>
        <v>159</v>
      </c>
      <c r="CF18" s="688">
        <v>7.4</v>
      </c>
      <c r="CG18" s="584">
        <f>ROUND(5.4*4.2*7.4,0)</f>
        <v>168</v>
      </c>
      <c r="CH18" s="688">
        <v>7.6</v>
      </c>
      <c r="CI18" s="584">
        <f>ROUND(5.4*4.2*7.6,0)</f>
        <v>172</v>
      </c>
      <c r="CJ18" s="688">
        <v>7.4</v>
      </c>
      <c r="CK18" s="584">
        <f>ROUND(5.4*4.2*7.4,0)</f>
        <v>168</v>
      </c>
      <c r="CL18" s="688">
        <v>6.9</v>
      </c>
      <c r="CM18" s="584">
        <f>ROUND(5.4*4.2*6.9,0)</f>
        <v>156</v>
      </c>
      <c r="CN18" s="688">
        <v>6.5</v>
      </c>
      <c r="CO18" s="584">
        <f>ROUND(5.4*4.2*6.5,0)</f>
        <v>147</v>
      </c>
      <c r="CP18" s="688">
        <v>6</v>
      </c>
      <c r="CQ18" s="584">
        <f>ROUND(5.4*4.2*6,0)</f>
        <v>136</v>
      </c>
      <c r="CR18" s="688">
        <v>5.0999999999999996</v>
      </c>
      <c r="CS18" s="584">
        <f>ROUND(5.4*4.2*5.1,0)</f>
        <v>116</v>
      </c>
      <c r="CT18" s="688">
        <v>0</v>
      </c>
      <c r="CU18" s="584">
        <f>ROUND(5.4*4.2*0,0)</f>
        <v>0</v>
      </c>
      <c r="CV18" s="688">
        <v>0</v>
      </c>
      <c r="CW18" s="584">
        <f>ROUND(5.4*4.2*0,0)</f>
        <v>0</v>
      </c>
      <c r="CX18" s="688">
        <v>0</v>
      </c>
      <c r="CY18" s="584">
        <f>ROUND(5.4*4.2*0,0)</f>
        <v>0</v>
      </c>
      <c r="CZ18" s="688">
        <v>0</v>
      </c>
      <c r="DA18" s="584">
        <f>ROUND(5.4*4.2*0,0)</f>
        <v>0</v>
      </c>
      <c r="DB18" s="688">
        <v>0</v>
      </c>
      <c r="DC18" s="584">
        <f>ROUND(5.4*4.2*0,0)</f>
        <v>0</v>
      </c>
      <c r="DD18" s="688">
        <v>0</v>
      </c>
      <c r="DE18" s="586">
        <f>ROUND(5.4*4.2*0,0)</f>
        <v>0</v>
      </c>
      <c r="DF18" s="559"/>
      <c r="DG18" s="549"/>
      <c r="DH18" s="693" t="s">
        <v>237</v>
      </c>
      <c r="DI18" s="684" t="s">
        <v>71</v>
      </c>
      <c r="DJ18" s="580">
        <v>5.4</v>
      </c>
      <c r="DK18" s="685" t="s">
        <v>353</v>
      </c>
      <c r="DL18" s="686"/>
      <c r="DM18" s="687">
        <v>0</v>
      </c>
      <c r="DN18" s="584">
        <f>ROUND(5.4*4.2*0,0)</f>
        <v>0</v>
      </c>
      <c r="DO18" s="688">
        <v>0</v>
      </c>
      <c r="DP18" s="584">
        <f>ROUND(5.4*4.2*0,0)</f>
        <v>0</v>
      </c>
      <c r="DQ18" s="688">
        <v>0</v>
      </c>
      <c r="DR18" s="584">
        <f>ROUND(5.4*4.2*0,0)</f>
        <v>0</v>
      </c>
      <c r="DS18" s="688">
        <v>0</v>
      </c>
      <c r="DT18" s="584">
        <f>ROUND(5.4*4.2*0,0)</f>
        <v>0</v>
      </c>
      <c r="DU18" s="688">
        <v>0</v>
      </c>
      <c r="DV18" s="584">
        <f>ROUND(5.4*4.2*0,0)</f>
        <v>0</v>
      </c>
      <c r="DW18" s="688">
        <v>0</v>
      </c>
      <c r="DX18" s="584">
        <f>ROUND(5.4*4.2*0,0)</f>
        <v>0</v>
      </c>
      <c r="DY18" s="688">
        <v>0</v>
      </c>
      <c r="DZ18" s="584">
        <f>ROUND(5.4*4.2*0,0)</f>
        <v>0</v>
      </c>
      <c r="EA18" s="688">
        <v>0</v>
      </c>
      <c r="EB18" s="584">
        <f>ROUND(5.4*4.2*0,0)</f>
        <v>0</v>
      </c>
      <c r="EC18" s="688">
        <v>2.8</v>
      </c>
      <c r="ED18" s="584">
        <f>ROUND(5.4*4.2*2.8,0)</f>
        <v>64</v>
      </c>
      <c r="EE18" s="688">
        <v>4.0999999999999996</v>
      </c>
      <c r="EF18" s="584">
        <f>ROUND(5.4*4.2*4.1,0)</f>
        <v>93</v>
      </c>
      <c r="EG18" s="688">
        <v>4.9000000000000004</v>
      </c>
      <c r="EH18" s="584">
        <f>ROUND(5.4*4.2*4.9,0)</f>
        <v>111</v>
      </c>
      <c r="EI18" s="688">
        <v>5.6</v>
      </c>
      <c r="EJ18" s="584">
        <f>ROUND(5.4*4.2*5.6,0)</f>
        <v>127</v>
      </c>
      <c r="EK18" s="688">
        <v>5.8</v>
      </c>
      <c r="EL18" s="584">
        <f>ROUND(5.4*4.2*5.8,0)</f>
        <v>132</v>
      </c>
      <c r="EM18" s="688">
        <v>5.5</v>
      </c>
      <c r="EN18" s="584">
        <f>ROUND(5.4*4.2*5.5,0)</f>
        <v>125</v>
      </c>
      <c r="EO18" s="688">
        <v>5.0999999999999996</v>
      </c>
      <c r="EP18" s="584">
        <f>ROUND(5.4*4.2*5.1,0)</f>
        <v>116</v>
      </c>
      <c r="EQ18" s="688">
        <v>4.7</v>
      </c>
      <c r="ER18" s="584">
        <f>ROUND(5.4*4.2*4.7,0)</f>
        <v>107</v>
      </c>
      <c r="ES18" s="688">
        <v>3.7</v>
      </c>
      <c r="ET18" s="584">
        <f>ROUND(5.4*4.2*3.7,0)</f>
        <v>84</v>
      </c>
      <c r="EU18" s="688">
        <v>2.7</v>
      </c>
      <c r="EV18" s="584">
        <f>ROUND(5.4*4.2*2.7,0)</f>
        <v>61</v>
      </c>
      <c r="EW18" s="688">
        <v>0</v>
      </c>
      <c r="EX18" s="584">
        <f>ROUND(5.4*4.2*0,0)</f>
        <v>0</v>
      </c>
      <c r="EY18" s="688">
        <v>0</v>
      </c>
      <c r="EZ18" s="584">
        <f>ROUND(5.4*4.2*0,0)</f>
        <v>0</v>
      </c>
      <c r="FA18" s="688">
        <v>0</v>
      </c>
      <c r="FB18" s="584">
        <f>ROUND(5.4*4.2*0,0)</f>
        <v>0</v>
      </c>
      <c r="FC18" s="688">
        <v>0</v>
      </c>
      <c r="FD18" s="584">
        <f>ROUND(5.4*4.2*0,0)</f>
        <v>0</v>
      </c>
      <c r="FE18" s="688">
        <v>0</v>
      </c>
      <c r="FF18" s="584">
        <f>ROUND(5.4*4.2*0,0)</f>
        <v>0</v>
      </c>
      <c r="FG18" s="688">
        <v>0</v>
      </c>
      <c r="FH18" s="586">
        <f>ROUND(5.4*4.2*0,0)</f>
        <v>0</v>
      </c>
      <c r="FI18" s="560"/>
      <c r="FJ18" s="561"/>
      <c r="FK18" s="693" t="s">
        <v>237</v>
      </c>
      <c r="FL18" s="684" t="s">
        <v>71</v>
      </c>
      <c r="FM18" s="580">
        <v>5.4</v>
      </c>
      <c r="FN18" s="685" t="s">
        <v>353</v>
      </c>
      <c r="FO18" s="686"/>
      <c r="FP18" s="689">
        <v>9</v>
      </c>
      <c r="FQ18" s="690">
        <v>20</v>
      </c>
      <c r="FR18" s="584">
        <f>ROUND(5.4*4.2*20,0)</f>
        <v>454</v>
      </c>
      <c r="FS18" s="691">
        <v>9</v>
      </c>
      <c r="FT18" s="690">
        <v>20.5</v>
      </c>
      <c r="FU18" s="589">
        <f>ROUND(5.4*4.2*20.5,0)</f>
        <v>465</v>
      </c>
      <c r="FV18" s="590"/>
      <c r="FW18" s="591"/>
      <c r="FX18" s="592"/>
      <c r="FY18" s="593"/>
      <c r="FZ18" s="594"/>
      <c r="GA18" s="595"/>
      <c r="GB18" s="596"/>
      <c r="GC18" s="597"/>
      <c r="GD18" s="596"/>
      <c r="GE18" s="598"/>
      <c r="GF18" s="681"/>
      <c r="GG18" s="599"/>
      <c r="GH18" s="599"/>
      <c r="GI18" s="599"/>
      <c r="GJ18" s="410"/>
      <c r="GK18" s="625"/>
      <c r="GL18" s="626"/>
      <c r="GM18" s="627"/>
      <c r="GN18" s="628"/>
      <c r="GO18" s="629"/>
      <c r="GP18" s="653"/>
      <c r="GQ18" s="630">
        <v>0</v>
      </c>
      <c r="GR18" s="631">
        <v>0</v>
      </c>
      <c r="GS18" s="410"/>
      <c r="GT18" s="414"/>
      <c r="GU18" s="625"/>
      <c r="GV18" s="626"/>
      <c r="GW18" s="632"/>
      <c r="GX18" s="633"/>
      <c r="GY18" s="634"/>
      <c r="GZ18" s="635"/>
      <c r="HA18" s="636">
        <v>0</v>
      </c>
      <c r="HB18" s="637"/>
      <c r="HC18" s="576"/>
      <c r="HD18" s="559"/>
      <c r="HE18" s="416"/>
      <c r="HF18" s="416"/>
      <c r="HG18" s="416"/>
    </row>
    <row r="19" spans="1:218" ht="20.100000000000001" customHeight="1">
      <c r="A19" s="549"/>
      <c r="B19" s="693" t="s">
        <v>258</v>
      </c>
      <c r="C19" s="684"/>
      <c r="D19" s="580">
        <v>10.92</v>
      </c>
      <c r="E19" s="685">
        <v>2.5</v>
      </c>
      <c r="F19" s="686"/>
      <c r="G19" s="687">
        <v>0</v>
      </c>
      <c r="H19" s="584">
        <f>ROUND(10.92*2.5*0,0)</f>
        <v>0</v>
      </c>
      <c r="I19" s="688">
        <v>0</v>
      </c>
      <c r="J19" s="584">
        <f>ROUND(10.92*2.5*0,0)</f>
        <v>0</v>
      </c>
      <c r="K19" s="688">
        <v>0</v>
      </c>
      <c r="L19" s="584">
        <f>ROUND(10.92*2.5*0,0)</f>
        <v>0</v>
      </c>
      <c r="M19" s="688">
        <v>0</v>
      </c>
      <c r="N19" s="584">
        <f>ROUND(10.92*2.5*0,0)</f>
        <v>0</v>
      </c>
      <c r="O19" s="688">
        <v>0</v>
      </c>
      <c r="P19" s="584">
        <f>ROUND(10.92*2.5*0,0)</f>
        <v>0</v>
      </c>
      <c r="Q19" s="688">
        <v>0</v>
      </c>
      <c r="R19" s="584">
        <f>ROUND(10.92*2.5*0,0)</f>
        <v>0</v>
      </c>
      <c r="S19" s="688">
        <v>0</v>
      </c>
      <c r="T19" s="584">
        <f>ROUND(10.92*2.5*0,0)</f>
        <v>0</v>
      </c>
      <c r="U19" s="688">
        <v>0</v>
      </c>
      <c r="V19" s="584">
        <f>ROUND(10.92*2.5*0,0)</f>
        <v>0</v>
      </c>
      <c r="W19" s="688">
        <v>2.7</v>
      </c>
      <c r="X19" s="584">
        <f>ROUND(10.92*2.5*2.7,0)</f>
        <v>74</v>
      </c>
      <c r="Y19" s="688">
        <v>3.2</v>
      </c>
      <c r="Z19" s="584">
        <f>ROUND(10.92*2.5*3.2,0)</f>
        <v>87</v>
      </c>
      <c r="AA19" s="688">
        <v>3.6</v>
      </c>
      <c r="AB19" s="584">
        <f>ROUND(10.92*2.5*3.6,0)</f>
        <v>98</v>
      </c>
      <c r="AC19" s="688">
        <v>3.9</v>
      </c>
      <c r="AD19" s="584">
        <f>ROUND(10.92*2.5*3.9,0)</f>
        <v>106</v>
      </c>
      <c r="AE19" s="688">
        <v>3.9</v>
      </c>
      <c r="AF19" s="584">
        <f>ROUND(10.92*2.5*3.9,0)</f>
        <v>106</v>
      </c>
      <c r="AG19" s="688">
        <v>3.9</v>
      </c>
      <c r="AH19" s="584">
        <f>ROUND(10.92*2.5*3.9,0)</f>
        <v>106</v>
      </c>
      <c r="AI19" s="688">
        <v>3.7</v>
      </c>
      <c r="AJ19" s="584">
        <f>ROUND(10.92*2.5*3.7,0)</f>
        <v>101</v>
      </c>
      <c r="AK19" s="688">
        <v>3.4</v>
      </c>
      <c r="AL19" s="584">
        <f>ROUND(10.92*2.5*3.4,0)</f>
        <v>93</v>
      </c>
      <c r="AM19" s="688">
        <v>3</v>
      </c>
      <c r="AN19" s="584">
        <f>ROUND(10.92*2.5*3,0)</f>
        <v>82</v>
      </c>
      <c r="AO19" s="688">
        <v>2.7</v>
      </c>
      <c r="AP19" s="584">
        <f>ROUND(10.92*2.5*2.7,0)</f>
        <v>74</v>
      </c>
      <c r="AQ19" s="688">
        <v>0</v>
      </c>
      <c r="AR19" s="584">
        <f>ROUND(10.92*2.5*0,0)</f>
        <v>0</v>
      </c>
      <c r="AS19" s="688">
        <v>0</v>
      </c>
      <c r="AT19" s="584">
        <f>ROUND(10.92*2.5*0,0)</f>
        <v>0</v>
      </c>
      <c r="AU19" s="688">
        <v>0</v>
      </c>
      <c r="AV19" s="584">
        <f>ROUND(10.92*2.5*0,0)</f>
        <v>0</v>
      </c>
      <c r="AW19" s="688">
        <v>0</v>
      </c>
      <c r="AX19" s="584">
        <f>ROUND(10.92*2.5*0,0)</f>
        <v>0</v>
      </c>
      <c r="AY19" s="688">
        <v>0</v>
      </c>
      <c r="AZ19" s="584">
        <f>ROUND(10.92*2.5*0,0)</f>
        <v>0</v>
      </c>
      <c r="BA19" s="688">
        <v>0</v>
      </c>
      <c r="BB19" s="586">
        <f>ROUND(10.92*2.5*0,0)</f>
        <v>0</v>
      </c>
      <c r="BC19" s="559"/>
      <c r="BD19" s="549"/>
      <c r="BE19" s="693" t="s">
        <v>258</v>
      </c>
      <c r="BF19" s="684"/>
      <c r="BG19" s="580">
        <v>10.92</v>
      </c>
      <c r="BH19" s="685">
        <v>2.5</v>
      </c>
      <c r="BI19" s="686"/>
      <c r="BJ19" s="687">
        <v>0</v>
      </c>
      <c r="BK19" s="584">
        <f>ROUND(10.92*2.5*0,0)</f>
        <v>0</v>
      </c>
      <c r="BL19" s="688">
        <v>0</v>
      </c>
      <c r="BM19" s="584">
        <f>ROUND(10.92*2.5*0,0)</f>
        <v>0</v>
      </c>
      <c r="BN19" s="688">
        <v>0</v>
      </c>
      <c r="BO19" s="584">
        <f>ROUND(10.92*2.5*0,0)</f>
        <v>0</v>
      </c>
      <c r="BP19" s="688">
        <v>0</v>
      </c>
      <c r="BQ19" s="584">
        <f>ROUND(10.92*2.5*0,0)</f>
        <v>0</v>
      </c>
      <c r="BR19" s="688">
        <v>0</v>
      </c>
      <c r="BS19" s="584">
        <f>ROUND(10.92*2.5*0,0)</f>
        <v>0</v>
      </c>
      <c r="BT19" s="688">
        <v>0</v>
      </c>
      <c r="BU19" s="584">
        <f>ROUND(10.92*2.5*0,0)</f>
        <v>0</v>
      </c>
      <c r="BV19" s="688">
        <v>0</v>
      </c>
      <c r="BW19" s="584">
        <f>ROUND(10.92*2.5*0,0)</f>
        <v>0</v>
      </c>
      <c r="BX19" s="688">
        <v>0</v>
      </c>
      <c r="BY19" s="584">
        <f>ROUND(10.92*2.5*0,0)</f>
        <v>0</v>
      </c>
      <c r="BZ19" s="688">
        <v>2.6</v>
      </c>
      <c r="CA19" s="584">
        <f>ROUND(10.92*2.5*2.6,0)</f>
        <v>71</v>
      </c>
      <c r="CB19" s="688">
        <v>3.1</v>
      </c>
      <c r="CC19" s="584">
        <f>ROUND(10.92*2.5*3.1,0)</f>
        <v>85</v>
      </c>
      <c r="CD19" s="688">
        <v>3.5</v>
      </c>
      <c r="CE19" s="584">
        <f>ROUND(10.92*2.5*3.5,0)</f>
        <v>96</v>
      </c>
      <c r="CF19" s="688">
        <v>3.7</v>
      </c>
      <c r="CG19" s="584">
        <f>ROUND(10.92*2.5*3.7,0)</f>
        <v>101</v>
      </c>
      <c r="CH19" s="688">
        <v>3.8</v>
      </c>
      <c r="CI19" s="584">
        <f>ROUND(10.92*2.5*3.8,0)</f>
        <v>104</v>
      </c>
      <c r="CJ19" s="688">
        <v>3.7</v>
      </c>
      <c r="CK19" s="584">
        <f>ROUND(10.92*2.5*3.7,0)</f>
        <v>101</v>
      </c>
      <c r="CL19" s="688">
        <v>3.4</v>
      </c>
      <c r="CM19" s="584">
        <f>ROUND(10.92*2.5*3.4,0)</f>
        <v>93</v>
      </c>
      <c r="CN19" s="688">
        <v>3.2</v>
      </c>
      <c r="CO19" s="584">
        <f>ROUND(10.92*2.5*3.2,0)</f>
        <v>87</v>
      </c>
      <c r="CP19" s="688">
        <v>3</v>
      </c>
      <c r="CQ19" s="584">
        <f>ROUND(10.92*2.5*3,0)</f>
        <v>82</v>
      </c>
      <c r="CR19" s="688">
        <v>2.6</v>
      </c>
      <c r="CS19" s="584">
        <f>ROUND(10.92*2.5*2.6,0)</f>
        <v>71</v>
      </c>
      <c r="CT19" s="688">
        <v>0</v>
      </c>
      <c r="CU19" s="584">
        <f>ROUND(10.92*2.5*0,0)</f>
        <v>0</v>
      </c>
      <c r="CV19" s="688">
        <v>0</v>
      </c>
      <c r="CW19" s="584">
        <f>ROUND(10.92*2.5*0,0)</f>
        <v>0</v>
      </c>
      <c r="CX19" s="688">
        <v>0</v>
      </c>
      <c r="CY19" s="584">
        <f>ROUND(10.92*2.5*0,0)</f>
        <v>0</v>
      </c>
      <c r="CZ19" s="688">
        <v>0</v>
      </c>
      <c r="DA19" s="584">
        <f>ROUND(10.92*2.5*0,0)</f>
        <v>0</v>
      </c>
      <c r="DB19" s="688">
        <v>0</v>
      </c>
      <c r="DC19" s="584">
        <f>ROUND(10.92*2.5*0,0)</f>
        <v>0</v>
      </c>
      <c r="DD19" s="688">
        <v>0</v>
      </c>
      <c r="DE19" s="586">
        <f>ROUND(10.92*2.5*0,0)</f>
        <v>0</v>
      </c>
      <c r="DF19" s="559"/>
      <c r="DG19" s="549"/>
      <c r="DH19" s="693" t="s">
        <v>258</v>
      </c>
      <c r="DI19" s="684"/>
      <c r="DJ19" s="580">
        <v>10.92</v>
      </c>
      <c r="DK19" s="685">
        <v>2.5</v>
      </c>
      <c r="DL19" s="686"/>
      <c r="DM19" s="687">
        <v>0</v>
      </c>
      <c r="DN19" s="584">
        <f>ROUND(10.92*2.5*0,0)</f>
        <v>0</v>
      </c>
      <c r="DO19" s="688">
        <v>0</v>
      </c>
      <c r="DP19" s="584">
        <f>ROUND(10.92*2.5*0,0)</f>
        <v>0</v>
      </c>
      <c r="DQ19" s="688">
        <v>0</v>
      </c>
      <c r="DR19" s="584">
        <f>ROUND(10.92*2.5*0,0)</f>
        <v>0</v>
      </c>
      <c r="DS19" s="688">
        <v>0</v>
      </c>
      <c r="DT19" s="584">
        <f>ROUND(10.92*2.5*0,0)</f>
        <v>0</v>
      </c>
      <c r="DU19" s="688">
        <v>0</v>
      </c>
      <c r="DV19" s="584">
        <f>ROUND(10.92*2.5*0,0)</f>
        <v>0</v>
      </c>
      <c r="DW19" s="688">
        <v>0</v>
      </c>
      <c r="DX19" s="584">
        <f>ROUND(10.92*2.5*0,0)</f>
        <v>0</v>
      </c>
      <c r="DY19" s="688">
        <v>0</v>
      </c>
      <c r="DZ19" s="584">
        <f>ROUND(10.92*2.5*0,0)</f>
        <v>0</v>
      </c>
      <c r="EA19" s="688">
        <v>0</v>
      </c>
      <c r="EB19" s="584">
        <f>ROUND(10.92*2.5*0,0)</f>
        <v>0</v>
      </c>
      <c r="EC19" s="688">
        <v>1.4</v>
      </c>
      <c r="ED19" s="584">
        <f>ROUND(10.92*2.5*1.4,0)</f>
        <v>38</v>
      </c>
      <c r="EE19" s="688">
        <v>2.1</v>
      </c>
      <c r="EF19" s="584">
        <f>ROUND(10.92*2.5*2.1,0)</f>
        <v>57</v>
      </c>
      <c r="EG19" s="688">
        <v>2.4</v>
      </c>
      <c r="EH19" s="584">
        <f>ROUND(10.92*2.5*2.4,0)</f>
        <v>66</v>
      </c>
      <c r="EI19" s="688">
        <v>2.8</v>
      </c>
      <c r="EJ19" s="584">
        <f>ROUND(10.92*2.5*2.8,0)</f>
        <v>76</v>
      </c>
      <c r="EK19" s="688">
        <v>2.9</v>
      </c>
      <c r="EL19" s="584">
        <f>ROUND(10.92*2.5*2.9,0)</f>
        <v>79</v>
      </c>
      <c r="EM19" s="688">
        <v>2.8</v>
      </c>
      <c r="EN19" s="584">
        <f>ROUND(10.92*2.5*2.8,0)</f>
        <v>76</v>
      </c>
      <c r="EO19" s="688">
        <v>2.6</v>
      </c>
      <c r="EP19" s="584">
        <f>ROUND(10.92*2.5*2.6,0)</f>
        <v>71</v>
      </c>
      <c r="EQ19" s="688">
        <v>2.2999999999999998</v>
      </c>
      <c r="ER19" s="584">
        <f>ROUND(10.92*2.5*2.3,0)</f>
        <v>63</v>
      </c>
      <c r="ES19" s="688">
        <v>1.8</v>
      </c>
      <c r="ET19" s="584">
        <f>ROUND(10.92*2.5*1.8,0)</f>
        <v>49</v>
      </c>
      <c r="EU19" s="688">
        <v>1.3</v>
      </c>
      <c r="EV19" s="584">
        <f>ROUND(10.92*2.5*1.3,0)</f>
        <v>35</v>
      </c>
      <c r="EW19" s="688">
        <v>0</v>
      </c>
      <c r="EX19" s="584">
        <f>ROUND(10.92*2.5*0,0)</f>
        <v>0</v>
      </c>
      <c r="EY19" s="688">
        <v>0</v>
      </c>
      <c r="EZ19" s="584">
        <f>ROUND(10.92*2.5*0,0)</f>
        <v>0</v>
      </c>
      <c r="FA19" s="688">
        <v>0</v>
      </c>
      <c r="FB19" s="584">
        <f>ROUND(10.92*2.5*0,0)</f>
        <v>0</v>
      </c>
      <c r="FC19" s="688">
        <v>0</v>
      </c>
      <c r="FD19" s="584">
        <f>ROUND(10.92*2.5*0,0)</f>
        <v>0</v>
      </c>
      <c r="FE19" s="688">
        <v>0</v>
      </c>
      <c r="FF19" s="584">
        <f>ROUND(10.92*2.5*0,0)</f>
        <v>0</v>
      </c>
      <c r="FG19" s="688">
        <v>0</v>
      </c>
      <c r="FH19" s="586">
        <f>ROUND(10.92*2.5*0,0)</f>
        <v>0</v>
      </c>
      <c r="FI19" s="560"/>
      <c r="FJ19" s="561"/>
      <c r="FK19" s="693" t="s">
        <v>258</v>
      </c>
      <c r="FL19" s="684"/>
      <c r="FM19" s="580">
        <v>10.92</v>
      </c>
      <c r="FN19" s="685">
        <v>2.5</v>
      </c>
      <c r="FO19" s="686"/>
      <c r="FP19" s="689">
        <v>9</v>
      </c>
      <c r="FQ19" s="690">
        <v>10</v>
      </c>
      <c r="FR19" s="584">
        <f>ROUND(10.92*2.5*10,0)</f>
        <v>273</v>
      </c>
      <c r="FS19" s="691">
        <v>9</v>
      </c>
      <c r="FT19" s="690">
        <v>10.199999999999999</v>
      </c>
      <c r="FU19" s="589">
        <f>ROUND(10.92*2.5*10.2,0)</f>
        <v>278</v>
      </c>
      <c r="FV19" s="590"/>
      <c r="FW19" s="591"/>
      <c r="FX19" s="592"/>
      <c r="FY19" s="593"/>
      <c r="FZ19" s="594"/>
      <c r="GA19" s="595"/>
      <c r="GB19" s="596"/>
      <c r="GC19" s="597"/>
      <c r="GD19" s="596"/>
      <c r="GE19" s="598"/>
      <c r="GF19" s="681"/>
      <c r="GG19" s="599"/>
      <c r="GH19" s="599"/>
      <c r="GI19" s="599"/>
      <c r="GJ19" s="410"/>
      <c r="GK19" s="625"/>
      <c r="GL19" s="626"/>
      <c r="GM19" s="627"/>
      <c r="GN19" s="628"/>
      <c r="GO19" s="629"/>
      <c r="GP19" s="653"/>
      <c r="GQ19" s="630">
        <v>0</v>
      </c>
      <c r="GR19" s="631">
        <v>0</v>
      </c>
      <c r="GS19" s="410"/>
      <c r="GT19" s="654"/>
      <c r="GU19" s="625"/>
      <c r="GV19" s="626"/>
      <c r="GW19" s="632"/>
      <c r="GX19" s="633"/>
      <c r="GY19" s="634"/>
      <c r="GZ19" s="635"/>
      <c r="HA19" s="636">
        <v>0</v>
      </c>
      <c r="HB19" s="637"/>
      <c r="HC19" s="526"/>
      <c r="HD19" s="559"/>
      <c r="HE19" s="416"/>
      <c r="HF19" s="416"/>
      <c r="HG19" s="416"/>
    </row>
    <row r="20" spans="1:218" ht="20.100000000000001" customHeight="1">
      <c r="A20" s="549"/>
      <c r="B20" s="693" t="s">
        <v>258</v>
      </c>
      <c r="C20" s="684"/>
      <c r="D20" s="580">
        <v>28.42</v>
      </c>
      <c r="E20" s="685">
        <v>2.5</v>
      </c>
      <c r="F20" s="686"/>
      <c r="G20" s="687">
        <v>0</v>
      </c>
      <c r="H20" s="584">
        <f>ROUND(28.42*2.5*0,0)</f>
        <v>0</v>
      </c>
      <c r="I20" s="688">
        <v>0</v>
      </c>
      <c r="J20" s="584">
        <f>ROUND(28.42*2.5*0,0)</f>
        <v>0</v>
      </c>
      <c r="K20" s="688">
        <v>0</v>
      </c>
      <c r="L20" s="584">
        <f>ROUND(28.42*2.5*0,0)</f>
        <v>0</v>
      </c>
      <c r="M20" s="688">
        <v>0</v>
      </c>
      <c r="N20" s="584">
        <f>ROUND(28.42*2.5*0,0)</f>
        <v>0</v>
      </c>
      <c r="O20" s="688">
        <v>0</v>
      </c>
      <c r="P20" s="584">
        <f>ROUND(28.42*2.5*0,0)</f>
        <v>0</v>
      </c>
      <c r="Q20" s="688">
        <v>0</v>
      </c>
      <c r="R20" s="584">
        <f>ROUND(28.42*2.5*0,0)</f>
        <v>0</v>
      </c>
      <c r="S20" s="688">
        <v>0</v>
      </c>
      <c r="T20" s="584">
        <f>ROUND(28.42*2.5*0,0)</f>
        <v>0</v>
      </c>
      <c r="U20" s="688">
        <v>0</v>
      </c>
      <c r="V20" s="584">
        <f>ROUND(28.42*2.5*0,0)</f>
        <v>0</v>
      </c>
      <c r="W20" s="688">
        <v>1.6</v>
      </c>
      <c r="X20" s="584">
        <f>ROUND(28.42*2.5*1.6,0)</f>
        <v>114</v>
      </c>
      <c r="Y20" s="688">
        <v>2</v>
      </c>
      <c r="Z20" s="584">
        <f>ROUND(28.42*2.5*2,0)</f>
        <v>142</v>
      </c>
      <c r="AA20" s="688">
        <v>2.2000000000000002</v>
      </c>
      <c r="AB20" s="584">
        <f>ROUND(28.42*2.5*2.2,0)</f>
        <v>156</v>
      </c>
      <c r="AC20" s="688">
        <v>2.2999999999999998</v>
      </c>
      <c r="AD20" s="584">
        <f>ROUND(28.42*2.5*2.3,0)</f>
        <v>163</v>
      </c>
      <c r="AE20" s="688">
        <v>2.4</v>
      </c>
      <c r="AF20" s="584">
        <f>ROUND(28.42*2.5*2.4,0)</f>
        <v>171</v>
      </c>
      <c r="AG20" s="688">
        <v>2.4</v>
      </c>
      <c r="AH20" s="584">
        <f>ROUND(28.42*2.5*2.4,0)</f>
        <v>171</v>
      </c>
      <c r="AI20" s="688">
        <v>2.2000000000000002</v>
      </c>
      <c r="AJ20" s="584">
        <f>ROUND(28.42*2.5*2.2,0)</f>
        <v>156</v>
      </c>
      <c r="AK20" s="688">
        <v>2.1</v>
      </c>
      <c r="AL20" s="584">
        <f>ROUND(28.42*2.5*2.1,0)</f>
        <v>149</v>
      </c>
      <c r="AM20" s="688">
        <v>1.8</v>
      </c>
      <c r="AN20" s="584">
        <f>ROUND(28.42*2.5*1.8,0)</f>
        <v>128</v>
      </c>
      <c r="AO20" s="688">
        <v>1.6</v>
      </c>
      <c r="AP20" s="584">
        <f>ROUND(28.42*2.5*1.6,0)</f>
        <v>114</v>
      </c>
      <c r="AQ20" s="688">
        <v>0</v>
      </c>
      <c r="AR20" s="584">
        <f>ROUND(28.42*2.5*0,0)</f>
        <v>0</v>
      </c>
      <c r="AS20" s="688">
        <v>0</v>
      </c>
      <c r="AT20" s="584">
        <f>ROUND(28.42*2.5*0,0)</f>
        <v>0</v>
      </c>
      <c r="AU20" s="688">
        <v>0</v>
      </c>
      <c r="AV20" s="584">
        <f>ROUND(28.42*2.5*0,0)</f>
        <v>0</v>
      </c>
      <c r="AW20" s="688">
        <v>0</v>
      </c>
      <c r="AX20" s="584">
        <f>ROUND(28.42*2.5*0,0)</f>
        <v>0</v>
      </c>
      <c r="AY20" s="688">
        <v>0</v>
      </c>
      <c r="AZ20" s="584">
        <f>ROUND(28.42*2.5*0,0)</f>
        <v>0</v>
      </c>
      <c r="BA20" s="688">
        <v>0</v>
      </c>
      <c r="BB20" s="586">
        <f>ROUND(28.42*2.5*0,0)</f>
        <v>0</v>
      </c>
      <c r="BC20" s="559"/>
      <c r="BD20" s="549"/>
      <c r="BE20" s="693" t="s">
        <v>258</v>
      </c>
      <c r="BF20" s="684"/>
      <c r="BG20" s="580">
        <v>28.42</v>
      </c>
      <c r="BH20" s="685">
        <v>2.5</v>
      </c>
      <c r="BI20" s="686"/>
      <c r="BJ20" s="687">
        <v>0</v>
      </c>
      <c r="BK20" s="584">
        <f>ROUND(28.42*2.5*0,0)</f>
        <v>0</v>
      </c>
      <c r="BL20" s="688">
        <v>0</v>
      </c>
      <c r="BM20" s="584">
        <f>ROUND(28.42*2.5*0,0)</f>
        <v>0</v>
      </c>
      <c r="BN20" s="688">
        <v>0</v>
      </c>
      <c r="BO20" s="584">
        <f>ROUND(28.42*2.5*0,0)</f>
        <v>0</v>
      </c>
      <c r="BP20" s="688">
        <v>0</v>
      </c>
      <c r="BQ20" s="584">
        <f>ROUND(28.42*2.5*0,0)</f>
        <v>0</v>
      </c>
      <c r="BR20" s="688">
        <v>0</v>
      </c>
      <c r="BS20" s="584">
        <f>ROUND(28.42*2.5*0,0)</f>
        <v>0</v>
      </c>
      <c r="BT20" s="688">
        <v>0</v>
      </c>
      <c r="BU20" s="584">
        <f>ROUND(28.42*2.5*0,0)</f>
        <v>0</v>
      </c>
      <c r="BV20" s="688">
        <v>0</v>
      </c>
      <c r="BW20" s="584">
        <f>ROUND(28.42*2.5*0,0)</f>
        <v>0</v>
      </c>
      <c r="BX20" s="688">
        <v>0</v>
      </c>
      <c r="BY20" s="584">
        <f>ROUND(28.42*2.5*0,0)</f>
        <v>0</v>
      </c>
      <c r="BZ20" s="688">
        <v>1.5</v>
      </c>
      <c r="CA20" s="584">
        <f>ROUND(28.42*2.5*1.5,0)</f>
        <v>107</v>
      </c>
      <c r="CB20" s="688">
        <v>1.8</v>
      </c>
      <c r="CC20" s="584">
        <f>ROUND(28.42*2.5*1.8,0)</f>
        <v>128</v>
      </c>
      <c r="CD20" s="688">
        <v>2.1</v>
      </c>
      <c r="CE20" s="584">
        <f>ROUND(28.42*2.5*2.1,0)</f>
        <v>149</v>
      </c>
      <c r="CF20" s="688">
        <v>2.2000000000000002</v>
      </c>
      <c r="CG20" s="584">
        <f>ROUND(28.42*2.5*2.2,0)</f>
        <v>156</v>
      </c>
      <c r="CH20" s="688">
        <v>2.2999999999999998</v>
      </c>
      <c r="CI20" s="584">
        <f>ROUND(28.42*2.5*2.3,0)</f>
        <v>163</v>
      </c>
      <c r="CJ20" s="688">
        <v>2.2000000000000002</v>
      </c>
      <c r="CK20" s="584">
        <f>ROUND(28.42*2.5*2.2,0)</f>
        <v>156</v>
      </c>
      <c r="CL20" s="688">
        <v>2.1</v>
      </c>
      <c r="CM20" s="584">
        <f>ROUND(28.42*2.5*2.1,0)</f>
        <v>149</v>
      </c>
      <c r="CN20" s="688">
        <v>2</v>
      </c>
      <c r="CO20" s="584">
        <f>ROUND(28.42*2.5*2,0)</f>
        <v>142</v>
      </c>
      <c r="CP20" s="688">
        <v>1.8</v>
      </c>
      <c r="CQ20" s="584">
        <f>ROUND(28.42*2.5*1.8,0)</f>
        <v>128</v>
      </c>
      <c r="CR20" s="688">
        <v>1.5</v>
      </c>
      <c r="CS20" s="584">
        <f>ROUND(28.42*2.5*1.5,0)</f>
        <v>107</v>
      </c>
      <c r="CT20" s="688">
        <v>0</v>
      </c>
      <c r="CU20" s="584">
        <f>ROUND(28.42*2.5*0,0)</f>
        <v>0</v>
      </c>
      <c r="CV20" s="688">
        <v>0</v>
      </c>
      <c r="CW20" s="584">
        <f>ROUND(28.42*2.5*0,0)</f>
        <v>0</v>
      </c>
      <c r="CX20" s="688">
        <v>0</v>
      </c>
      <c r="CY20" s="584">
        <f>ROUND(28.42*2.5*0,0)</f>
        <v>0</v>
      </c>
      <c r="CZ20" s="688">
        <v>0</v>
      </c>
      <c r="DA20" s="584">
        <f>ROUND(28.42*2.5*0,0)</f>
        <v>0</v>
      </c>
      <c r="DB20" s="688">
        <v>0</v>
      </c>
      <c r="DC20" s="584">
        <f>ROUND(28.42*2.5*0,0)</f>
        <v>0</v>
      </c>
      <c r="DD20" s="688">
        <v>0</v>
      </c>
      <c r="DE20" s="586">
        <f>ROUND(28.42*2.5*0,0)</f>
        <v>0</v>
      </c>
      <c r="DF20" s="559"/>
      <c r="DG20" s="549"/>
      <c r="DH20" s="693" t="s">
        <v>258</v>
      </c>
      <c r="DI20" s="684"/>
      <c r="DJ20" s="580">
        <v>28.42</v>
      </c>
      <c r="DK20" s="685">
        <v>2.5</v>
      </c>
      <c r="DL20" s="686"/>
      <c r="DM20" s="687">
        <v>0</v>
      </c>
      <c r="DN20" s="584">
        <f>ROUND(28.42*2.5*0,0)</f>
        <v>0</v>
      </c>
      <c r="DO20" s="688">
        <v>0</v>
      </c>
      <c r="DP20" s="584">
        <f>ROUND(28.42*2.5*0,0)</f>
        <v>0</v>
      </c>
      <c r="DQ20" s="688">
        <v>0</v>
      </c>
      <c r="DR20" s="584">
        <f>ROUND(28.42*2.5*0,0)</f>
        <v>0</v>
      </c>
      <c r="DS20" s="688">
        <v>0</v>
      </c>
      <c r="DT20" s="584">
        <f>ROUND(28.42*2.5*0,0)</f>
        <v>0</v>
      </c>
      <c r="DU20" s="688">
        <v>0</v>
      </c>
      <c r="DV20" s="584">
        <f>ROUND(28.42*2.5*0,0)</f>
        <v>0</v>
      </c>
      <c r="DW20" s="688">
        <v>0</v>
      </c>
      <c r="DX20" s="584">
        <f>ROUND(28.42*2.5*0,0)</f>
        <v>0</v>
      </c>
      <c r="DY20" s="688">
        <v>0</v>
      </c>
      <c r="DZ20" s="584">
        <f>ROUND(28.42*2.5*0,0)</f>
        <v>0</v>
      </c>
      <c r="EA20" s="688">
        <v>0</v>
      </c>
      <c r="EB20" s="584">
        <f>ROUND(28.42*2.5*0,0)</f>
        <v>0</v>
      </c>
      <c r="EC20" s="688">
        <v>0.8</v>
      </c>
      <c r="ED20" s="584">
        <f>ROUND(28.42*2.5*0.8,0)</f>
        <v>57</v>
      </c>
      <c r="EE20" s="688">
        <v>1.2</v>
      </c>
      <c r="EF20" s="584">
        <f>ROUND(28.42*2.5*1.2,0)</f>
        <v>85</v>
      </c>
      <c r="EG20" s="688">
        <v>1.5</v>
      </c>
      <c r="EH20" s="584">
        <f>ROUND(28.42*2.5*1.5,0)</f>
        <v>107</v>
      </c>
      <c r="EI20" s="688">
        <v>1.7</v>
      </c>
      <c r="EJ20" s="584">
        <f>ROUND(28.42*2.5*1.7,0)</f>
        <v>121</v>
      </c>
      <c r="EK20" s="688">
        <v>1.7</v>
      </c>
      <c r="EL20" s="584">
        <f>ROUND(28.42*2.5*1.7,0)</f>
        <v>121</v>
      </c>
      <c r="EM20" s="688">
        <v>1.6</v>
      </c>
      <c r="EN20" s="584">
        <f>ROUND(28.42*2.5*1.6,0)</f>
        <v>114</v>
      </c>
      <c r="EO20" s="688">
        <v>1.5</v>
      </c>
      <c r="EP20" s="584">
        <f>ROUND(28.42*2.5*1.5,0)</f>
        <v>107</v>
      </c>
      <c r="EQ20" s="688">
        <v>1.4</v>
      </c>
      <c r="ER20" s="584">
        <f>ROUND(28.42*2.5*1.4,0)</f>
        <v>99</v>
      </c>
      <c r="ES20" s="688">
        <v>1.1000000000000001</v>
      </c>
      <c r="ET20" s="584">
        <f>ROUND(28.42*2.5*1.1,0)</f>
        <v>78</v>
      </c>
      <c r="EU20" s="688">
        <v>0.8</v>
      </c>
      <c r="EV20" s="584">
        <f>ROUND(28.42*2.5*0.8,0)</f>
        <v>57</v>
      </c>
      <c r="EW20" s="688">
        <v>0</v>
      </c>
      <c r="EX20" s="584">
        <f>ROUND(28.42*2.5*0,0)</f>
        <v>0</v>
      </c>
      <c r="EY20" s="688">
        <v>0</v>
      </c>
      <c r="EZ20" s="584">
        <f>ROUND(28.42*2.5*0,0)</f>
        <v>0</v>
      </c>
      <c r="FA20" s="688">
        <v>0</v>
      </c>
      <c r="FB20" s="584">
        <f>ROUND(28.42*2.5*0,0)</f>
        <v>0</v>
      </c>
      <c r="FC20" s="688">
        <v>0</v>
      </c>
      <c r="FD20" s="584">
        <f>ROUND(28.42*2.5*0,0)</f>
        <v>0</v>
      </c>
      <c r="FE20" s="688">
        <v>0</v>
      </c>
      <c r="FF20" s="584">
        <f>ROUND(28.42*2.5*0,0)</f>
        <v>0</v>
      </c>
      <c r="FG20" s="688">
        <v>0</v>
      </c>
      <c r="FH20" s="586">
        <f>ROUND(28.42*2.5*0,0)</f>
        <v>0</v>
      </c>
      <c r="FI20" s="560"/>
      <c r="FJ20" s="561"/>
      <c r="FK20" s="693" t="s">
        <v>258</v>
      </c>
      <c r="FL20" s="684"/>
      <c r="FM20" s="580">
        <v>28.42</v>
      </c>
      <c r="FN20" s="685">
        <v>2.5</v>
      </c>
      <c r="FO20" s="686"/>
      <c r="FP20" s="689">
        <v>9</v>
      </c>
      <c r="FQ20" s="690">
        <v>6</v>
      </c>
      <c r="FR20" s="584">
        <f>ROUND(28.42*2.5*6,0)</f>
        <v>426</v>
      </c>
      <c r="FS20" s="691">
        <v>9</v>
      </c>
      <c r="FT20" s="690">
        <v>6.1</v>
      </c>
      <c r="FU20" s="589">
        <f>ROUND(28.42*2.5*6.1,0)</f>
        <v>433</v>
      </c>
      <c r="FV20" s="590"/>
      <c r="FW20" s="591"/>
      <c r="FX20" s="592"/>
      <c r="FY20" s="593"/>
      <c r="FZ20" s="594"/>
      <c r="GA20" s="595"/>
      <c r="GB20" s="596"/>
      <c r="GC20" s="597"/>
      <c r="GD20" s="596"/>
      <c r="GE20" s="598"/>
      <c r="GF20" s="681"/>
      <c r="GG20" s="599"/>
      <c r="GH20" s="599"/>
      <c r="GI20" s="599"/>
      <c r="GJ20" s="410"/>
      <c r="GK20" s="625"/>
      <c r="GL20" s="626"/>
      <c r="GM20" s="627"/>
      <c r="GN20" s="628"/>
      <c r="GO20" s="629"/>
      <c r="GP20" s="653"/>
      <c r="GQ20" s="630">
        <v>0</v>
      </c>
      <c r="GR20" s="631">
        <v>0</v>
      </c>
      <c r="GS20" s="414"/>
      <c r="GT20" s="654"/>
      <c r="GU20" s="625"/>
      <c r="GV20" s="626"/>
      <c r="GW20" s="632"/>
      <c r="GX20" s="633"/>
      <c r="GY20" s="634"/>
      <c r="GZ20" s="635"/>
      <c r="HA20" s="636">
        <v>0</v>
      </c>
      <c r="HB20" s="637"/>
      <c r="HC20" s="410"/>
      <c r="HD20" s="559"/>
      <c r="HE20" s="416"/>
      <c r="HF20" s="416"/>
      <c r="HG20" s="416"/>
    </row>
    <row r="21" spans="1:218" ht="20.100000000000001" customHeight="1">
      <c r="A21" s="549"/>
      <c r="B21" s="693" t="s">
        <v>258</v>
      </c>
      <c r="C21" s="684"/>
      <c r="D21" s="580">
        <v>10.64</v>
      </c>
      <c r="E21" s="685">
        <v>2.5</v>
      </c>
      <c r="F21" s="686"/>
      <c r="G21" s="687">
        <v>0</v>
      </c>
      <c r="H21" s="584">
        <f>ROUND(10.64*2.5*0,0)</f>
        <v>0</v>
      </c>
      <c r="I21" s="688">
        <v>0</v>
      </c>
      <c r="J21" s="584">
        <f>ROUND(10.64*2.5*0,0)</f>
        <v>0</v>
      </c>
      <c r="K21" s="688">
        <v>0</v>
      </c>
      <c r="L21" s="584">
        <f>ROUND(10.64*2.5*0,0)</f>
        <v>0</v>
      </c>
      <c r="M21" s="688">
        <v>0</v>
      </c>
      <c r="N21" s="584">
        <f>ROUND(10.64*2.5*0,0)</f>
        <v>0</v>
      </c>
      <c r="O21" s="688">
        <v>0</v>
      </c>
      <c r="P21" s="584">
        <f>ROUND(10.64*2.5*0,0)</f>
        <v>0</v>
      </c>
      <c r="Q21" s="688">
        <v>0</v>
      </c>
      <c r="R21" s="584">
        <f>ROUND(10.64*2.5*0,0)</f>
        <v>0</v>
      </c>
      <c r="S21" s="688">
        <v>0</v>
      </c>
      <c r="T21" s="584">
        <f>ROUND(10.64*2.5*0,0)</f>
        <v>0</v>
      </c>
      <c r="U21" s="688">
        <v>0</v>
      </c>
      <c r="V21" s="584">
        <f>ROUND(10.64*2.5*0,0)</f>
        <v>0</v>
      </c>
      <c r="W21" s="688">
        <v>1.6</v>
      </c>
      <c r="X21" s="584">
        <f>ROUND(10.64*2.5*1.6,0)</f>
        <v>43</v>
      </c>
      <c r="Y21" s="688">
        <v>2</v>
      </c>
      <c r="Z21" s="584">
        <f>ROUND(10.64*2.5*2,0)</f>
        <v>53</v>
      </c>
      <c r="AA21" s="688">
        <v>2.2000000000000002</v>
      </c>
      <c r="AB21" s="584">
        <f>ROUND(10.64*2.5*2.2,0)</f>
        <v>59</v>
      </c>
      <c r="AC21" s="688">
        <v>2.2999999999999998</v>
      </c>
      <c r="AD21" s="584">
        <f>ROUND(10.64*2.5*2.3,0)</f>
        <v>61</v>
      </c>
      <c r="AE21" s="688">
        <v>2.4</v>
      </c>
      <c r="AF21" s="584">
        <f>ROUND(10.64*2.5*2.4,0)</f>
        <v>64</v>
      </c>
      <c r="AG21" s="688">
        <v>2.4</v>
      </c>
      <c r="AH21" s="584">
        <f>ROUND(10.64*2.5*2.4,0)</f>
        <v>64</v>
      </c>
      <c r="AI21" s="688">
        <v>2.2000000000000002</v>
      </c>
      <c r="AJ21" s="584">
        <f>ROUND(10.64*2.5*2.2,0)</f>
        <v>59</v>
      </c>
      <c r="AK21" s="688">
        <v>2.1</v>
      </c>
      <c r="AL21" s="584">
        <f>ROUND(10.64*2.5*2.1,0)</f>
        <v>56</v>
      </c>
      <c r="AM21" s="688">
        <v>1.8</v>
      </c>
      <c r="AN21" s="584">
        <f>ROUND(10.64*2.5*1.8,0)</f>
        <v>48</v>
      </c>
      <c r="AO21" s="688">
        <v>1.6</v>
      </c>
      <c r="AP21" s="584">
        <f>ROUND(10.64*2.5*1.6,0)</f>
        <v>43</v>
      </c>
      <c r="AQ21" s="688">
        <v>0</v>
      </c>
      <c r="AR21" s="584">
        <f>ROUND(10.64*2.5*0,0)</f>
        <v>0</v>
      </c>
      <c r="AS21" s="688">
        <v>0</v>
      </c>
      <c r="AT21" s="584">
        <f>ROUND(10.64*2.5*0,0)</f>
        <v>0</v>
      </c>
      <c r="AU21" s="688">
        <v>0</v>
      </c>
      <c r="AV21" s="584">
        <f>ROUND(10.64*2.5*0,0)</f>
        <v>0</v>
      </c>
      <c r="AW21" s="688">
        <v>0</v>
      </c>
      <c r="AX21" s="584">
        <f>ROUND(10.64*2.5*0,0)</f>
        <v>0</v>
      </c>
      <c r="AY21" s="688">
        <v>0</v>
      </c>
      <c r="AZ21" s="584">
        <f>ROUND(10.64*2.5*0,0)</f>
        <v>0</v>
      </c>
      <c r="BA21" s="688">
        <v>0</v>
      </c>
      <c r="BB21" s="586">
        <f>ROUND(10.64*2.5*0,0)</f>
        <v>0</v>
      </c>
      <c r="BC21" s="559"/>
      <c r="BD21" s="549"/>
      <c r="BE21" s="693" t="s">
        <v>258</v>
      </c>
      <c r="BF21" s="684"/>
      <c r="BG21" s="580">
        <v>10.64</v>
      </c>
      <c r="BH21" s="685">
        <v>2.5</v>
      </c>
      <c r="BI21" s="686"/>
      <c r="BJ21" s="687">
        <v>0</v>
      </c>
      <c r="BK21" s="584">
        <f>ROUND(10.64*2.5*0,0)</f>
        <v>0</v>
      </c>
      <c r="BL21" s="688">
        <v>0</v>
      </c>
      <c r="BM21" s="584">
        <f>ROUND(10.64*2.5*0,0)</f>
        <v>0</v>
      </c>
      <c r="BN21" s="688">
        <v>0</v>
      </c>
      <c r="BO21" s="584">
        <f>ROUND(10.64*2.5*0,0)</f>
        <v>0</v>
      </c>
      <c r="BP21" s="688">
        <v>0</v>
      </c>
      <c r="BQ21" s="584">
        <f>ROUND(10.64*2.5*0,0)</f>
        <v>0</v>
      </c>
      <c r="BR21" s="688">
        <v>0</v>
      </c>
      <c r="BS21" s="584">
        <f>ROUND(10.64*2.5*0,0)</f>
        <v>0</v>
      </c>
      <c r="BT21" s="688">
        <v>0</v>
      </c>
      <c r="BU21" s="584">
        <f>ROUND(10.64*2.5*0,0)</f>
        <v>0</v>
      </c>
      <c r="BV21" s="688">
        <v>0</v>
      </c>
      <c r="BW21" s="584">
        <f>ROUND(10.64*2.5*0,0)</f>
        <v>0</v>
      </c>
      <c r="BX21" s="688">
        <v>0</v>
      </c>
      <c r="BY21" s="584">
        <f>ROUND(10.64*2.5*0,0)</f>
        <v>0</v>
      </c>
      <c r="BZ21" s="688">
        <v>1.5</v>
      </c>
      <c r="CA21" s="584">
        <f>ROUND(10.64*2.5*1.5,0)</f>
        <v>40</v>
      </c>
      <c r="CB21" s="688">
        <v>1.8</v>
      </c>
      <c r="CC21" s="584">
        <f>ROUND(10.64*2.5*1.8,0)</f>
        <v>48</v>
      </c>
      <c r="CD21" s="688">
        <v>2.1</v>
      </c>
      <c r="CE21" s="584">
        <f>ROUND(10.64*2.5*2.1,0)</f>
        <v>56</v>
      </c>
      <c r="CF21" s="688">
        <v>2.2000000000000002</v>
      </c>
      <c r="CG21" s="584">
        <f>ROUND(10.64*2.5*2.2,0)</f>
        <v>59</v>
      </c>
      <c r="CH21" s="688">
        <v>2.2999999999999998</v>
      </c>
      <c r="CI21" s="584">
        <f>ROUND(10.64*2.5*2.3,0)</f>
        <v>61</v>
      </c>
      <c r="CJ21" s="688">
        <v>2.2000000000000002</v>
      </c>
      <c r="CK21" s="584">
        <f>ROUND(10.64*2.5*2.2,0)</f>
        <v>59</v>
      </c>
      <c r="CL21" s="688">
        <v>2.1</v>
      </c>
      <c r="CM21" s="584">
        <f>ROUND(10.64*2.5*2.1,0)</f>
        <v>56</v>
      </c>
      <c r="CN21" s="688">
        <v>2</v>
      </c>
      <c r="CO21" s="584">
        <f>ROUND(10.64*2.5*2,0)</f>
        <v>53</v>
      </c>
      <c r="CP21" s="688">
        <v>1.8</v>
      </c>
      <c r="CQ21" s="584">
        <f>ROUND(10.64*2.5*1.8,0)</f>
        <v>48</v>
      </c>
      <c r="CR21" s="688">
        <v>1.5</v>
      </c>
      <c r="CS21" s="584">
        <f>ROUND(10.64*2.5*1.5,0)</f>
        <v>40</v>
      </c>
      <c r="CT21" s="688">
        <v>0</v>
      </c>
      <c r="CU21" s="584">
        <f>ROUND(10.64*2.5*0,0)</f>
        <v>0</v>
      </c>
      <c r="CV21" s="688">
        <v>0</v>
      </c>
      <c r="CW21" s="584">
        <f>ROUND(10.64*2.5*0,0)</f>
        <v>0</v>
      </c>
      <c r="CX21" s="688">
        <v>0</v>
      </c>
      <c r="CY21" s="584">
        <f>ROUND(10.64*2.5*0,0)</f>
        <v>0</v>
      </c>
      <c r="CZ21" s="688">
        <v>0</v>
      </c>
      <c r="DA21" s="584">
        <f>ROUND(10.64*2.5*0,0)</f>
        <v>0</v>
      </c>
      <c r="DB21" s="688">
        <v>0</v>
      </c>
      <c r="DC21" s="584">
        <f>ROUND(10.64*2.5*0,0)</f>
        <v>0</v>
      </c>
      <c r="DD21" s="688">
        <v>0</v>
      </c>
      <c r="DE21" s="586">
        <f>ROUND(10.64*2.5*0,0)</f>
        <v>0</v>
      </c>
      <c r="DF21" s="559"/>
      <c r="DG21" s="549"/>
      <c r="DH21" s="693" t="s">
        <v>258</v>
      </c>
      <c r="DI21" s="684"/>
      <c r="DJ21" s="580">
        <v>10.64</v>
      </c>
      <c r="DK21" s="685">
        <v>2.5</v>
      </c>
      <c r="DL21" s="686"/>
      <c r="DM21" s="687">
        <v>0</v>
      </c>
      <c r="DN21" s="584">
        <f>ROUND(10.64*2.5*0,0)</f>
        <v>0</v>
      </c>
      <c r="DO21" s="688">
        <v>0</v>
      </c>
      <c r="DP21" s="584">
        <f>ROUND(10.64*2.5*0,0)</f>
        <v>0</v>
      </c>
      <c r="DQ21" s="688">
        <v>0</v>
      </c>
      <c r="DR21" s="584">
        <f>ROUND(10.64*2.5*0,0)</f>
        <v>0</v>
      </c>
      <c r="DS21" s="688">
        <v>0</v>
      </c>
      <c r="DT21" s="584">
        <f>ROUND(10.64*2.5*0,0)</f>
        <v>0</v>
      </c>
      <c r="DU21" s="688">
        <v>0</v>
      </c>
      <c r="DV21" s="584">
        <f>ROUND(10.64*2.5*0,0)</f>
        <v>0</v>
      </c>
      <c r="DW21" s="688">
        <v>0</v>
      </c>
      <c r="DX21" s="584">
        <f>ROUND(10.64*2.5*0,0)</f>
        <v>0</v>
      </c>
      <c r="DY21" s="688">
        <v>0</v>
      </c>
      <c r="DZ21" s="584">
        <f>ROUND(10.64*2.5*0,0)</f>
        <v>0</v>
      </c>
      <c r="EA21" s="688">
        <v>0</v>
      </c>
      <c r="EB21" s="584">
        <f>ROUND(10.64*2.5*0,0)</f>
        <v>0</v>
      </c>
      <c r="EC21" s="688">
        <v>0.8</v>
      </c>
      <c r="ED21" s="584">
        <f>ROUND(10.64*2.5*0.8,0)</f>
        <v>21</v>
      </c>
      <c r="EE21" s="688">
        <v>1.2</v>
      </c>
      <c r="EF21" s="584">
        <f>ROUND(10.64*2.5*1.2,0)</f>
        <v>32</v>
      </c>
      <c r="EG21" s="688">
        <v>1.5</v>
      </c>
      <c r="EH21" s="584">
        <f>ROUND(10.64*2.5*1.5,0)</f>
        <v>40</v>
      </c>
      <c r="EI21" s="688">
        <v>1.7</v>
      </c>
      <c r="EJ21" s="584">
        <f>ROUND(10.64*2.5*1.7,0)</f>
        <v>45</v>
      </c>
      <c r="EK21" s="688">
        <v>1.7</v>
      </c>
      <c r="EL21" s="584">
        <f>ROUND(10.64*2.5*1.7,0)</f>
        <v>45</v>
      </c>
      <c r="EM21" s="688">
        <v>1.6</v>
      </c>
      <c r="EN21" s="584">
        <f>ROUND(10.64*2.5*1.6,0)</f>
        <v>43</v>
      </c>
      <c r="EO21" s="688">
        <v>1.5</v>
      </c>
      <c r="EP21" s="584">
        <f>ROUND(10.64*2.5*1.5,0)</f>
        <v>40</v>
      </c>
      <c r="EQ21" s="688">
        <v>1.4</v>
      </c>
      <c r="ER21" s="584">
        <f>ROUND(10.64*2.5*1.4,0)</f>
        <v>37</v>
      </c>
      <c r="ES21" s="688">
        <v>1.1000000000000001</v>
      </c>
      <c r="ET21" s="584">
        <f>ROUND(10.64*2.5*1.1,0)</f>
        <v>29</v>
      </c>
      <c r="EU21" s="688">
        <v>0.8</v>
      </c>
      <c r="EV21" s="584">
        <f>ROUND(10.64*2.5*0.8,0)</f>
        <v>21</v>
      </c>
      <c r="EW21" s="688">
        <v>0</v>
      </c>
      <c r="EX21" s="584">
        <f>ROUND(10.64*2.5*0,0)</f>
        <v>0</v>
      </c>
      <c r="EY21" s="688">
        <v>0</v>
      </c>
      <c r="EZ21" s="584">
        <f>ROUND(10.64*2.5*0,0)</f>
        <v>0</v>
      </c>
      <c r="FA21" s="688">
        <v>0</v>
      </c>
      <c r="FB21" s="584">
        <f>ROUND(10.64*2.5*0,0)</f>
        <v>0</v>
      </c>
      <c r="FC21" s="688">
        <v>0</v>
      </c>
      <c r="FD21" s="584">
        <f>ROUND(10.64*2.5*0,0)</f>
        <v>0</v>
      </c>
      <c r="FE21" s="688">
        <v>0</v>
      </c>
      <c r="FF21" s="584">
        <f>ROUND(10.64*2.5*0,0)</f>
        <v>0</v>
      </c>
      <c r="FG21" s="688">
        <v>0</v>
      </c>
      <c r="FH21" s="586">
        <f>ROUND(10.64*2.5*0,0)</f>
        <v>0</v>
      </c>
      <c r="FI21" s="560"/>
      <c r="FJ21" s="561"/>
      <c r="FK21" s="693" t="s">
        <v>258</v>
      </c>
      <c r="FL21" s="684"/>
      <c r="FM21" s="580">
        <v>10.64</v>
      </c>
      <c r="FN21" s="685">
        <v>2.5</v>
      </c>
      <c r="FO21" s="686"/>
      <c r="FP21" s="689">
        <v>9</v>
      </c>
      <c r="FQ21" s="690">
        <v>6</v>
      </c>
      <c r="FR21" s="584">
        <f>ROUND(10.64*2.5*6,0)</f>
        <v>160</v>
      </c>
      <c r="FS21" s="691">
        <v>9</v>
      </c>
      <c r="FT21" s="690">
        <v>6.1</v>
      </c>
      <c r="FU21" s="589">
        <f>ROUND(10.64*2.5*6.1,0)</f>
        <v>162</v>
      </c>
      <c r="FV21" s="590"/>
      <c r="FW21" s="591"/>
      <c r="FX21" s="592"/>
      <c r="FY21" s="593"/>
      <c r="FZ21" s="594"/>
      <c r="GA21" s="595"/>
      <c r="GB21" s="596"/>
      <c r="GC21" s="597"/>
      <c r="GD21" s="596"/>
      <c r="GE21" s="598"/>
      <c r="GF21" s="681"/>
      <c r="GG21" s="599"/>
      <c r="GH21" s="599"/>
      <c r="GI21" s="599"/>
      <c r="GJ21" s="410"/>
      <c r="GK21" s="694" t="s">
        <v>463</v>
      </c>
      <c r="GL21" s="695"/>
      <c r="GM21" s="696"/>
      <c r="GN21" s="635">
        <v>5.4</v>
      </c>
      <c r="GO21" s="697"/>
      <c r="GP21" s="698"/>
      <c r="GQ21" s="630">
        <v>9.7200000000000006</v>
      </c>
      <c r="GR21" s="631">
        <v>5.4</v>
      </c>
      <c r="GS21" s="575"/>
      <c r="GT21" s="670"/>
      <c r="GU21" s="694" t="s">
        <v>463</v>
      </c>
      <c r="GV21" s="695"/>
      <c r="GW21" s="696"/>
      <c r="GX21" s="699">
        <v>5.4</v>
      </c>
      <c r="GY21" s="700"/>
      <c r="GZ21" s="697"/>
      <c r="HA21" s="701">
        <v>1.62</v>
      </c>
      <c r="HB21" s="702"/>
      <c r="HC21" s="703"/>
      <c r="HD21" s="559"/>
      <c r="HE21" s="612"/>
      <c r="HF21" s="612"/>
      <c r="HG21" s="416"/>
    </row>
    <row r="22" spans="1:218" ht="20.100000000000001" customHeight="1">
      <c r="A22" s="549"/>
      <c r="B22" s="693" t="s">
        <v>246</v>
      </c>
      <c r="C22" s="684"/>
      <c r="D22" s="580">
        <v>53.34</v>
      </c>
      <c r="E22" s="685">
        <v>0.5</v>
      </c>
      <c r="F22" s="686"/>
      <c r="G22" s="687">
        <v>0</v>
      </c>
      <c r="H22" s="584">
        <f>ROUND(53.34*0.5*0,0)</f>
        <v>0</v>
      </c>
      <c r="I22" s="688">
        <v>0</v>
      </c>
      <c r="J22" s="584">
        <f>ROUND(53.34*0.5*0,0)</f>
        <v>0</v>
      </c>
      <c r="K22" s="688">
        <v>0</v>
      </c>
      <c r="L22" s="584">
        <f>ROUND(53.34*0.5*0,0)</f>
        <v>0</v>
      </c>
      <c r="M22" s="688">
        <v>0</v>
      </c>
      <c r="N22" s="584">
        <f>ROUND(53.34*0.5*0,0)</f>
        <v>0</v>
      </c>
      <c r="O22" s="688">
        <v>0</v>
      </c>
      <c r="P22" s="584">
        <f>ROUND(53.34*0.5*0,0)</f>
        <v>0</v>
      </c>
      <c r="Q22" s="688">
        <v>0</v>
      </c>
      <c r="R22" s="584">
        <f>ROUND(53.34*0.5*0,0)</f>
        <v>0</v>
      </c>
      <c r="S22" s="688">
        <v>0</v>
      </c>
      <c r="T22" s="584">
        <f>ROUND(53.34*0.5*0,0)</f>
        <v>0</v>
      </c>
      <c r="U22" s="688">
        <v>0</v>
      </c>
      <c r="V22" s="584">
        <f>ROUND(53.34*0.5*0,0)</f>
        <v>0</v>
      </c>
      <c r="W22" s="688">
        <v>5.3</v>
      </c>
      <c r="X22" s="584">
        <f>ROUND(53.34*0.5*5.3,0)</f>
        <v>141</v>
      </c>
      <c r="Y22" s="688">
        <v>5.2</v>
      </c>
      <c r="Z22" s="584">
        <f>ROUND(53.34*0.5*5.2,0)</f>
        <v>139</v>
      </c>
      <c r="AA22" s="688">
        <v>5.2</v>
      </c>
      <c r="AB22" s="584">
        <f>ROUND(53.34*0.5*5.2,0)</f>
        <v>139</v>
      </c>
      <c r="AC22" s="688">
        <v>5.3</v>
      </c>
      <c r="AD22" s="584">
        <f>ROUND(53.34*0.5*5.3,0)</f>
        <v>141</v>
      </c>
      <c r="AE22" s="688">
        <v>5.7</v>
      </c>
      <c r="AF22" s="584">
        <f>ROUND(53.34*0.5*5.7,0)</f>
        <v>152</v>
      </c>
      <c r="AG22" s="688">
        <v>6.3</v>
      </c>
      <c r="AH22" s="584">
        <f>ROUND(53.34*0.5*6.3,0)</f>
        <v>168</v>
      </c>
      <c r="AI22" s="688">
        <v>7</v>
      </c>
      <c r="AJ22" s="584">
        <f>ROUND(53.34*0.5*7,0)</f>
        <v>187</v>
      </c>
      <c r="AK22" s="688">
        <v>7.8</v>
      </c>
      <c r="AL22" s="584">
        <f>ROUND(53.34*0.5*7.8,0)</f>
        <v>208</v>
      </c>
      <c r="AM22" s="688">
        <v>8.6</v>
      </c>
      <c r="AN22" s="584">
        <f>ROUND(53.34*0.5*8.6,0)</f>
        <v>229</v>
      </c>
      <c r="AO22" s="688">
        <v>9.4</v>
      </c>
      <c r="AP22" s="584">
        <f>ROUND(53.34*0.5*9.4,0)</f>
        <v>251</v>
      </c>
      <c r="AQ22" s="688">
        <v>0</v>
      </c>
      <c r="AR22" s="584">
        <f>ROUND(53.34*0.5*0,0)</f>
        <v>0</v>
      </c>
      <c r="AS22" s="688">
        <v>0</v>
      </c>
      <c r="AT22" s="584">
        <f>ROUND(53.34*0.5*0,0)</f>
        <v>0</v>
      </c>
      <c r="AU22" s="688">
        <v>0</v>
      </c>
      <c r="AV22" s="584">
        <f>ROUND(53.34*0.5*0,0)</f>
        <v>0</v>
      </c>
      <c r="AW22" s="688">
        <v>0</v>
      </c>
      <c r="AX22" s="584">
        <f>ROUND(53.34*0.5*0,0)</f>
        <v>0</v>
      </c>
      <c r="AY22" s="688">
        <v>0</v>
      </c>
      <c r="AZ22" s="584">
        <f>ROUND(53.34*0.5*0,0)</f>
        <v>0</v>
      </c>
      <c r="BA22" s="688">
        <v>0</v>
      </c>
      <c r="BB22" s="586">
        <f>ROUND(53.34*0.5*0,0)</f>
        <v>0</v>
      </c>
      <c r="BC22" s="559"/>
      <c r="BD22" s="549"/>
      <c r="BE22" s="693" t="s">
        <v>246</v>
      </c>
      <c r="BF22" s="684"/>
      <c r="BG22" s="580">
        <v>53.34</v>
      </c>
      <c r="BH22" s="685">
        <v>0.5</v>
      </c>
      <c r="BI22" s="686"/>
      <c r="BJ22" s="687">
        <v>0</v>
      </c>
      <c r="BK22" s="584">
        <f>ROUND(53.34*0.5*0,0)</f>
        <v>0</v>
      </c>
      <c r="BL22" s="688">
        <v>0</v>
      </c>
      <c r="BM22" s="584">
        <f>ROUND(53.34*0.5*0,0)</f>
        <v>0</v>
      </c>
      <c r="BN22" s="688">
        <v>0</v>
      </c>
      <c r="BO22" s="584">
        <f>ROUND(53.34*0.5*0,0)</f>
        <v>0</v>
      </c>
      <c r="BP22" s="688">
        <v>0</v>
      </c>
      <c r="BQ22" s="584">
        <f>ROUND(53.34*0.5*0,0)</f>
        <v>0</v>
      </c>
      <c r="BR22" s="688">
        <v>0</v>
      </c>
      <c r="BS22" s="584">
        <f>ROUND(53.34*0.5*0,0)</f>
        <v>0</v>
      </c>
      <c r="BT22" s="688">
        <v>0</v>
      </c>
      <c r="BU22" s="584">
        <f>ROUND(53.34*0.5*0,0)</f>
        <v>0</v>
      </c>
      <c r="BV22" s="688">
        <v>0</v>
      </c>
      <c r="BW22" s="584">
        <f>ROUND(53.34*0.5*0,0)</f>
        <v>0</v>
      </c>
      <c r="BX22" s="688">
        <v>0</v>
      </c>
      <c r="BY22" s="584">
        <f>ROUND(53.34*0.5*0,0)</f>
        <v>0</v>
      </c>
      <c r="BZ22" s="688">
        <v>5.2</v>
      </c>
      <c r="CA22" s="584">
        <f>ROUND(53.34*0.5*5.2,0)</f>
        <v>139</v>
      </c>
      <c r="CB22" s="688">
        <v>5</v>
      </c>
      <c r="CC22" s="584">
        <f>ROUND(53.34*0.5*5,0)</f>
        <v>133</v>
      </c>
      <c r="CD22" s="688">
        <v>5</v>
      </c>
      <c r="CE22" s="584">
        <f>ROUND(53.34*0.5*5,0)</f>
        <v>133</v>
      </c>
      <c r="CF22" s="688">
        <v>5.0999999999999996</v>
      </c>
      <c r="CG22" s="584">
        <f>ROUND(53.34*0.5*5.1,0)</f>
        <v>136</v>
      </c>
      <c r="CH22" s="688">
        <v>5.4</v>
      </c>
      <c r="CI22" s="584">
        <f>ROUND(53.34*0.5*5.4,0)</f>
        <v>144</v>
      </c>
      <c r="CJ22" s="688">
        <v>6</v>
      </c>
      <c r="CK22" s="584">
        <f>ROUND(53.34*0.5*6,0)</f>
        <v>160</v>
      </c>
      <c r="CL22" s="688">
        <v>6.8</v>
      </c>
      <c r="CM22" s="584">
        <f>ROUND(53.34*0.5*6.8,0)</f>
        <v>181</v>
      </c>
      <c r="CN22" s="688">
        <v>7.8</v>
      </c>
      <c r="CO22" s="584">
        <f>ROUND(53.34*0.5*7.8,0)</f>
        <v>208</v>
      </c>
      <c r="CP22" s="688">
        <v>8.6999999999999993</v>
      </c>
      <c r="CQ22" s="584">
        <f>ROUND(53.34*0.5*8.7,0)</f>
        <v>232</v>
      </c>
      <c r="CR22" s="688">
        <v>9.6</v>
      </c>
      <c r="CS22" s="584">
        <f>ROUND(53.34*0.5*9.6,0)</f>
        <v>256</v>
      </c>
      <c r="CT22" s="688">
        <v>0</v>
      </c>
      <c r="CU22" s="584">
        <f>ROUND(53.34*0.5*0,0)</f>
        <v>0</v>
      </c>
      <c r="CV22" s="688">
        <v>0</v>
      </c>
      <c r="CW22" s="584">
        <f>ROUND(53.34*0.5*0,0)</f>
        <v>0</v>
      </c>
      <c r="CX22" s="688">
        <v>0</v>
      </c>
      <c r="CY22" s="584">
        <f>ROUND(53.34*0.5*0,0)</f>
        <v>0</v>
      </c>
      <c r="CZ22" s="688">
        <v>0</v>
      </c>
      <c r="DA22" s="584">
        <f>ROUND(53.34*0.5*0,0)</f>
        <v>0</v>
      </c>
      <c r="DB22" s="688">
        <v>0</v>
      </c>
      <c r="DC22" s="584">
        <f>ROUND(53.34*0.5*0,0)</f>
        <v>0</v>
      </c>
      <c r="DD22" s="688">
        <v>0</v>
      </c>
      <c r="DE22" s="586">
        <f>ROUND(53.34*0.5*0,0)</f>
        <v>0</v>
      </c>
      <c r="DF22" s="559"/>
      <c r="DG22" s="549"/>
      <c r="DH22" s="693" t="s">
        <v>246</v>
      </c>
      <c r="DI22" s="684"/>
      <c r="DJ22" s="580">
        <v>53.34</v>
      </c>
      <c r="DK22" s="685">
        <v>0.5</v>
      </c>
      <c r="DL22" s="686"/>
      <c r="DM22" s="687">
        <v>0</v>
      </c>
      <c r="DN22" s="584">
        <f>ROUND(53.34*0.5*0,0)</f>
        <v>0</v>
      </c>
      <c r="DO22" s="688">
        <v>0</v>
      </c>
      <c r="DP22" s="584">
        <f>ROUND(53.34*0.5*0,0)</f>
        <v>0</v>
      </c>
      <c r="DQ22" s="688">
        <v>0</v>
      </c>
      <c r="DR22" s="584">
        <f>ROUND(53.34*0.5*0,0)</f>
        <v>0</v>
      </c>
      <c r="DS22" s="688">
        <v>0</v>
      </c>
      <c r="DT22" s="584">
        <f>ROUND(53.34*0.5*0,0)</f>
        <v>0</v>
      </c>
      <c r="DU22" s="688">
        <v>0</v>
      </c>
      <c r="DV22" s="584">
        <f>ROUND(53.34*0.5*0,0)</f>
        <v>0</v>
      </c>
      <c r="DW22" s="688">
        <v>0</v>
      </c>
      <c r="DX22" s="584">
        <f>ROUND(53.34*0.5*0,0)</f>
        <v>0</v>
      </c>
      <c r="DY22" s="688">
        <v>0</v>
      </c>
      <c r="DZ22" s="584">
        <f>ROUND(53.34*0.5*0,0)</f>
        <v>0</v>
      </c>
      <c r="EA22" s="688">
        <v>0</v>
      </c>
      <c r="EB22" s="584">
        <f>ROUND(53.34*0.5*0,0)</f>
        <v>0</v>
      </c>
      <c r="EC22" s="688">
        <v>3.8</v>
      </c>
      <c r="ED22" s="584">
        <f>ROUND(53.34*0.5*3.8,0)</f>
        <v>101</v>
      </c>
      <c r="EE22" s="688">
        <v>3.5</v>
      </c>
      <c r="EF22" s="584">
        <f>ROUND(53.34*0.5*3.5,0)</f>
        <v>93</v>
      </c>
      <c r="EG22" s="688">
        <v>3.4</v>
      </c>
      <c r="EH22" s="584">
        <f>ROUND(53.34*0.5*3.4,0)</f>
        <v>91</v>
      </c>
      <c r="EI22" s="688">
        <v>3.6</v>
      </c>
      <c r="EJ22" s="584">
        <f>ROUND(53.34*0.5*3.6,0)</f>
        <v>96</v>
      </c>
      <c r="EK22" s="688">
        <v>4.0999999999999996</v>
      </c>
      <c r="EL22" s="584">
        <f>ROUND(53.34*0.5*4.1,0)</f>
        <v>109</v>
      </c>
      <c r="EM22" s="688">
        <v>4.9000000000000004</v>
      </c>
      <c r="EN22" s="584">
        <f>ROUND(53.34*0.5*4.9,0)</f>
        <v>131</v>
      </c>
      <c r="EO22" s="688">
        <v>6</v>
      </c>
      <c r="EP22" s="584">
        <f>ROUND(53.34*0.5*6,0)</f>
        <v>160</v>
      </c>
      <c r="EQ22" s="688">
        <v>7.3</v>
      </c>
      <c r="ER22" s="584">
        <f>ROUND(53.34*0.5*7.3,0)</f>
        <v>195</v>
      </c>
      <c r="ES22" s="688">
        <v>8.5</v>
      </c>
      <c r="ET22" s="584">
        <f>ROUND(53.34*0.5*8.5,0)</f>
        <v>227</v>
      </c>
      <c r="EU22" s="688">
        <v>9.6</v>
      </c>
      <c r="EV22" s="584">
        <f>ROUND(53.34*0.5*9.6,0)</f>
        <v>256</v>
      </c>
      <c r="EW22" s="688">
        <v>0</v>
      </c>
      <c r="EX22" s="584">
        <f>ROUND(53.34*0.5*0,0)</f>
        <v>0</v>
      </c>
      <c r="EY22" s="688">
        <v>0</v>
      </c>
      <c r="EZ22" s="584">
        <f>ROUND(53.34*0.5*0,0)</f>
        <v>0</v>
      </c>
      <c r="FA22" s="688">
        <v>0</v>
      </c>
      <c r="FB22" s="584">
        <f>ROUND(53.34*0.5*0,0)</f>
        <v>0</v>
      </c>
      <c r="FC22" s="688">
        <v>0</v>
      </c>
      <c r="FD22" s="584">
        <f>ROUND(53.34*0.5*0,0)</f>
        <v>0</v>
      </c>
      <c r="FE22" s="688">
        <v>0</v>
      </c>
      <c r="FF22" s="584">
        <f>ROUND(53.34*0.5*0,0)</f>
        <v>0</v>
      </c>
      <c r="FG22" s="688">
        <v>0</v>
      </c>
      <c r="FH22" s="586">
        <f>ROUND(53.34*0.5*0,0)</f>
        <v>0</v>
      </c>
      <c r="FI22" s="560"/>
      <c r="FJ22" s="561"/>
      <c r="FK22" s="693" t="s">
        <v>246</v>
      </c>
      <c r="FL22" s="684"/>
      <c r="FM22" s="580">
        <v>53.34</v>
      </c>
      <c r="FN22" s="685">
        <v>0.5</v>
      </c>
      <c r="FO22" s="686"/>
      <c r="FP22" s="689">
        <v>9</v>
      </c>
      <c r="FQ22" s="690">
        <v>20</v>
      </c>
      <c r="FR22" s="584">
        <f>ROUND(53.34*0.5*20,0)</f>
        <v>533</v>
      </c>
      <c r="FS22" s="691">
        <v>9</v>
      </c>
      <c r="FT22" s="690">
        <v>20.5</v>
      </c>
      <c r="FU22" s="589">
        <f>ROUND(53.34*0.5*20.5,0)</f>
        <v>547</v>
      </c>
      <c r="FV22" s="590"/>
      <c r="FW22" s="591"/>
      <c r="FX22" s="592"/>
      <c r="FY22" s="593"/>
      <c r="FZ22" s="594"/>
      <c r="GA22" s="595"/>
      <c r="GB22" s="596"/>
      <c r="GC22" s="597"/>
      <c r="GD22" s="596"/>
      <c r="GE22" s="598"/>
      <c r="GF22" s="681"/>
      <c r="GG22" s="599"/>
      <c r="GH22" s="599"/>
      <c r="GI22" s="599"/>
      <c r="GJ22" s="527"/>
      <c r="GK22" s="704" t="s">
        <v>464</v>
      </c>
      <c r="GL22" s="705"/>
      <c r="GM22" s="705"/>
      <c r="GN22" s="706"/>
      <c r="GO22" s="630">
        <v>1.8</v>
      </c>
      <c r="GP22" s="630">
        <v>1</v>
      </c>
      <c r="GQ22" s="707"/>
      <c r="GR22" s="708"/>
      <c r="GS22" s="575"/>
      <c r="GT22" s="670"/>
      <c r="GU22" s="704" t="s">
        <v>464</v>
      </c>
      <c r="GV22" s="705"/>
      <c r="GW22" s="705"/>
      <c r="GX22" s="705"/>
      <c r="GY22" s="706"/>
      <c r="GZ22" s="630">
        <v>0.3</v>
      </c>
      <c r="HA22" s="709"/>
      <c r="HB22" s="710"/>
      <c r="HC22" s="414"/>
      <c r="HD22" s="559"/>
      <c r="HE22" s="416"/>
      <c r="HF22" s="416"/>
      <c r="HG22" s="416"/>
    </row>
    <row r="23" spans="1:218" ht="20.100000000000001" customHeight="1">
      <c r="A23" s="549"/>
      <c r="B23" s="693" t="s">
        <v>263</v>
      </c>
      <c r="C23" s="684"/>
      <c r="D23" s="580">
        <v>5.36</v>
      </c>
      <c r="E23" s="685">
        <v>2.2000000000000002</v>
      </c>
      <c r="F23" s="686"/>
      <c r="G23" s="687">
        <v>0</v>
      </c>
      <c r="H23" s="584">
        <f>ROUND(5.36*2.2*0,0)</f>
        <v>0</v>
      </c>
      <c r="I23" s="688">
        <v>0</v>
      </c>
      <c r="J23" s="584">
        <f>ROUND(5.36*2.2*0,0)</f>
        <v>0</v>
      </c>
      <c r="K23" s="688">
        <v>0</v>
      </c>
      <c r="L23" s="584">
        <f>ROUND(5.36*2.2*0,0)</f>
        <v>0</v>
      </c>
      <c r="M23" s="688">
        <v>0</v>
      </c>
      <c r="N23" s="584">
        <f>ROUND(5.36*2.2*0,0)</f>
        <v>0</v>
      </c>
      <c r="O23" s="688">
        <v>0</v>
      </c>
      <c r="P23" s="584">
        <f>ROUND(5.36*2.2*0,0)</f>
        <v>0</v>
      </c>
      <c r="Q23" s="688">
        <v>0</v>
      </c>
      <c r="R23" s="584">
        <f>ROUND(5.36*2.2*0,0)</f>
        <v>0</v>
      </c>
      <c r="S23" s="688">
        <v>0</v>
      </c>
      <c r="T23" s="584">
        <f>ROUND(5.36*2.2*0,0)</f>
        <v>0</v>
      </c>
      <c r="U23" s="688">
        <v>0</v>
      </c>
      <c r="V23" s="584">
        <f>ROUND(5.36*2.2*0,0)</f>
        <v>0</v>
      </c>
      <c r="W23" s="688">
        <v>5.3</v>
      </c>
      <c r="X23" s="584">
        <f>ROUND(5.36*2.2*5.3,0)</f>
        <v>62</v>
      </c>
      <c r="Y23" s="688">
        <v>6.5</v>
      </c>
      <c r="Z23" s="584">
        <f>ROUND(5.36*2.2*6.5,0)</f>
        <v>77</v>
      </c>
      <c r="AA23" s="688">
        <v>7.2</v>
      </c>
      <c r="AB23" s="584">
        <f>ROUND(5.36*2.2*7.2,0)</f>
        <v>85</v>
      </c>
      <c r="AC23" s="688">
        <v>7.7</v>
      </c>
      <c r="AD23" s="584">
        <f>ROUND(5.36*2.2*7.7,0)</f>
        <v>91</v>
      </c>
      <c r="AE23" s="688">
        <v>7.9</v>
      </c>
      <c r="AF23" s="584">
        <f>ROUND(5.36*2.2*7.9,0)</f>
        <v>93</v>
      </c>
      <c r="AG23" s="688">
        <v>7.9</v>
      </c>
      <c r="AH23" s="584">
        <f>ROUND(5.36*2.2*7.9,0)</f>
        <v>93</v>
      </c>
      <c r="AI23" s="688">
        <v>7.4</v>
      </c>
      <c r="AJ23" s="584">
        <f>ROUND(5.36*2.2*7.4,0)</f>
        <v>87</v>
      </c>
      <c r="AK23" s="688">
        <v>6.9</v>
      </c>
      <c r="AL23" s="584">
        <f>ROUND(5.36*2.2*6.9,0)</f>
        <v>81</v>
      </c>
      <c r="AM23" s="688">
        <v>6</v>
      </c>
      <c r="AN23" s="584">
        <f>ROUND(5.36*2.2*6,0)</f>
        <v>71</v>
      </c>
      <c r="AO23" s="688">
        <v>5.3</v>
      </c>
      <c r="AP23" s="584">
        <f>ROUND(5.36*2.2*5.3,0)</f>
        <v>62</v>
      </c>
      <c r="AQ23" s="688">
        <v>0</v>
      </c>
      <c r="AR23" s="584">
        <f>ROUND(5.36*2.2*0,0)</f>
        <v>0</v>
      </c>
      <c r="AS23" s="688">
        <v>0</v>
      </c>
      <c r="AT23" s="584">
        <f>ROUND(5.36*2.2*0,0)</f>
        <v>0</v>
      </c>
      <c r="AU23" s="688">
        <v>0</v>
      </c>
      <c r="AV23" s="584">
        <f>ROUND(5.36*2.2*0,0)</f>
        <v>0</v>
      </c>
      <c r="AW23" s="688">
        <v>0</v>
      </c>
      <c r="AX23" s="584">
        <f>ROUND(5.36*2.2*0,0)</f>
        <v>0</v>
      </c>
      <c r="AY23" s="688">
        <v>0</v>
      </c>
      <c r="AZ23" s="584">
        <f>ROUND(5.36*2.2*0,0)</f>
        <v>0</v>
      </c>
      <c r="BA23" s="688">
        <v>0</v>
      </c>
      <c r="BB23" s="586">
        <f>ROUND(5.36*2.2*0,0)</f>
        <v>0</v>
      </c>
      <c r="BC23" s="559"/>
      <c r="BD23" s="549"/>
      <c r="BE23" s="693" t="s">
        <v>263</v>
      </c>
      <c r="BF23" s="684"/>
      <c r="BG23" s="580">
        <v>5.36</v>
      </c>
      <c r="BH23" s="685">
        <v>2.2000000000000002</v>
      </c>
      <c r="BI23" s="686"/>
      <c r="BJ23" s="687">
        <v>0</v>
      </c>
      <c r="BK23" s="584">
        <f>ROUND(5.36*2.2*0,0)</f>
        <v>0</v>
      </c>
      <c r="BL23" s="688">
        <v>0</v>
      </c>
      <c r="BM23" s="584">
        <f>ROUND(5.36*2.2*0,0)</f>
        <v>0</v>
      </c>
      <c r="BN23" s="688">
        <v>0</v>
      </c>
      <c r="BO23" s="584">
        <f>ROUND(5.36*2.2*0,0)</f>
        <v>0</v>
      </c>
      <c r="BP23" s="688">
        <v>0</v>
      </c>
      <c r="BQ23" s="584">
        <f>ROUND(5.36*2.2*0,0)</f>
        <v>0</v>
      </c>
      <c r="BR23" s="688">
        <v>0</v>
      </c>
      <c r="BS23" s="584">
        <f>ROUND(5.36*2.2*0,0)</f>
        <v>0</v>
      </c>
      <c r="BT23" s="688">
        <v>0</v>
      </c>
      <c r="BU23" s="584">
        <f>ROUND(5.36*2.2*0,0)</f>
        <v>0</v>
      </c>
      <c r="BV23" s="688">
        <v>0</v>
      </c>
      <c r="BW23" s="584">
        <f>ROUND(5.36*2.2*0,0)</f>
        <v>0</v>
      </c>
      <c r="BX23" s="688">
        <v>0</v>
      </c>
      <c r="BY23" s="584">
        <f>ROUND(5.36*2.2*0,0)</f>
        <v>0</v>
      </c>
      <c r="BZ23" s="688">
        <v>5.0999999999999996</v>
      </c>
      <c r="CA23" s="584">
        <f>ROUND(5.36*2.2*5.1,0)</f>
        <v>60</v>
      </c>
      <c r="CB23" s="688">
        <v>6.1</v>
      </c>
      <c r="CC23" s="584">
        <f>ROUND(5.36*2.2*6.1,0)</f>
        <v>72</v>
      </c>
      <c r="CD23" s="688">
        <v>7</v>
      </c>
      <c r="CE23" s="584">
        <f>ROUND(5.36*2.2*7,0)</f>
        <v>83</v>
      </c>
      <c r="CF23" s="688">
        <v>7.4</v>
      </c>
      <c r="CG23" s="584">
        <f>ROUND(5.36*2.2*7.4,0)</f>
        <v>87</v>
      </c>
      <c r="CH23" s="688">
        <v>7.6</v>
      </c>
      <c r="CI23" s="584">
        <f>ROUND(5.36*2.2*7.6,0)</f>
        <v>90</v>
      </c>
      <c r="CJ23" s="688">
        <v>7.4</v>
      </c>
      <c r="CK23" s="584">
        <f>ROUND(5.36*2.2*7.4,0)</f>
        <v>87</v>
      </c>
      <c r="CL23" s="688">
        <v>6.9</v>
      </c>
      <c r="CM23" s="584">
        <f>ROUND(5.36*2.2*6.9,0)</f>
        <v>81</v>
      </c>
      <c r="CN23" s="688">
        <v>6.5</v>
      </c>
      <c r="CO23" s="584">
        <f>ROUND(5.36*2.2*6.5,0)</f>
        <v>77</v>
      </c>
      <c r="CP23" s="688">
        <v>6</v>
      </c>
      <c r="CQ23" s="584">
        <f>ROUND(5.36*2.2*6,0)</f>
        <v>71</v>
      </c>
      <c r="CR23" s="688">
        <v>5.0999999999999996</v>
      </c>
      <c r="CS23" s="584">
        <f>ROUND(5.36*2.2*5.1,0)</f>
        <v>60</v>
      </c>
      <c r="CT23" s="688">
        <v>0</v>
      </c>
      <c r="CU23" s="584">
        <f>ROUND(5.36*2.2*0,0)</f>
        <v>0</v>
      </c>
      <c r="CV23" s="688">
        <v>0</v>
      </c>
      <c r="CW23" s="584">
        <f>ROUND(5.36*2.2*0,0)</f>
        <v>0</v>
      </c>
      <c r="CX23" s="688">
        <v>0</v>
      </c>
      <c r="CY23" s="584">
        <f>ROUND(5.36*2.2*0,0)</f>
        <v>0</v>
      </c>
      <c r="CZ23" s="688">
        <v>0</v>
      </c>
      <c r="DA23" s="584">
        <f>ROUND(5.36*2.2*0,0)</f>
        <v>0</v>
      </c>
      <c r="DB23" s="688">
        <v>0</v>
      </c>
      <c r="DC23" s="584">
        <f>ROUND(5.36*2.2*0,0)</f>
        <v>0</v>
      </c>
      <c r="DD23" s="688">
        <v>0</v>
      </c>
      <c r="DE23" s="586">
        <f>ROUND(5.36*2.2*0,0)</f>
        <v>0</v>
      </c>
      <c r="DF23" s="559"/>
      <c r="DG23" s="549"/>
      <c r="DH23" s="693" t="s">
        <v>263</v>
      </c>
      <c r="DI23" s="684"/>
      <c r="DJ23" s="580">
        <v>5.36</v>
      </c>
      <c r="DK23" s="685">
        <v>2.2000000000000002</v>
      </c>
      <c r="DL23" s="686"/>
      <c r="DM23" s="687">
        <v>0</v>
      </c>
      <c r="DN23" s="584">
        <f>ROUND(5.36*2.2*0,0)</f>
        <v>0</v>
      </c>
      <c r="DO23" s="688">
        <v>0</v>
      </c>
      <c r="DP23" s="584">
        <f>ROUND(5.36*2.2*0,0)</f>
        <v>0</v>
      </c>
      <c r="DQ23" s="688">
        <v>0</v>
      </c>
      <c r="DR23" s="584">
        <f>ROUND(5.36*2.2*0,0)</f>
        <v>0</v>
      </c>
      <c r="DS23" s="688">
        <v>0</v>
      </c>
      <c r="DT23" s="584">
        <f>ROUND(5.36*2.2*0,0)</f>
        <v>0</v>
      </c>
      <c r="DU23" s="688">
        <v>0</v>
      </c>
      <c r="DV23" s="584">
        <f>ROUND(5.36*2.2*0,0)</f>
        <v>0</v>
      </c>
      <c r="DW23" s="688">
        <v>0</v>
      </c>
      <c r="DX23" s="584">
        <f>ROUND(5.36*2.2*0,0)</f>
        <v>0</v>
      </c>
      <c r="DY23" s="688">
        <v>0</v>
      </c>
      <c r="DZ23" s="584">
        <f>ROUND(5.36*2.2*0,0)</f>
        <v>0</v>
      </c>
      <c r="EA23" s="688">
        <v>0</v>
      </c>
      <c r="EB23" s="584">
        <f>ROUND(5.36*2.2*0,0)</f>
        <v>0</v>
      </c>
      <c r="EC23" s="688">
        <v>2.8</v>
      </c>
      <c r="ED23" s="584">
        <f>ROUND(5.36*2.2*2.8,0)</f>
        <v>33</v>
      </c>
      <c r="EE23" s="688">
        <v>4.0999999999999996</v>
      </c>
      <c r="EF23" s="584">
        <f>ROUND(5.36*2.2*4.1,0)</f>
        <v>48</v>
      </c>
      <c r="EG23" s="688">
        <v>4.9000000000000004</v>
      </c>
      <c r="EH23" s="584">
        <f>ROUND(5.36*2.2*4.9,0)</f>
        <v>58</v>
      </c>
      <c r="EI23" s="688">
        <v>5.6</v>
      </c>
      <c r="EJ23" s="584">
        <f>ROUND(5.36*2.2*5.6,0)</f>
        <v>66</v>
      </c>
      <c r="EK23" s="688">
        <v>5.8</v>
      </c>
      <c r="EL23" s="584">
        <f>ROUND(5.36*2.2*5.8,0)</f>
        <v>68</v>
      </c>
      <c r="EM23" s="688">
        <v>5.5</v>
      </c>
      <c r="EN23" s="584">
        <f>ROUND(5.36*2.2*5.5,0)</f>
        <v>65</v>
      </c>
      <c r="EO23" s="688">
        <v>5.0999999999999996</v>
      </c>
      <c r="EP23" s="584">
        <f>ROUND(5.36*2.2*5.1,0)</f>
        <v>60</v>
      </c>
      <c r="EQ23" s="688">
        <v>4.7</v>
      </c>
      <c r="ER23" s="584">
        <f>ROUND(5.36*2.2*4.7,0)</f>
        <v>55</v>
      </c>
      <c r="ES23" s="688">
        <v>3.7</v>
      </c>
      <c r="ET23" s="584">
        <f>ROUND(5.36*2.2*3.7,0)</f>
        <v>44</v>
      </c>
      <c r="EU23" s="688">
        <v>2.7</v>
      </c>
      <c r="EV23" s="584">
        <f>ROUND(5.36*2.2*2.7,0)</f>
        <v>32</v>
      </c>
      <c r="EW23" s="688">
        <v>0</v>
      </c>
      <c r="EX23" s="584">
        <f>ROUND(5.36*2.2*0,0)</f>
        <v>0</v>
      </c>
      <c r="EY23" s="688">
        <v>0</v>
      </c>
      <c r="EZ23" s="584">
        <f>ROUND(5.36*2.2*0,0)</f>
        <v>0</v>
      </c>
      <c r="FA23" s="688">
        <v>0</v>
      </c>
      <c r="FB23" s="584">
        <f>ROUND(5.36*2.2*0,0)</f>
        <v>0</v>
      </c>
      <c r="FC23" s="688">
        <v>0</v>
      </c>
      <c r="FD23" s="584">
        <f>ROUND(5.36*2.2*0,0)</f>
        <v>0</v>
      </c>
      <c r="FE23" s="688">
        <v>0</v>
      </c>
      <c r="FF23" s="584">
        <f>ROUND(5.36*2.2*0,0)</f>
        <v>0</v>
      </c>
      <c r="FG23" s="688">
        <v>0</v>
      </c>
      <c r="FH23" s="586">
        <f>ROUND(5.36*2.2*0,0)</f>
        <v>0</v>
      </c>
      <c r="FI23" s="560"/>
      <c r="FJ23" s="561"/>
      <c r="FK23" s="693" t="s">
        <v>263</v>
      </c>
      <c r="FL23" s="684"/>
      <c r="FM23" s="580">
        <v>5.36</v>
      </c>
      <c r="FN23" s="685">
        <v>2.2000000000000002</v>
      </c>
      <c r="FO23" s="686"/>
      <c r="FP23" s="689">
        <v>9</v>
      </c>
      <c r="FQ23" s="690">
        <v>20</v>
      </c>
      <c r="FR23" s="584">
        <f>ROUND(5.36*2.2*20,0)</f>
        <v>236</v>
      </c>
      <c r="FS23" s="691">
        <v>9</v>
      </c>
      <c r="FT23" s="690">
        <v>20.5</v>
      </c>
      <c r="FU23" s="589">
        <f>ROUND(5.36*2.2*20.5,0)</f>
        <v>242</v>
      </c>
      <c r="FV23" s="590"/>
      <c r="FW23" s="591"/>
      <c r="FX23" s="592"/>
      <c r="FY23" s="593"/>
      <c r="FZ23" s="594"/>
      <c r="GA23" s="595"/>
      <c r="GB23" s="596"/>
      <c r="GC23" s="597"/>
      <c r="GD23" s="596"/>
      <c r="GE23" s="598"/>
      <c r="GF23" s="681"/>
      <c r="GG23" s="599"/>
      <c r="GH23" s="599"/>
      <c r="GI23" s="599"/>
      <c r="GJ23" s="612"/>
      <c r="GK23" s="577" t="s">
        <v>465</v>
      </c>
      <c r="GL23" s="606"/>
      <c r="GM23" s="711"/>
      <c r="GN23" s="712">
        <v>53.3</v>
      </c>
      <c r="GO23" s="497" t="s">
        <v>466</v>
      </c>
      <c r="GP23" s="712"/>
      <c r="GQ23" s="606"/>
      <c r="GR23" s="612"/>
      <c r="GS23" s="575"/>
      <c r="GT23" s="670"/>
      <c r="GU23" s="606"/>
      <c r="GV23" s="527"/>
      <c r="GW23" s="606"/>
      <c r="GX23" s="606"/>
      <c r="GY23" s="713"/>
      <c r="GZ23" s="714"/>
      <c r="HA23" s="414"/>
      <c r="HB23" s="714" t="s">
        <v>467</v>
      </c>
      <c r="HC23" s="612"/>
      <c r="HD23" s="559"/>
      <c r="HE23" s="414"/>
      <c r="HF23" s="414"/>
      <c r="HG23" s="416"/>
    </row>
    <row r="24" spans="1:218" ht="20.100000000000001" customHeight="1">
      <c r="A24" s="549"/>
      <c r="B24" s="693"/>
      <c r="C24" s="684"/>
      <c r="D24" s="580"/>
      <c r="E24" s="685"/>
      <c r="F24" s="686"/>
      <c r="G24" s="687"/>
      <c r="H24" s="584"/>
      <c r="I24" s="688"/>
      <c r="J24" s="584"/>
      <c r="K24" s="688"/>
      <c r="L24" s="584"/>
      <c r="M24" s="688"/>
      <c r="N24" s="584"/>
      <c r="O24" s="688"/>
      <c r="P24" s="584"/>
      <c r="Q24" s="688"/>
      <c r="R24" s="584"/>
      <c r="S24" s="688"/>
      <c r="T24" s="584"/>
      <c r="U24" s="688"/>
      <c r="V24" s="584"/>
      <c r="W24" s="688"/>
      <c r="X24" s="584"/>
      <c r="Y24" s="688"/>
      <c r="Z24" s="584"/>
      <c r="AA24" s="688"/>
      <c r="AB24" s="584"/>
      <c r="AC24" s="688"/>
      <c r="AD24" s="584"/>
      <c r="AE24" s="688"/>
      <c r="AF24" s="584"/>
      <c r="AG24" s="688"/>
      <c r="AH24" s="584"/>
      <c r="AI24" s="688"/>
      <c r="AJ24" s="584"/>
      <c r="AK24" s="688"/>
      <c r="AL24" s="584"/>
      <c r="AM24" s="688"/>
      <c r="AN24" s="584"/>
      <c r="AO24" s="688"/>
      <c r="AP24" s="584"/>
      <c r="AQ24" s="688"/>
      <c r="AR24" s="584"/>
      <c r="AS24" s="688"/>
      <c r="AT24" s="584"/>
      <c r="AU24" s="688"/>
      <c r="AV24" s="584"/>
      <c r="AW24" s="688"/>
      <c r="AX24" s="584"/>
      <c r="AY24" s="688"/>
      <c r="AZ24" s="584"/>
      <c r="BA24" s="688"/>
      <c r="BB24" s="586"/>
      <c r="BC24" s="559"/>
      <c r="BD24" s="549"/>
      <c r="BE24" s="693"/>
      <c r="BF24" s="684"/>
      <c r="BG24" s="580"/>
      <c r="BH24" s="685"/>
      <c r="BI24" s="686"/>
      <c r="BJ24" s="687"/>
      <c r="BK24" s="584"/>
      <c r="BL24" s="688"/>
      <c r="BM24" s="584"/>
      <c r="BN24" s="688"/>
      <c r="BO24" s="584"/>
      <c r="BP24" s="688"/>
      <c r="BQ24" s="584"/>
      <c r="BR24" s="688"/>
      <c r="BS24" s="584"/>
      <c r="BT24" s="688"/>
      <c r="BU24" s="584"/>
      <c r="BV24" s="688"/>
      <c r="BW24" s="584"/>
      <c r="BX24" s="688"/>
      <c r="BY24" s="584"/>
      <c r="BZ24" s="688"/>
      <c r="CA24" s="584"/>
      <c r="CB24" s="688"/>
      <c r="CC24" s="584"/>
      <c r="CD24" s="688"/>
      <c r="CE24" s="584"/>
      <c r="CF24" s="688"/>
      <c r="CG24" s="584"/>
      <c r="CH24" s="688"/>
      <c r="CI24" s="584"/>
      <c r="CJ24" s="688"/>
      <c r="CK24" s="584"/>
      <c r="CL24" s="688"/>
      <c r="CM24" s="584"/>
      <c r="CN24" s="688"/>
      <c r="CO24" s="584"/>
      <c r="CP24" s="688"/>
      <c r="CQ24" s="584"/>
      <c r="CR24" s="688"/>
      <c r="CS24" s="584"/>
      <c r="CT24" s="688"/>
      <c r="CU24" s="584"/>
      <c r="CV24" s="688"/>
      <c r="CW24" s="584"/>
      <c r="CX24" s="688"/>
      <c r="CY24" s="584"/>
      <c r="CZ24" s="688"/>
      <c r="DA24" s="584"/>
      <c r="DB24" s="688"/>
      <c r="DC24" s="584"/>
      <c r="DD24" s="688"/>
      <c r="DE24" s="586"/>
      <c r="DF24" s="559"/>
      <c r="DG24" s="549"/>
      <c r="DH24" s="693"/>
      <c r="DI24" s="684"/>
      <c r="DJ24" s="580"/>
      <c r="DK24" s="685"/>
      <c r="DL24" s="686"/>
      <c r="DM24" s="687"/>
      <c r="DN24" s="584"/>
      <c r="DO24" s="688"/>
      <c r="DP24" s="584"/>
      <c r="DQ24" s="688"/>
      <c r="DR24" s="584"/>
      <c r="DS24" s="688"/>
      <c r="DT24" s="584"/>
      <c r="DU24" s="688"/>
      <c r="DV24" s="584"/>
      <c r="DW24" s="688"/>
      <c r="DX24" s="584"/>
      <c r="DY24" s="688"/>
      <c r="DZ24" s="584"/>
      <c r="EA24" s="688"/>
      <c r="EB24" s="584"/>
      <c r="EC24" s="688"/>
      <c r="ED24" s="584"/>
      <c r="EE24" s="688"/>
      <c r="EF24" s="584"/>
      <c r="EG24" s="688"/>
      <c r="EH24" s="584"/>
      <c r="EI24" s="688"/>
      <c r="EJ24" s="584"/>
      <c r="EK24" s="688"/>
      <c r="EL24" s="584"/>
      <c r="EM24" s="688"/>
      <c r="EN24" s="584"/>
      <c r="EO24" s="688"/>
      <c r="EP24" s="584"/>
      <c r="EQ24" s="688"/>
      <c r="ER24" s="584"/>
      <c r="ES24" s="688"/>
      <c r="ET24" s="584"/>
      <c r="EU24" s="688"/>
      <c r="EV24" s="584"/>
      <c r="EW24" s="688"/>
      <c r="EX24" s="584"/>
      <c r="EY24" s="688"/>
      <c r="EZ24" s="584"/>
      <c r="FA24" s="688"/>
      <c r="FB24" s="584"/>
      <c r="FC24" s="688"/>
      <c r="FD24" s="584"/>
      <c r="FE24" s="688"/>
      <c r="FF24" s="584"/>
      <c r="FG24" s="688"/>
      <c r="FH24" s="586"/>
      <c r="FI24" s="560"/>
      <c r="FJ24" s="561"/>
      <c r="FK24" s="693"/>
      <c r="FL24" s="684"/>
      <c r="FM24" s="580"/>
      <c r="FN24" s="685"/>
      <c r="FO24" s="686"/>
      <c r="FP24" s="689"/>
      <c r="FQ24" s="690"/>
      <c r="FR24" s="584"/>
      <c r="FS24" s="691"/>
      <c r="FT24" s="690"/>
      <c r="FU24" s="589"/>
      <c r="FV24" s="590"/>
      <c r="FW24" s="591"/>
      <c r="FX24" s="592"/>
      <c r="FY24" s="593"/>
      <c r="FZ24" s="594"/>
      <c r="GA24" s="595"/>
      <c r="GB24" s="596"/>
      <c r="GC24" s="597"/>
      <c r="GD24" s="596"/>
      <c r="GE24" s="598"/>
      <c r="GF24" s="681"/>
      <c r="GG24" s="599"/>
      <c r="GH24" s="599"/>
      <c r="GI24" s="599"/>
      <c r="GJ24" s="612"/>
      <c r="GK24" s="577" t="s">
        <v>468</v>
      </c>
      <c r="GL24" s="606"/>
      <c r="GM24" s="711"/>
      <c r="GN24" s="712">
        <v>0.1</v>
      </c>
      <c r="GO24" s="712"/>
      <c r="GP24" s="712"/>
      <c r="GQ24" s="606"/>
      <c r="GR24" s="612"/>
      <c r="GS24" s="606"/>
      <c r="GT24" s="670"/>
      <c r="GU24" s="577" t="s">
        <v>469</v>
      </c>
      <c r="GV24" s="606"/>
      <c r="GW24" s="606"/>
      <c r="GX24" s="414"/>
      <c r="GY24" s="715">
        <v>614</v>
      </c>
      <c r="GZ24" s="577" t="s">
        <v>470</v>
      </c>
      <c r="HA24" s="527"/>
      <c r="HB24" s="527"/>
      <c r="HC24" s="612"/>
      <c r="HD24" s="559"/>
      <c r="HE24" s="716"/>
      <c r="HF24" s="416"/>
      <c r="HG24" s="527"/>
      <c r="HH24" s="559"/>
      <c r="HI24" s="416"/>
      <c r="HJ24" s="416"/>
    </row>
    <row r="25" spans="1:218" ht="20.100000000000001" customHeight="1">
      <c r="A25" s="549"/>
      <c r="B25" s="717"/>
      <c r="C25" s="718"/>
      <c r="D25" s="615"/>
      <c r="E25" s="719"/>
      <c r="F25" s="720"/>
      <c r="G25" s="721"/>
      <c r="H25" s="619"/>
      <c r="I25" s="722"/>
      <c r="J25" s="619"/>
      <c r="K25" s="722"/>
      <c r="L25" s="619"/>
      <c r="M25" s="722"/>
      <c r="N25" s="619"/>
      <c r="O25" s="722"/>
      <c r="P25" s="619"/>
      <c r="Q25" s="722"/>
      <c r="R25" s="619"/>
      <c r="S25" s="722"/>
      <c r="T25" s="619"/>
      <c r="U25" s="722"/>
      <c r="V25" s="619"/>
      <c r="W25" s="722"/>
      <c r="X25" s="619"/>
      <c r="Y25" s="722"/>
      <c r="Z25" s="619"/>
      <c r="AA25" s="722"/>
      <c r="AB25" s="619"/>
      <c r="AC25" s="722"/>
      <c r="AD25" s="619"/>
      <c r="AE25" s="722"/>
      <c r="AF25" s="619"/>
      <c r="AG25" s="722"/>
      <c r="AH25" s="619"/>
      <c r="AI25" s="722"/>
      <c r="AJ25" s="619"/>
      <c r="AK25" s="722"/>
      <c r="AL25" s="619"/>
      <c r="AM25" s="722"/>
      <c r="AN25" s="619"/>
      <c r="AO25" s="722"/>
      <c r="AP25" s="619"/>
      <c r="AQ25" s="722"/>
      <c r="AR25" s="619"/>
      <c r="AS25" s="722"/>
      <c r="AT25" s="619"/>
      <c r="AU25" s="722"/>
      <c r="AV25" s="619"/>
      <c r="AW25" s="722"/>
      <c r="AX25" s="619"/>
      <c r="AY25" s="722"/>
      <c r="AZ25" s="619"/>
      <c r="BA25" s="722"/>
      <c r="BB25" s="621"/>
      <c r="BC25" s="559"/>
      <c r="BD25" s="549"/>
      <c r="BE25" s="717"/>
      <c r="BF25" s="718"/>
      <c r="BG25" s="615"/>
      <c r="BH25" s="719"/>
      <c r="BI25" s="720"/>
      <c r="BJ25" s="721"/>
      <c r="BK25" s="619"/>
      <c r="BL25" s="722"/>
      <c r="BM25" s="619"/>
      <c r="BN25" s="722"/>
      <c r="BO25" s="619"/>
      <c r="BP25" s="722"/>
      <c r="BQ25" s="619"/>
      <c r="BR25" s="722"/>
      <c r="BS25" s="619"/>
      <c r="BT25" s="722"/>
      <c r="BU25" s="619"/>
      <c r="BV25" s="722"/>
      <c r="BW25" s="619"/>
      <c r="BX25" s="722"/>
      <c r="BY25" s="619"/>
      <c r="BZ25" s="722"/>
      <c r="CA25" s="619"/>
      <c r="CB25" s="722"/>
      <c r="CC25" s="619"/>
      <c r="CD25" s="722"/>
      <c r="CE25" s="619"/>
      <c r="CF25" s="722"/>
      <c r="CG25" s="619"/>
      <c r="CH25" s="722"/>
      <c r="CI25" s="619"/>
      <c r="CJ25" s="722"/>
      <c r="CK25" s="619"/>
      <c r="CL25" s="722"/>
      <c r="CM25" s="619"/>
      <c r="CN25" s="722"/>
      <c r="CO25" s="619"/>
      <c r="CP25" s="722"/>
      <c r="CQ25" s="619"/>
      <c r="CR25" s="722"/>
      <c r="CS25" s="619"/>
      <c r="CT25" s="722"/>
      <c r="CU25" s="619"/>
      <c r="CV25" s="722"/>
      <c r="CW25" s="619"/>
      <c r="CX25" s="722"/>
      <c r="CY25" s="619"/>
      <c r="CZ25" s="722"/>
      <c r="DA25" s="619"/>
      <c r="DB25" s="722"/>
      <c r="DC25" s="619"/>
      <c r="DD25" s="722"/>
      <c r="DE25" s="621"/>
      <c r="DF25" s="559"/>
      <c r="DG25" s="549"/>
      <c r="DH25" s="717"/>
      <c r="DI25" s="718"/>
      <c r="DJ25" s="615"/>
      <c r="DK25" s="719"/>
      <c r="DL25" s="720"/>
      <c r="DM25" s="721"/>
      <c r="DN25" s="619"/>
      <c r="DO25" s="722"/>
      <c r="DP25" s="619"/>
      <c r="DQ25" s="722"/>
      <c r="DR25" s="619"/>
      <c r="DS25" s="722"/>
      <c r="DT25" s="619"/>
      <c r="DU25" s="722"/>
      <c r="DV25" s="619"/>
      <c r="DW25" s="722"/>
      <c r="DX25" s="619"/>
      <c r="DY25" s="722"/>
      <c r="DZ25" s="619"/>
      <c r="EA25" s="722"/>
      <c r="EB25" s="619"/>
      <c r="EC25" s="722"/>
      <c r="ED25" s="619"/>
      <c r="EE25" s="722"/>
      <c r="EF25" s="619"/>
      <c r="EG25" s="722"/>
      <c r="EH25" s="619"/>
      <c r="EI25" s="722"/>
      <c r="EJ25" s="619"/>
      <c r="EK25" s="722"/>
      <c r="EL25" s="619"/>
      <c r="EM25" s="722"/>
      <c r="EN25" s="619"/>
      <c r="EO25" s="722"/>
      <c r="EP25" s="619"/>
      <c r="EQ25" s="722"/>
      <c r="ER25" s="619"/>
      <c r="ES25" s="722"/>
      <c r="ET25" s="619"/>
      <c r="EU25" s="722"/>
      <c r="EV25" s="619"/>
      <c r="EW25" s="722"/>
      <c r="EX25" s="619"/>
      <c r="EY25" s="722"/>
      <c r="EZ25" s="619"/>
      <c r="FA25" s="722"/>
      <c r="FB25" s="619"/>
      <c r="FC25" s="722"/>
      <c r="FD25" s="619"/>
      <c r="FE25" s="722"/>
      <c r="FF25" s="619"/>
      <c r="FG25" s="722"/>
      <c r="FH25" s="621"/>
      <c r="FI25" s="560"/>
      <c r="FJ25" s="561"/>
      <c r="FK25" s="717"/>
      <c r="FL25" s="718"/>
      <c r="FM25" s="615"/>
      <c r="FN25" s="719"/>
      <c r="FO25" s="720"/>
      <c r="FP25" s="723"/>
      <c r="FQ25" s="724"/>
      <c r="FR25" s="619"/>
      <c r="FS25" s="725"/>
      <c r="FT25" s="724"/>
      <c r="FU25" s="624"/>
      <c r="FV25" s="590"/>
      <c r="FW25" s="591"/>
      <c r="FX25" s="592"/>
      <c r="FY25" s="593"/>
      <c r="FZ25" s="594"/>
      <c r="GA25" s="595"/>
      <c r="GB25" s="596"/>
      <c r="GC25" s="597"/>
      <c r="GD25" s="596"/>
      <c r="GE25" s="598"/>
      <c r="GF25" s="681"/>
      <c r="GG25" s="599"/>
      <c r="GH25" s="599"/>
      <c r="GI25" s="599"/>
      <c r="GJ25" s="497"/>
      <c r="GK25" s="498"/>
      <c r="GL25" s="498"/>
      <c r="GM25" s="498"/>
      <c r="GN25" s="498"/>
      <c r="GO25" s="498"/>
      <c r="GP25" s="498"/>
      <c r="GQ25" s="498"/>
      <c r="GR25" s="498"/>
      <c r="GS25" s="414"/>
      <c r="GT25" s="670"/>
      <c r="GU25" s="577" t="s">
        <v>471</v>
      </c>
      <c r="GV25" s="606"/>
      <c r="GW25" s="606"/>
      <c r="GX25" s="414"/>
      <c r="GY25" s="726">
        <v>1</v>
      </c>
      <c r="GZ25" s="577"/>
      <c r="HA25" s="527"/>
      <c r="HB25" s="527"/>
      <c r="HC25" s="527"/>
      <c r="HD25" s="559"/>
      <c r="HE25" s="559"/>
      <c r="HF25" s="416"/>
      <c r="HG25" s="416"/>
    </row>
    <row r="26" spans="1:218" ht="20.100000000000001" customHeight="1">
      <c r="A26" s="638"/>
      <c r="B26" s="639"/>
      <c r="C26" s="639"/>
      <c r="D26" s="639" t="s">
        <v>531</v>
      </c>
      <c r="E26" s="639"/>
      <c r="F26" s="639"/>
      <c r="G26" s="641"/>
      <c r="H26" s="642">
        <f>SUM(H16:H25)</f>
        <v>0</v>
      </c>
      <c r="I26" s="727"/>
      <c r="J26" s="642">
        <f>SUM(J16:J25)</f>
        <v>0</v>
      </c>
      <c r="K26" s="728"/>
      <c r="L26" s="642">
        <f>SUM(L16:L25)</f>
        <v>0</v>
      </c>
      <c r="M26" s="728"/>
      <c r="N26" s="642">
        <f>SUM(N16:N25)</f>
        <v>0</v>
      </c>
      <c r="O26" s="728"/>
      <c r="P26" s="642">
        <f>SUM(P16:P25)</f>
        <v>0</v>
      </c>
      <c r="Q26" s="728"/>
      <c r="R26" s="642">
        <f>SUM(R16:R25)</f>
        <v>0</v>
      </c>
      <c r="S26" s="728"/>
      <c r="T26" s="642">
        <f>SUM(T16:T25)</f>
        <v>0</v>
      </c>
      <c r="U26" s="728"/>
      <c r="V26" s="642">
        <f>SUM(V16:V25)</f>
        <v>0</v>
      </c>
      <c r="W26" s="728"/>
      <c r="X26" s="642">
        <f>SUM(X16:X25)</f>
        <v>844</v>
      </c>
      <c r="Y26" s="728"/>
      <c r="Z26" s="642">
        <f>SUM(Z16:Z25)</f>
        <v>997</v>
      </c>
      <c r="AA26" s="728"/>
      <c r="AB26" s="642">
        <f>SUM(AB16:AB25)</f>
        <v>1102</v>
      </c>
      <c r="AC26" s="728"/>
      <c r="AD26" s="642">
        <f>SUM(AD16:AD25)</f>
        <v>1167</v>
      </c>
      <c r="AE26" s="728"/>
      <c r="AF26" s="642">
        <f>SUM(AF16:AF25)</f>
        <v>1204</v>
      </c>
      <c r="AG26" s="728"/>
      <c r="AH26" s="642">
        <f>SUM(AH16:AH25)</f>
        <v>1225</v>
      </c>
      <c r="AI26" s="728"/>
      <c r="AJ26" s="642">
        <f>SUM(AJ16:AJ25)</f>
        <v>1196</v>
      </c>
      <c r="AK26" s="728"/>
      <c r="AL26" s="642">
        <f>SUM(AL16:AL25)</f>
        <v>1163</v>
      </c>
      <c r="AM26" s="728"/>
      <c r="AN26" s="642">
        <f>SUM(AN16:AN25)</f>
        <v>1086</v>
      </c>
      <c r="AO26" s="728"/>
      <c r="AP26" s="642">
        <f>SUM(AP16:AP25)</f>
        <v>1009</v>
      </c>
      <c r="AQ26" s="728"/>
      <c r="AR26" s="642">
        <f>SUM(AR16:AR25)</f>
        <v>0</v>
      </c>
      <c r="AS26" s="728"/>
      <c r="AT26" s="642">
        <f>SUM(AT16:AT25)</f>
        <v>0</v>
      </c>
      <c r="AU26" s="728"/>
      <c r="AV26" s="642">
        <f>SUM(AV16:AV25)</f>
        <v>0</v>
      </c>
      <c r="AW26" s="728"/>
      <c r="AX26" s="642">
        <f>SUM(AX16:AX25)</f>
        <v>0</v>
      </c>
      <c r="AY26" s="728"/>
      <c r="AZ26" s="642">
        <f>SUM(AZ16:AZ25)</f>
        <v>0</v>
      </c>
      <c r="BA26" s="728"/>
      <c r="BB26" s="644">
        <f>SUM(BB16:BB25)</f>
        <v>0</v>
      </c>
      <c r="BC26" s="645"/>
      <c r="BD26" s="638"/>
      <c r="BE26" s="639"/>
      <c r="BF26" s="639"/>
      <c r="BG26" s="639" t="s">
        <v>531</v>
      </c>
      <c r="BH26" s="639"/>
      <c r="BI26" s="639"/>
      <c r="BJ26" s="641"/>
      <c r="BK26" s="642">
        <f>SUM(BK16:BK25)</f>
        <v>0</v>
      </c>
      <c r="BL26" s="727"/>
      <c r="BM26" s="642">
        <f>SUM(BM16:BM25)</f>
        <v>0</v>
      </c>
      <c r="BN26" s="728"/>
      <c r="BO26" s="642">
        <f>SUM(BO16:BO25)</f>
        <v>0</v>
      </c>
      <c r="BP26" s="728"/>
      <c r="BQ26" s="642">
        <f>SUM(BQ16:BQ25)</f>
        <v>0</v>
      </c>
      <c r="BR26" s="728"/>
      <c r="BS26" s="642">
        <f>SUM(BS16:BS25)</f>
        <v>0</v>
      </c>
      <c r="BT26" s="728"/>
      <c r="BU26" s="642">
        <f>SUM(BU16:BU25)</f>
        <v>0</v>
      </c>
      <c r="BV26" s="728"/>
      <c r="BW26" s="642">
        <f>SUM(BW16:BW25)</f>
        <v>0</v>
      </c>
      <c r="BX26" s="728"/>
      <c r="BY26" s="642">
        <f>SUM(BY16:BY25)</f>
        <v>0</v>
      </c>
      <c r="BZ26" s="728"/>
      <c r="CA26" s="642">
        <f>SUM(CA16:CA25)</f>
        <v>926</v>
      </c>
      <c r="CB26" s="728"/>
      <c r="CC26" s="642">
        <f>SUM(CC16:CC25)</f>
        <v>1050</v>
      </c>
      <c r="CD26" s="728"/>
      <c r="CE26" s="642">
        <f>SUM(CE16:CE25)</f>
        <v>1140</v>
      </c>
      <c r="CF26" s="728"/>
      <c r="CG26" s="642">
        <f>SUM(CG16:CG25)</f>
        <v>1174</v>
      </c>
      <c r="CH26" s="728"/>
      <c r="CI26" s="642">
        <f>SUM(CI16:CI25)</f>
        <v>1184</v>
      </c>
      <c r="CJ26" s="728"/>
      <c r="CK26" s="642">
        <f>SUM(CK16:CK25)</f>
        <v>1166</v>
      </c>
      <c r="CL26" s="728"/>
      <c r="CM26" s="642">
        <f>SUM(CM16:CM25)</f>
        <v>1135</v>
      </c>
      <c r="CN26" s="728"/>
      <c r="CO26" s="642">
        <f>SUM(CO16:CO25)</f>
        <v>1114</v>
      </c>
      <c r="CP26" s="728"/>
      <c r="CQ26" s="642">
        <f>SUM(CQ16:CQ25)</f>
        <v>1066</v>
      </c>
      <c r="CR26" s="728"/>
      <c r="CS26" s="642">
        <f>SUM(CS16:CS25)</f>
        <v>982</v>
      </c>
      <c r="CT26" s="728"/>
      <c r="CU26" s="642">
        <f>SUM(CU16:CU25)</f>
        <v>0</v>
      </c>
      <c r="CV26" s="728"/>
      <c r="CW26" s="642">
        <f>SUM(CW16:CW25)</f>
        <v>0</v>
      </c>
      <c r="CX26" s="728"/>
      <c r="CY26" s="642">
        <f>SUM(CY16:CY25)</f>
        <v>0</v>
      </c>
      <c r="CZ26" s="728"/>
      <c r="DA26" s="642">
        <f>SUM(DA16:DA25)</f>
        <v>0</v>
      </c>
      <c r="DB26" s="728"/>
      <c r="DC26" s="642">
        <f>SUM(DC16:DC25)</f>
        <v>0</v>
      </c>
      <c r="DD26" s="728"/>
      <c r="DE26" s="644">
        <f>SUM(DE16:DE25)</f>
        <v>0</v>
      </c>
      <c r="DF26" s="645"/>
      <c r="DG26" s="638"/>
      <c r="DH26" s="639"/>
      <c r="DI26" s="639"/>
      <c r="DJ26" s="639" t="s">
        <v>531</v>
      </c>
      <c r="DK26" s="639"/>
      <c r="DL26" s="639"/>
      <c r="DM26" s="641"/>
      <c r="DN26" s="642">
        <f>SUM(DN16:DN25)</f>
        <v>0</v>
      </c>
      <c r="DO26" s="727"/>
      <c r="DP26" s="642">
        <f>SUM(DP16:DP25)</f>
        <v>0</v>
      </c>
      <c r="DQ26" s="728"/>
      <c r="DR26" s="642">
        <f>SUM(DR16:DR25)</f>
        <v>0</v>
      </c>
      <c r="DS26" s="728"/>
      <c r="DT26" s="642">
        <f>SUM(DT16:DT25)</f>
        <v>0</v>
      </c>
      <c r="DU26" s="728"/>
      <c r="DV26" s="642">
        <f>SUM(DV16:DV25)</f>
        <v>0</v>
      </c>
      <c r="DW26" s="728"/>
      <c r="DX26" s="642">
        <f>SUM(DX16:DX25)</f>
        <v>0</v>
      </c>
      <c r="DY26" s="728"/>
      <c r="DZ26" s="642">
        <f>SUM(DZ16:DZ25)</f>
        <v>0</v>
      </c>
      <c r="EA26" s="728"/>
      <c r="EB26" s="642">
        <f>SUM(EB16:EB25)</f>
        <v>0</v>
      </c>
      <c r="EC26" s="728"/>
      <c r="ED26" s="642">
        <f>SUM(ED16:ED25)</f>
        <v>551</v>
      </c>
      <c r="EE26" s="728"/>
      <c r="EF26" s="642">
        <f>SUM(EF16:EF25)</f>
        <v>711</v>
      </c>
      <c r="EG26" s="728"/>
      <c r="EH26" s="642">
        <f>SUM(EH16:EH25)</f>
        <v>823</v>
      </c>
      <c r="EI26" s="728"/>
      <c r="EJ26" s="642">
        <f>SUM(EJ16:EJ25)</f>
        <v>899</v>
      </c>
      <c r="EK26" s="728"/>
      <c r="EL26" s="642">
        <f>SUM(EL16:EL25)</f>
        <v>917</v>
      </c>
      <c r="EM26" s="728"/>
      <c r="EN26" s="642">
        <f>SUM(EN16:EN25)</f>
        <v>906</v>
      </c>
      <c r="EO26" s="728"/>
      <c r="EP26" s="642">
        <f>SUM(EP16:EP25)</f>
        <v>888</v>
      </c>
      <c r="EQ26" s="728"/>
      <c r="ER26" s="642">
        <f>SUM(ER16:ER25)</f>
        <v>868</v>
      </c>
      <c r="ES26" s="728"/>
      <c r="ET26" s="642">
        <f>SUM(ET16:ET25)</f>
        <v>790</v>
      </c>
      <c r="EU26" s="728"/>
      <c r="EV26" s="642">
        <f>SUM(EV16:EV25)</f>
        <v>696</v>
      </c>
      <c r="EW26" s="728"/>
      <c r="EX26" s="642">
        <f>SUM(EX16:EX25)</f>
        <v>0</v>
      </c>
      <c r="EY26" s="728"/>
      <c r="EZ26" s="642">
        <f>SUM(EZ16:EZ25)</f>
        <v>0</v>
      </c>
      <c r="FA26" s="728"/>
      <c r="FB26" s="642">
        <f>SUM(FB16:FB25)</f>
        <v>0</v>
      </c>
      <c r="FC26" s="728"/>
      <c r="FD26" s="642">
        <f>SUM(FD16:FD25)</f>
        <v>0</v>
      </c>
      <c r="FE26" s="728"/>
      <c r="FF26" s="642">
        <f>SUM(FF16:FF25)</f>
        <v>0</v>
      </c>
      <c r="FG26" s="728"/>
      <c r="FH26" s="644">
        <f>SUM(FH16:FH25)</f>
        <v>0</v>
      </c>
      <c r="FI26" s="646"/>
      <c r="FJ26" s="561"/>
      <c r="FK26" s="639"/>
      <c r="FL26" s="639"/>
      <c r="FM26" s="639" t="s">
        <v>531</v>
      </c>
      <c r="FN26" s="639"/>
      <c r="FO26" s="639"/>
      <c r="FP26" s="647"/>
      <c r="FQ26" s="648"/>
      <c r="FR26" s="642">
        <f>SUM(FR16:FR25)</f>
        <v>2776</v>
      </c>
      <c r="FS26" s="729"/>
      <c r="FT26" s="648"/>
      <c r="FU26" s="650">
        <f>SUM(FU16:FU25)</f>
        <v>2838</v>
      </c>
      <c r="FV26" s="590"/>
      <c r="FW26" s="591"/>
      <c r="FX26" s="592"/>
      <c r="FY26" s="593"/>
      <c r="FZ26" s="594"/>
      <c r="GA26" s="595"/>
      <c r="GB26" s="596"/>
      <c r="GC26" s="597"/>
      <c r="GD26" s="596"/>
      <c r="GE26" s="598"/>
      <c r="GF26" s="651"/>
      <c r="GG26" s="652"/>
      <c r="GH26" s="652"/>
      <c r="GI26" s="652"/>
      <c r="GJ26" s="612"/>
      <c r="GK26" s="527" t="s">
        <v>472</v>
      </c>
      <c r="GL26" s="612"/>
      <c r="GM26" s="527"/>
      <c r="GN26" s="612"/>
      <c r="GO26" s="527"/>
      <c r="GP26" s="612"/>
      <c r="GQ26" s="612"/>
      <c r="GR26" s="612"/>
      <c r="GS26" s="576"/>
      <c r="GT26" s="670"/>
      <c r="GU26" s="577" t="s">
        <v>473</v>
      </c>
      <c r="GV26" s="606"/>
      <c r="GW26" s="606"/>
      <c r="GX26" s="414"/>
      <c r="GY26" s="726">
        <v>0.3</v>
      </c>
      <c r="GZ26" s="577"/>
      <c r="HA26" s="527"/>
      <c r="HB26" s="527"/>
      <c r="HC26" s="527"/>
      <c r="HD26" s="645"/>
      <c r="HE26" s="416"/>
      <c r="HF26" s="416"/>
      <c r="HG26" s="577"/>
      <c r="HH26" s="645"/>
      <c r="HI26" s="416"/>
      <c r="HJ26" s="416"/>
    </row>
    <row r="27" spans="1:218" ht="20.100000000000001" customHeight="1">
      <c r="A27" s="730" t="s">
        <v>396</v>
      </c>
      <c r="B27" s="731"/>
      <c r="C27" s="732"/>
      <c r="D27" s="660"/>
      <c r="E27" s="732"/>
      <c r="F27" s="732"/>
      <c r="G27" s="733" t="s">
        <v>397</v>
      </c>
      <c r="H27" s="660" t="s">
        <v>398</v>
      </c>
      <c r="I27" s="734" t="s">
        <v>397</v>
      </c>
      <c r="J27" s="660" t="s">
        <v>398</v>
      </c>
      <c r="K27" s="735" t="s">
        <v>397</v>
      </c>
      <c r="L27" s="660" t="s">
        <v>398</v>
      </c>
      <c r="M27" s="735" t="s">
        <v>397</v>
      </c>
      <c r="N27" s="660" t="s">
        <v>398</v>
      </c>
      <c r="O27" s="735" t="s">
        <v>397</v>
      </c>
      <c r="P27" s="660" t="s">
        <v>398</v>
      </c>
      <c r="Q27" s="735" t="s">
        <v>397</v>
      </c>
      <c r="R27" s="660" t="s">
        <v>398</v>
      </c>
      <c r="S27" s="735" t="s">
        <v>397</v>
      </c>
      <c r="T27" s="660" t="s">
        <v>398</v>
      </c>
      <c r="U27" s="735" t="s">
        <v>397</v>
      </c>
      <c r="V27" s="660" t="s">
        <v>398</v>
      </c>
      <c r="W27" s="735" t="s">
        <v>397</v>
      </c>
      <c r="X27" s="660" t="s">
        <v>398</v>
      </c>
      <c r="Y27" s="735" t="s">
        <v>397</v>
      </c>
      <c r="Z27" s="660" t="s">
        <v>398</v>
      </c>
      <c r="AA27" s="735" t="s">
        <v>397</v>
      </c>
      <c r="AB27" s="660" t="s">
        <v>398</v>
      </c>
      <c r="AC27" s="735" t="s">
        <v>397</v>
      </c>
      <c r="AD27" s="660" t="s">
        <v>398</v>
      </c>
      <c r="AE27" s="735" t="s">
        <v>397</v>
      </c>
      <c r="AF27" s="660" t="s">
        <v>398</v>
      </c>
      <c r="AG27" s="735" t="s">
        <v>397</v>
      </c>
      <c r="AH27" s="660" t="s">
        <v>398</v>
      </c>
      <c r="AI27" s="735" t="s">
        <v>397</v>
      </c>
      <c r="AJ27" s="660" t="s">
        <v>398</v>
      </c>
      <c r="AK27" s="735" t="s">
        <v>397</v>
      </c>
      <c r="AL27" s="660" t="s">
        <v>398</v>
      </c>
      <c r="AM27" s="735" t="s">
        <v>397</v>
      </c>
      <c r="AN27" s="660" t="s">
        <v>398</v>
      </c>
      <c r="AO27" s="735" t="s">
        <v>397</v>
      </c>
      <c r="AP27" s="660" t="s">
        <v>398</v>
      </c>
      <c r="AQ27" s="735" t="s">
        <v>397</v>
      </c>
      <c r="AR27" s="660" t="s">
        <v>398</v>
      </c>
      <c r="AS27" s="735" t="s">
        <v>397</v>
      </c>
      <c r="AT27" s="660" t="s">
        <v>398</v>
      </c>
      <c r="AU27" s="735" t="s">
        <v>397</v>
      </c>
      <c r="AV27" s="660" t="s">
        <v>398</v>
      </c>
      <c r="AW27" s="735" t="s">
        <v>397</v>
      </c>
      <c r="AX27" s="660" t="s">
        <v>398</v>
      </c>
      <c r="AY27" s="735" t="s">
        <v>397</v>
      </c>
      <c r="AZ27" s="660" t="s">
        <v>398</v>
      </c>
      <c r="BA27" s="735" t="s">
        <v>397</v>
      </c>
      <c r="BB27" s="662" t="s">
        <v>398</v>
      </c>
      <c r="BC27" s="716"/>
      <c r="BD27" s="730" t="s">
        <v>396</v>
      </c>
      <c r="BE27" s="731"/>
      <c r="BF27" s="732"/>
      <c r="BG27" s="660"/>
      <c r="BH27" s="732"/>
      <c r="BI27" s="732"/>
      <c r="BJ27" s="733" t="s">
        <v>397</v>
      </c>
      <c r="BK27" s="660" t="s">
        <v>398</v>
      </c>
      <c r="BL27" s="734" t="s">
        <v>397</v>
      </c>
      <c r="BM27" s="660" t="s">
        <v>398</v>
      </c>
      <c r="BN27" s="735" t="s">
        <v>397</v>
      </c>
      <c r="BO27" s="660" t="s">
        <v>398</v>
      </c>
      <c r="BP27" s="735" t="s">
        <v>397</v>
      </c>
      <c r="BQ27" s="660" t="s">
        <v>398</v>
      </c>
      <c r="BR27" s="735" t="s">
        <v>397</v>
      </c>
      <c r="BS27" s="660" t="s">
        <v>398</v>
      </c>
      <c r="BT27" s="735" t="s">
        <v>397</v>
      </c>
      <c r="BU27" s="660" t="s">
        <v>398</v>
      </c>
      <c r="BV27" s="735" t="s">
        <v>397</v>
      </c>
      <c r="BW27" s="660" t="s">
        <v>398</v>
      </c>
      <c r="BX27" s="735" t="s">
        <v>397</v>
      </c>
      <c r="BY27" s="660" t="s">
        <v>398</v>
      </c>
      <c r="BZ27" s="735" t="s">
        <v>397</v>
      </c>
      <c r="CA27" s="660" t="s">
        <v>398</v>
      </c>
      <c r="CB27" s="735" t="s">
        <v>397</v>
      </c>
      <c r="CC27" s="660" t="s">
        <v>398</v>
      </c>
      <c r="CD27" s="735" t="s">
        <v>397</v>
      </c>
      <c r="CE27" s="660" t="s">
        <v>398</v>
      </c>
      <c r="CF27" s="735" t="s">
        <v>397</v>
      </c>
      <c r="CG27" s="660" t="s">
        <v>398</v>
      </c>
      <c r="CH27" s="735" t="s">
        <v>397</v>
      </c>
      <c r="CI27" s="660" t="s">
        <v>398</v>
      </c>
      <c r="CJ27" s="735" t="s">
        <v>397</v>
      </c>
      <c r="CK27" s="660" t="s">
        <v>398</v>
      </c>
      <c r="CL27" s="735" t="s">
        <v>397</v>
      </c>
      <c r="CM27" s="660" t="s">
        <v>398</v>
      </c>
      <c r="CN27" s="735" t="s">
        <v>397</v>
      </c>
      <c r="CO27" s="660" t="s">
        <v>398</v>
      </c>
      <c r="CP27" s="735" t="s">
        <v>397</v>
      </c>
      <c r="CQ27" s="660" t="s">
        <v>398</v>
      </c>
      <c r="CR27" s="735" t="s">
        <v>397</v>
      </c>
      <c r="CS27" s="660" t="s">
        <v>398</v>
      </c>
      <c r="CT27" s="735" t="s">
        <v>397</v>
      </c>
      <c r="CU27" s="660" t="s">
        <v>398</v>
      </c>
      <c r="CV27" s="735" t="s">
        <v>397</v>
      </c>
      <c r="CW27" s="660" t="s">
        <v>398</v>
      </c>
      <c r="CX27" s="735" t="s">
        <v>397</v>
      </c>
      <c r="CY27" s="660" t="s">
        <v>398</v>
      </c>
      <c r="CZ27" s="735" t="s">
        <v>397</v>
      </c>
      <c r="DA27" s="660" t="s">
        <v>398</v>
      </c>
      <c r="DB27" s="735" t="s">
        <v>397</v>
      </c>
      <c r="DC27" s="660" t="s">
        <v>398</v>
      </c>
      <c r="DD27" s="735" t="s">
        <v>397</v>
      </c>
      <c r="DE27" s="662" t="s">
        <v>398</v>
      </c>
      <c r="DF27" s="716"/>
      <c r="DG27" s="730" t="s">
        <v>396</v>
      </c>
      <c r="DH27" s="736"/>
      <c r="DI27" s="737"/>
      <c r="DJ27" s="738"/>
      <c r="DK27" s="737"/>
      <c r="DL27" s="737"/>
      <c r="DM27" s="733" t="s">
        <v>397</v>
      </c>
      <c r="DN27" s="660" t="s">
        <v>398</v>
      </c>
      <c r="DO27" s="734" t="s">
        <v>397</v>
      </c>
      <c r="DP27" s="660" t="s">
        <v>398</v>
      </c>
      <c r="DQ27" s="735" t="s">
        <v>397</v>
      </c>
      <c r="DR27" s="660" t="s">
        <v>398</v>
      </c>
      <c r="DS27" s="735" t="s">
        <v>397</v>
      </c>
      <c r="DT27" s="660" t="s">
        <v>398</v>
      </c>
      <c r="DU27" s="735" t="s">
        <v>397</v>
      </c>
      <c r="DV27" s="660" t="s">
        <v>398</v>
      </c>
      <c r="DW27" s="735" t="s">
        <v>397</v>
      </c>
      <c r="DX27" s="660" t="s">
        <v>398</v>
      </c>
      <c r="DY27" s="735" t="s">
        <v>397</v>
      </c>
      <c r="DZ27" s="660" t="s">
        <v>398</v>
      </c>
      <c r="EA27" s="735" t="s">
        <v>397</v>
      </c>
      <c r="EB27" s="660" t="s">
        <v>398</v>
      </c>
      <c r="EC27" s="735" t="s">
        <v>397</v>
      </c>
      <c r="ED27" s="660" t="s">
        <v>398</v>
      </c>
      <c r="EE27" s="735" t="s">
        <v>397</v>
      </c>
      <c r="EF27" s="660" t="s">
        <v>398</v>
      </c>
      <c r="EG27" s="735" t="s">
        <v>397</v>
      </c>
      <c r="EH27" s="660" t="s">
        <v>398</v>
      </c>
      <c r="EI27" s="735" t="s">
        <v>397</v>
      </c>
      <c r="EJ27" s="660" t="s">
        <v>398</v>
      </c>
      <c r="EK27" s="735" t="s">
        <v>397</v>
      </c>
      <c r="EL27" s="660" t="s">
        <v>398</v>
      </c>
      <c r="EM27" s="735" t="s">
        <v>397</v>
      </c>
      <c r="EN27" s="660" t="s">
        <v>398</v>
      </c>
      <c r="EO27" s="735" t="s">
        <v>397</v>
      </c>
      <c r="EP27" s="660" t="s">
        <v>398</v>
      </c>
      <c r="EQ27" s="735" t="s">
        <v>397</v>
      </c>
      <c r="ER27" s="660" t="s">
        <v>398</v>
      </c>
      <c r="ES27" s="735" t="s">
        <v>397</v>
      </c>
      <c r="ET27" s="660" t="s">
        <v>398</v>
      </c>
      <c r="EU27" s="735" t="s">
        <v>397</v>
      </c>
      <c r="EV27" s="660" t="s">
        <v>398</v>
      </c>
      <c r="EW27" s="735" t="s">
        <v>397</v>
      </c>
      <c r="EX27" s="660" t="s">
        <v>398</v>
      </c>
      <c r="EY27" s="735" t="s">
        <v>397</v>
      </c>
      <c r="EZ27" s="660" t="s">
        <v>398</v>
      </c>
      <c r="FA27" s="735" t="s">
        <v>397</v>
      </c>
      <c r="FB27" s="660" t="s">
        <v>398</v>
      </c>
      <c r="FC27" s="735" t="s">
        <v>397</v>
      </c>
      <c r="FD27" s="660" t="s">
        <v>398</v>
      </c>
      <c r="FE27" s="735" t="s">
        <v>397</v>
      </c>
      <c r="FF27" s="660" t="s">
        <v>398</v>
      </c>
      <c r="FG27" s="735" t="s">
        <v>397</v>
      </c>
      <c r="FH27" s="662" t="s">
        <v>398</v>
      </c>
      <c r="FI27" s="739"/>
      <c r="FJ27" s="539" t="s">
        <v>396</v>
      </c>
      <c r="FK27" s="736"/>
      <c r="FL27" s="737"/>
      <c r="FM27" s="738"/>
      <c r="FN27" s="737"/>
      <c r="FO27" s="737"/>
      <c r="FP27" s="740" t="s">
        <v>401</v>
      </c>
      <c r="FQ27" s="666" t="s">
        <v>397</v>
      </c>
      <c r="FR27" s="660" t="s">
        <v>402</v>
      </c>
      <c r="FS27" s="741" t="s">
        <v>401</v>
      </c>
      <c r="FT27" s="666" t="s">
        <v>397</v>
      </c>
      <c r="FU27" s="668" t="s">
        <v>402</v>
      </c>
      <c r="FV27" s="590"/>
      <c r="FW27" s="591"/>
      <c r="FX27" s="592"/>
      <c r="FY27" s="593"/>
      <c r="FZ27" s="594"/>
      <c r="GA27" s="595"/>
      <c r="GB27" s="596"/>
      <c r="GC27" s="597"/>
      <c r="GD27" s="596"/>
      <c r="GE27" s="598"/>
      <c r="GF27" s="742"/>
      <c r="GG27" s="743"/>
      <c r="GH27" s="743"/>
      <c r="GI27" s="743"/>
      <c r="GJ27" s="612"/>
      <c r="GK27" s="527" t="s">
        <v>474</v>
      </c>
      <c r="GL27" s="612"/>
      <c r="GM27" s="612"/>
      <c r="GN27" s="612"/>
      <c r="GO27" s="414"/>
      <c r="GP27" s="744">
        <v>27.3</v>
      </c>
      <c r="GQ27" s="414" t="s">
        <v>475</v>
      </c>
      <c r="GR27" s="414"/>
      <c r="GS27" s="576"/>
      <c r="GT27" s="497"/>
      <c r="GU27" s="497"/>
      <c r="GV27" s="497"/>
      <c r="GW27" s="576"/>
      <c r="GX27" s="576"/>
      <c r="GY27" s="576"/>
      <c r="GZ27" s="575"/>
      <c r="HA27" s="497"/>
      <c r="HB27" s="497"/>
      <c r="HC27" s="527"/>
      <c r="HD27" s="410"/>
      <c r="HE27" s="416"/>
      <c r="HF27" s="416"/>
      <c r="HG27" s="416"/>
      <c r="HH27" s="416"/>
    </row>
    <row r="28" spans="1:218" ht="20.100000000000001" customHeight="1">
      <c r="A28" s="549"/>
      <c r="B28" s="745" t="s">
        <v>403</v>
      </c>
      <c r="C28" s="746"/>
      <c r="D28" s="747">
        <v>71</v>
      </c>
      <c r="E28" s="748">
        <v>2</v>
      </c>
      <c r="F28" s="749" t="s">
        <v>404</v>
      </c>
      <c r="G28" s="750"/>
      <c r="H28" s="556"/>
      <c r="I28" s="751"/>
      <c r="J28" s="556"/>
      <c r="K28" s="751"/>
      <c r="L28" s="556"/>
      <c r="M28" s="751"/>
      <c r="N28" s="556"/>
      <c r="O28" s="751"/>
      <c r="P28" s="556"/>
      <c r="Q28" s="751"/>
      <c r="R28" s="556"/>
      <c r="S28" s="751"/>
      <c r="T28" s="556"/>
      <c r="U28" s="751"/>
      <c r="V28" s="556"/>
      <c r="W28" s="751">
        <v>1</v>
      </c>
      <c r="X28" s="556">
        <v>142</v>
      </c>
      <c r="Y28" s="751">
        <v>1</v>
      </c>
      <c r="Z28" s="556">
        <v>142</v>
      </c>
      <c r="AA28" s="751">
        <v>1</v>
      </c>
      <c r="AB28" s="556">
        <v>142</v>
      </c>
      <c r="AC28" s="751">
        <v>1</v>
      </c>
      <c r="AD28" s="556">
        <v>142</v>
      </c>
      <c r="AE28" s="751">
        <v>1</v>
      </c>
      <c r="AF28" s="556">
        <v>142</v>
      </c>
      <c r="AG28" s="751">
        <v>1</v>
      </c>
      <c r="AH28" s="556">
        <v>142</v>
      </c>
      <c r="AI28" s="751">
        <v>1</v>
      </c>
      <c r="AJ28" s="556">
        <v>142</v>
      </c>
      <c r="AK28" s="751">
        <v>1</v>
      </c>
      <c r="AL28" s="556">
        <v>142</v>
      </c>
      <c r="AM28" s="751">
        <v>1</v>
      </c>
      <c r="AN28" s="556">
        <v>142</v>
      </c>
      <c r="AO28" s="751">
        <v>1</v>
      </c>
      <c r="AP28" s="556">
        <v>142</v>
      </c>
      <c r="AQ28" s="751"/>
      <c r="AR28" s="556"/>
      <c r="AS28" s="751"/>
      <c r="AT28" s="556"/>
      <c r="AU28" s="751"/>
      <c r="AV28" s="556"/>
      <c r="AW28" s="751"/>
      <c r="AX28" s="556"/>
      <c r="AY28" s="751"/>
      <c r="AZ28" s="556"/>
      <c r="BA28" s="751"/>
      <c r="BB28" s="677"/>
      <c r="BC28" s="559"/>
      <c r="BD28" s="549"/>
      <c r="BE28" s="745" t="s">
        <v>403</v>
      </c>
      <c r="BF28" s="746"/>
      <c r="BG28" s="747">
        <v>71</v>
      </c>
      <c r="BH28" s="748">
        <v>2</v>
      </c>
      <c r="BI28" s="749" t="s">
        <v>404</v>
      </c>
      <c r="BJ28" s="750"/>
      <c r="BK28" s="556"/>
      <c r="BL28" s="751"/>
      <c r="BM28" s="556"/>
      <c r="BN28" s="751"/>
      <c r="BO28" s="556"/>
      <c r="BP28" s="751"/>
      <c r="BQ28" s="556"/>
      <c r="BR28" s="751"/>
      <c r="BS28" s="556"/>
      <c r="BT28" s="751"/>
      <c r="BU28" s="556"/>
      <c r="BV28" s="751"/>
      <c r="BW28" s="556"/>
      <c r="BX28" s="751"/>
      <c r="BY28" s="556"/>
      <c r="BZ28" s="751">
        <v>1</v>
      </c>
      <c r="CA28" s="556">
        <v>142</v>
      </c>
      <c r="CB28" s="751">
        <v>1</v>
      </c>
      <c r="CC28" s="556">
        <v>142</v>
      </c>
      <c r="CD28" s="751">
        <v>1</v>
      </c>
      <c r="CE28" s="556">
        <v>142</v>
      </c>
      <c r="CF28" s="751">
        <v>1</v>
      </c>
      <c r="CG28" s="556">
        <v>142</v>
      </c>
      <c r="CH28" s="751">
        <v>1</v>
      </c>
      <c r="CI28" s="556">
        <v>142</v>
      </c>
      <c r="CJ28" s="751">
        <v>1</v>
      </c>
      <c r="CK28" s="556">
        <v>142</v>
      </c>
      <c r="CL28" s="751">
        <v>1</v>
      </c>
      <c r="CM28" s="556">
        <v>142</v>
      </c>
      <c r="CN28" s="751">
        <v>1</v>
      </c>
      <c r="CO28" s="556">
        <v>142</v>
      </c>
      <c r="CP28" s="751">
        <v>1</v>
      </c>
      <c r="CQ28" s="556">
        <v>142</v>
      </c>
      <c r="CR28" s="751">
        <v>1</v>
      </c>
      <c r="CS28" s="556">
        <v>142</v>
      </c>
      <c r="CT28" s="751"/>
      <c r="CU28" s="556"/>
      <c r="CV28" s="751"/>
      <c r="CW28" s="556"/>
      <c r="CX28" s="751"/>
      <c r="CY28" s="556"/>
      <c r="CZ28" s="751"/>
      <c r="DA28" s="556"/>
      <c r="DB28" s="751"/>
      <c r="DC28" s="556"/>
      <c r="DD28" s="751"/>
      <c r="DE28" s="677"/>
      <c r="DF28" s="559"/>
      <c r="DG28" s="549"/>
      <c r="DH28" s="745" t="s">
        <v>403</v>
      </c>
      <c r="DI28" s="746"/>
      <c r="DJ28" s="747">
        <v>71</v>
      </c>
      <c r="DK28" s="748">
        <v>2</v>
      </c>
      <c r="DL28" s="749" t="s">
        <v>404</v>
      </c>
      <c r="DM28" s="750"/>
      <c r="DN28" s="556"/>
      <c r="DO28" s="751"/>
      <c r="DP28" s="556"/>
      <c r="DQ28" s="751"/>
      <c r="DR28" s="556"/>
      <c r="DS28" s="751"/>
      <c r="DT28" s="556"/>
      <c r="DU28" s="751"/>
      <c r="DV28" s="556"/>
      <c r="DW28" s="751"/>
      <c r="DX28" s="556"/>
      <c r="DY28" s="751"/>
      <c r="DZ28" s="556"/>
      <c r="EA28" s="751"/>
      <c r="EB28" s="556"/>
      <c r="EC28" s="751">
        <v>1</v>
      </c>
      <c r="ED28" s="556">
        <v>142</v>
      </c>
      <c r="EE28" s="751">
        <v>1</v>
      </c>
      <c r="EF28" s="556">
        <v>142</v>
      </c>
      <c r="EG28" s="751">
        <v>1</v>
      </c>
      <c r="EH28" s="556">
        <v>142</v>
      </c>
      <c r="EI28" s="751">
        <v>1</v>
      </c>
      <c r="EJ28" s="556">
        <v>142</v>
      </c>
      <c r="EK28" s="751">
        <v>1</v>
      </c>
      <c r="EL28" s="556">
        <v>142</v>
      </c>
      <c r="EM28" s="751">
        <v>1</v>
      </c>
      <c r="EN28" s="556">
        <v>142</v>
      </c>
      <c r="EO28" s="751">
        <v>1</v>
      </c>
      <c r="EP28" s="556">
        <v>142</v>
      </c>
      <c r="EQ28" s="751">
        <v>1</v>
      </c>
      <c r="ER28" s="556">
        <v>142</v>
      </c>
      <c r="ES28" s="751">
        <v>1</v>
      </c>
      <c r="ET28" s="556">
        <v>142</v>
      </c>
      <c r="EU28" s="751">
        <v>1</v>
      </c>
      <c r="EV28" s="556">
        <v>142</v>
      </c>
      <c r="EW28" s="751"/>
      <c r="EX28" s="556"/>
      <c r="EY28" s="751"/>
      <c r="EZ28" s="556"/>
      <c r="FA28" s="751"/>
      <c r="FB28" s="556"/>
      <c r="FC28" s="751"/>
      <c r="FD28" s="556"/>
      <c r="FE28" s="751"/>
      <c r="FF28" s="556"/>
      <c r="FG28" s="751"/>
      <c r="FH28" s="677"/>
      <c r="FI28" s="560"/>
      <c r="FJ28" s="561"/>
      <c r="FK28" s="745" t="s">
        <v>403</v>
      </c>
      <c r="FL28" s="746"/>
      <c r="FM28" s="752"/>
      <c r="FN28" s="748">
        <v>0</v>
      </c>
      <c r="FO28" s="749"/>
      <c r="FP28" s="678"/>
      <c r="FQ28" s="753"/>
      <c r="FR28" s="556">
        <v>0</v>
      </c>
      <c r="FS28" s="754"/>
      <c r="FT28" s="753"/>
      <c r="FU28" s="564">
        <v>0</v>
      </c>
      <c r="FV28" s="590"/>
      <c r="FW28" s="591"/>
      <c r="FX28" s="592"/>
      <c r="FY28" s="593"/>
      <c r="FZ28" s="594"/>
      <c r="GA28" s="595"/>
      <c r="GB28" s="596"/>
      <c r="GC28" s="597"/>
      <c r="GD28" s="596"/>
      <c r="GE28" s="598"/>
      <c r="GF28" s="755"/>
      <c r="GG28" s="599"/>
      <c r="GH28" s="599"/>
      <c r="GI28" s="599"/>
      <c r="GJ28" s="612"/>
      <c r="GK28" s="527" t="s">
        <v>476</v>
      </c>
      <c r="GL28" s="414"/>
      <c r="GM28" s="414"/>
      <c r="GN28" s="414"/>
      <c r="GO28" s="527"/>
      <c r="GP28" s="744">
        <v>26</v>
      </c>
      <c r="GQ28" s="414" t="s">
        <v>475</v>
      </c>
      <c r="GR28" s="726"/>
      <c r="GS28" s="527"/>
      <c r="GT28" s="756"/>
      <c r="GU28" s="577" t="s">
        <v>477</v>
      </c>
      <c r="GV28" s="606"/>
      <c r="GW28" s="527"/>
      <c r="GX28" s="526"/>
      <c r="GY28" s="410"/>
      <c r="GZ28" s="612"/>
      <c r="HA28" s="527"/>
      <c r="HB28" s="527"/>
      <c r="HC28" s="527"/>
      <c r="HD28" s="527"/>
      <c r="HE28" s="416"/>
      <c r="HF28" s="416"/>
      <c r="HG28" s="416"/>
      <c r="HH28" s="416"/>
    </row>
    <row r="29" spans="1:218" ht="20.100000000000001" customHeight="1" thickBot="1">
      <c r="A29" s="549"/>
      <c r="B29" s="757" t="s">
        <v>405</v>
      </c>
      <c r="C29" s="758"/>
      <c r="D29" s="759">
        <v>15</v>
      </c>
      <c r="E29" s="760">
        <v>53.3</v>
      </c>
      <c r="F29" s="761" t="s">
        <v>404</v>
      </c>
      <c r="G29" s="762"/>
      <c r="H29" s="584"/>
      <c r="I29" s="763"/>
      <c r="J29" s="584"/>
      <c r="K29" s="763"/>
      <c r="L29" s="584"/>
      <c r="M29" s="763"/>
      <c r="N29" s="584"/>
      <c r="O29" s="763"/>
      <c r="P29" s="584"/>
      <c r="Q29" s="763"/>
      <c r="R29" s="584"/>
      <c r="S29" s="763"/>
      <c r="T29" s="584"/>
      <c r="U29" s="763"/>
      <c r="V29" s="584"/>
      <c r="W29" s="763">
        <v>1</v>
      </c>
      <c r="X29" s="584">
        <v>800</v>
      </c>
      <c r="Y29" s="763">
        <v>1</v>
      </c>
      <c r="Z29" s="584">
        <v>800</v>
      </c>
      <c r="AA29" s="763">
        <v>1</v>
      </c>
      <c r="AB29" s="584">
        <v>800</v>
      </c>
      <c r="AC29" s="763">
        <v>1</v>
      </c>
      <c r="AD29" s="584">
        <v>800</v>
      </c>
      <c r="AE29" s="763">
        <v>1</v>
      </c>
      <c r="AF29" s="584">
        <v>800</v>
      </c>
      <c r="AG29" s="763">
        <v>1</v>
      </c>
      <c r="AH29" s="584">
        <v>800</v>
      </c>
      <c r="AI29" s="763">
        <v>1</v>
      </c>
      <c r="AJ29" s="584">
        <v>800</v>
      </c>
      <c r="AK29" s="763">
        <v>1</v>
      </c>
      <c r="AL29" s="584">
        <v>800</v>
      </c>
      <c r="AM29" s="763">
        <v>1</v>
      </c>
      <c r="AN29" s="584">
        <v>800</v>
      </c>
      <c r="AO29" s="763">
        <v>1</v>
      </c>
      <c r="AP29" s="584">
        <v>800</v>
      </c>
      <c r="AQ29" s="763"/>
      <c r="AR29" s="584"/>
      <c r="AS29" s="763"/>
      <c r="AT29" s="584"/>
      <c r="AU29" s="763"/>
      <c r="AV29" s="584"/>
      <c r="AW29" s="763"/>
      <c r="AX29" s="584"/>
      <c r="AY29" s="763"/>
      <c r="AZ29" s="584"/>
      <c r="BA29" s="763"/>
      <c r="BB29" s="586"/>
      <c r="BC29" s="559"/>
      <c r="BD29" s="549"/>
      <c r="BE29" s="757" t="s">
        <v>405</v>
      </c>
      <c r="BF29" s="758"/>
      <c r="BG29" s="759">
        <v>15</v>
      </c>
      <c r="BH29" s="760">
        <v>53.3</v>
      </c>
      <c r="BI29" s="761" t="s">
        <v>404</v>
      </c>
      <c r="BJ29" s="762"/>
      <c r="BK29" s="584"/>
      <c r="BL29" s="763"/>
      <c r="BM29" s="584"/>
      <c r="BN29" s="763"/>
      <c r="BO29" s="584"/>
      <c r="BP29" s="763"/>
      <c r="BQ29" s="584"/>
      <c r="BR29" s="763"/>
      <c r="BS29" s="584"/>
      <c r="BT29" s="763"/>
      <c r="BU29" s="584"/>
      <c r="BV29" s="763"/>
      <c r="BW29" s="584"/>
      <c r="BX29" s="763"/>
      <c r="BY29" s="584"/>
      <c r="BZ29" s="763">
        <v>1</v>
      </c>
      <c r="CA29" s="584">
        <v>800</v>
      </c>
      <c r="CB29" s="763">
        <v>1</v>
      </c>
      <c r="CC29" s="584">
        <v>800</v>
      </c>
      <c r="CD29" s="763">
        <v>1</v>
      </c>
      <c r="CE29" s="584">
        <v>800</v>
      </c>
      <c r="CF29" s="763">
        <v>1</v>
      </c>
      <c r="CG29" s="584">
        <v>800</v>
      </c>
      <c r="CH29" s="763">
        <v>1</v>
      </c>
      <c r="CI29" s="584">
        <v>800</v>
      </c>
      <c r="CJ29" s="763">
        <v>1</v>
      </c>
      <c r="CK29" s="584">
        <v>800</v>
      </c>
      <c r="CL29" s="763">
        <v>1</v>
      </c>
      <c r="CM29" s="584">
        <v>800</v>
      </c>
      <c r="CN29" s="763">
        <v>1</v>
      </c>
      <c r="CO29" s="584">
        <v>800</v>
      </c>
      <c r="CP29" s="763">
        <v>1</v>
      </c>
      <c r="CQ29" s="584">
        <v>800</v>
      </c>
      <c r="CR29" s="763">
        <v>1</v>
      </c>
      <c r="CS29" s="584">
        <v>800</v>
      </c>
      <c r="CT29" s="763"/>
      <c r="CU29" s="584"/>
      <c r="CV29" s="763"/>
      <c r="CW29" s="584"/>
      <c r="CX29" s="763"/>
      <c r="CY29" s="584"/>
      <c r="CZ29" s="763"/>
      <c r="DA29" s="584"/>
      <c r="DB29" s="763"/>
      <c r="DC29" s="584"/>
      <c r="DD29" s="763"/>
      <c r="DE29" s="586"/>
      <c r="DF29" s="559"/>
      <c r="DG29" s="549"/>
      <c r="DH29" s="757" t="s">
        <v>405</v>
      </c>
      <c r="DI29" s="758"/>
      <c r="DJ29" s="759">
        <v>15</v>
      </c>
      <c r="DK29" s="760">
        <v>53.3</v>
      </c>
      <c r="DL29" s="761" t="s">
        <v>404</v>
      </c>
      <c r="DM29" s="762"/>
      <c r="DN29" s="584"/>
      <c r="DO29" s="763"/>
      <c r="DP29" s="584"/>
      <c r="DQ29" s="763"/>
      <c r="DR29" s="584"/>
      <c r="DS29" s="763"/>
      <c r="DT29" s="584"/>
      <c r="DU29" s="763"/>
      <c r="DV29" s="584"/>
      <c r="DW29" s="763"/>
      <c r="DX29" s="584"/>
      <c r="DY29" s="763"/>
      <c r="DZ29" s="584"/>
      <c r="EA29" s="763"/>
      <c r="EB29" s="584"/>
      <c r="EC29" s="763">
        <v>1</v>
      </c>
      <c r="ED29" s="584">
        <v>800</v>
      </c>
      <c r="EE29" s="763">
        <v>1</v>
      </c>
      <c r="EF29" s="584">
        <v>800</v>
      </c>
      <c r="EG29" s="763">
        <v>1</v>
      </c>
      <c r="EH29" s="584">
        <v>800</v>
      </c>
      <c r="EI29" s="763">
        <v>1</v>
      </c>
      <c r="EJ29" s="584">
        <v>800</v>
      </c>
      <c r="EK29" s="763">
        <v>1</v>
      </c>
      <c r="EL29" s="584">
        <v>800</v>
      </c>
      <c r="EM29" s="763">
        <v>1</v>
      </c>
      <c r="EN29" s="584">
        <v>800</v>
      </c>
      <c r="EO29" s="763">
        <v>1</v>
      </c>
      <c r="EP29" s="584">
        <v>800</v>
      </c>
      <c r="EQ29" s="763">
        <v>1</v>
      </c>
      <c r="ER29" s="584">
        <v>800</v>
      </c>
      <c r="ES29" s="763">
        <v>1</v>
      </c>
      <c r="ET29" s="584">
        <v>800</v>
      </c>
      <c r="EU29" s="763">
        <v>1</v>
      </c>
      <c r="EV29" s="584">
        <v>800</v>
      </c>
      <c r="EW29" s="763"/>
      <c r="EX29" s="584"/>
      <c r="EY29" s="763"/>
      <c r="EZ29" s="584"/>
      <c r="FA29" s="763"/>
      <c r="FB29" s="584"/>
      <c r="FC29" s="763"/>
      <c r="FD29" s="584"/>
      <c r="FE29" s="763"/>
      <c r="FF29" s="584"/>
      <c r="FG29" s="763"/>
      <c r="FH29" s="586"/>
      <c r="FI29" s="560"/>
      <c r="FJ29" s="561"/>
      <c r="FK29" s="757" t="s">
        <v>405</v>
      </c>
      <c r="FL29" s="758"/>
      <c r="FM29" s="764"/>
      <c r="FN29" s="760">
        <v>0</v>
      </c>
      <c r="FO29" s="761"/>
      <c r="FP29" s="689"/>
      <c r="FQ29" s="765"/>
      <c r="FR29" s="584">
        <v>0</v>
      </c>
      <c r="FS29" s="766"/>
      <c r="FT29" s="765"/>
      <c r="FU29" s="589">
        <v>0</v>
      </c>
      <c r="FV29" s="590"/>
      <c r="FW29" s="591"/>
      <c r="FX29" s="592"/>
      <c r="FY29" s="593"/>
      <c r="FZ29" s="594"/>
      <c r="GA29" s="595"/>
      <c r="GB29" s="596"/>
      <c r="GC29" s="597"/>
      <c r="GD29" s="596"/>
      <c r="GE29" s="598"/>
      <c r="GF29" s="755"/>
      <c r="GG29" s="599"/>
      <c r="GH29" s="599"/>
      <c r="GI29" s="599"/>
      <c r="GJ29" s="612"/>
      <c r="GK29" s="767" t="s">
        <v>478</v>
      </c>
      <c r="GL29" s="767"/>
      <c r="GM29" s="767"/>
      <c r="GN29" s="767"/>
      <c r="GO29" s="612"/>
      <c r="GP29" s="744">
        <v>1.3000000000000007</v>
      </c>
      <c r="GQ29" s="414" t="s">
        <v>475</v>
      </c>
      <c r="GR29" s="768"/>
      <c r="GS29" s="527"/>
      <c r="GT29" s="756"/>
      <c r="GU29" s="577" t="s">
        <v>479</v>
      </c>
      <c r="GV29" s="606"/>
      <c r="GW29" s="527"/>
      <c r="GX29" s="526"/>
      <c r="GY29" s="410"/>
      <c r="GZ29" s="527"/>
      <c r="HA29" s="577"/>
      <c r="HB29" s="577"/>
      <c r="HC29" s="576"/>
      <c r="HD29" s="527"/>
      <c r="HE29" s="416"/>
      <c r="HF29" s="416"/>
    </row>
    <row r="30" spans="1:218" ht="20.100000000000001" customHeight="1">
      <c r="A30" s="549"/>
      <c r="B30" s="757" t="s">
        <v>406</v>
      </c>
      <c r="C30" s="759"/>
      <c r="D30" s="760">
        <v>0</v>
      </c>
      <c r="E30" s="769"/>
      <c r="F30" s="770"/>
      <c r="G30" s="762"/>
      <c r="H30" s="584"/>
      <c r="I30" s="763"/>
      <c r="J30" s="584"/>
      <c r="K30" s="763"/>
      <c r="L30" s="584"/>
      <c r="M30" s="763"/>
      <c r="N30" s="584"/>
      <c r="O30" s="763"/>
      <c r="P30" s="584"/>
      <c r="Q30" s="763"/>
      <c r="R30" s="584"/>
      <c r="S30" s="763"/>
      <c r="T30" s="584"/>
      <c r="U30" s="763"/>
      <c r="V30" s="584"/>
      <c r="W30" s="763"/>
      <c r="X30" s="584">
        <v>0</v>
      </c>
      <c r="Y30" s="763"/>
      <c r="Z30" s="584">
        <v>0</v>
      </c>
      <c r="AA30" s="763"/>
      <c r="AB30" s="584">
        <v>0</v>
      </c>
      <c r="AC30" s="763"/>
      <c r="AD30" s="584">
        <v>0</v>
      </c>
      <c r="AE30" s="763"/>
      <c r="AF30" s="584">
        <v>0</v>
      </c>
      <c r="AG30" s="763"/>
      <c r="AH30" s="584">
        <v>0</v>
      </c>
      <c r="AI30" s="763"/>
      <c r="AJ30" s="584">
        <v>0</v>
      </c>
      <c r="AK30" s="763"/>
      <c r="AL30" s="584">
        <v>0</v>
      </c>
      <c r="AM30" s="763"/>
      <c r="AN30" s="584">
        <v>0</v>
      </c>
      <c r="AO30" s="763"/>
      <c r="AP30" s="584">
        <v>0</v>
      </c>
      <c r="AQ30" s="763"/>
      <c r="AR30" s="584"/>
      <c r="AS30" s="763"/>
      <c r="AT30" s="584"/>
      <c r="AU30" s="763"/>
      <c r="AV30" s="584"/>
      <c r="AW30" s="763"/>
      <c r="AX30" s="584"/>
      <c r="AY30" s="763"/>
      <c r="AZ30" s="584"/>
      <c r="BA30" s="763"/>
      <c r="BB30" s="586"/>
      <c r="BC30" s="559"/>
      <c r="BD30" s="549"/>
      <c r="BE30" s="757" t="s">
        <v>406</v>
      </c>
      <c r="BF30" s="759">
        <v>0</v>
      </c>
      <c r="BG30" s="760">
        <v>0</v>
      </c>
      <c r="BH30" s="769">
        <v>0</v>
      </c>
      <c r="BI30" s="770"/>
      <c r="BJ30" s="762"/>
      <c r="BK30" s="584"/>
      <c r="BL30" s="763"/>
      <c r="BM30" s="584"/>
      <c r="BN30" s="763"/>
      <c r="BO30" s="584"/>
      <c r="BP30" s="763"/>
      <c r="BQ30" s="584"/>
      <c r="BR30" s="763"/>
      <c r="BS30" s="584"/>
      <c r="BT30" s="763"/>
      <c r="BU30" s="584"/>
      <c r="BV30" s="763"/>
      <c r="BW30" s="584"/>
      <c r="BX30" s="763"/>
      <c r="BY30" s="584"/>
      <c r="BZ30" s="763"/>
      <c r="CA30" s="584">
        <v>0</v>
      </c>
      <c r="CB30" s="763"/>
      <c r="CC30" s="584">
        <v>0</v>
      </c>
      <c r="CD30" s="763"/>
      <c r="CE30" s="584">
        <v>0</v>
      </c>
      <c r="CF30" s="763"/>
      <c r="CG30" s="584">
        <v>0</v>
      </c>
      <c r="CH30" s="763"/>
      <c r="CI30" s="584">
        <v>0</v>
      </c>
      <c r="CJ30" s="763"/>
      <c r="CK30" s="584">
        <v>0</v>
      </c>
      <c r="CL30" s="763"/>
      <c r="CM30" s="584">
        <v>0</v>
      </c>
      <c r="CN30" s="763"/>
      <c r="CO30" s="584">
        <v>0</v>
      </c>
      <c r="CP30" s="763"/>
      <c r="CQ30" s="584">
        <v>0</v>
      </c>
      <c r="CR30" s="763"/>
      <c r="CS30" s="584">
        <v>0</v>
      </c>
      <c r="CT30" s="763"/>
      <c r="CU30" s="584"/>
      <c r="CV30" s="763"/>
      <c r="CW30" s="584"/>
      <c r="CX30" s="763"/>
      <c r="CY30" s="584"/>
      <c r="CZ30" s="763"/>
      <c r="DA30" s="584"/>
      <c r="DB30" s="763"/>
      <c r="DC30" s="584"/>
      <c r="DD30" s="763"/>
      <c r="DE30" s="586"/>
      <c r="DF30" s="559"/>
      <c r="DG30" s="549"/>
      <c r="DH30" s="757" t="s">
        <v>406</v>
      </c>
      <c r="DI30" s="759">
        <v>0</v>
      </c>
      <c r="DJ30" s="760">
        <v>0</v>
      </c>
      <c r="DK30" s="769">
        <v>0</v>
      </c>
      <c r="DL30" s="770"/>
      <c r="DM30" s="762"/>
      <c r="DN30" s="584"/>
      <c r="DO30" s="763"/>
      <c r="DP30" s="584"/>
      <c r="DQ30" s="763"/>
      <c r="DR30" s="584"/>
      <c r="DS30" s="763"/>
      <c r="DT30" s="584"/>
      <c r="DU30" s="763"/>
      <c r="DV30" s="584"/>
      <c r="DW30" s="763"/>
      <c r="DX30" s="584"/>
      <c r="DY30" s="763"/>
      <c r="DZ30" s="584"/>
      <c r="EA30" s="763"/>
      <c r="EB30" s="584"/>
      <c r="EC30" s="763"/>
      <c r="ED30" s="584">
        <v>0</v>
      </c>
      <c r="EE30" s="763"/>
      <c r="EF30" s="584">
        <v>0</v>
      </c>
      <c r="EG30" s="763"/>
      <c r="EH30" s="584">
        <v>0</v>
      </c>
      <c r="EI30" s="763"/>
      <c r="EJ30" s="584">
        <v>0</v>
      </c>
      <c r="EK30" s="763"/>
      <c r="EL30" s="584">
        <v>0</v>
      </c>
      <c r="EM30" s="763"/>
      <c r="EN30" s="584">
        <v>0</v>
      </c>
      <c r="EO30" s="763"/>
      <c r="EP30" s="584">
        <v>0</v>
      </c>
      <c r="EQ30" s="763"/>
      <c r="ER30" s="584">
        <v>0</v>
      </c>
      <c r="ES30" s="763"/>
      <c r="ET30" s="584">
        <v>0</v>
      </c>
      <c r="EU30" s="763"/>
      <c r="EV30" s="584">
        <v>0</v>
      </c>
      <c r="EW30" s="763"/>
      <c r="EX30" s="584"/>
      <c r="EY30" s="763"/>
      <c r="EZ30" s="584"/>
      <c r="FA30" s="763"/>
      <c r="FB30" s="584"/>
      <c r="FC30" s="763"/>
      <c r="FD30" s="584"/>
      <c r="FE30" s="763"/>
      <c r="FF30" s="584"/>
      <c r="FG30" s="763"/>
      <c r="FH30" s="586"/>
      <c r="FI30" s="560"/>
      <c r="FJ30" s="561"/>
      <c r="FK30" s="757" t="s">
        <v>406</v>
      </c>
      <c r="FL30" s="764"/>
      <c r="FM30" s="760">
        <v>0</v>
      </c>
      <c r="FN30" s="769">
        <v>0</v>
      </c>
      <c r="FO30" s="770"/>
      <c r="FP30" s="689"/>
      <c r="FQ30" s="765"/>
      <c r="FR30" s="584">
        <v>0</v>
      </c>
      <c r="FS30" s="766"/>
      <c r="FT30" s="765"/>
      <c r="FU30" s="589">
        <v>0</v>
      </c>
      <c r="FV30" s="590"/>
      <c r="FW30" s="591"/>
      <c r="FX30" s="592"/>
      <c r="FY30" s="593"/>
      <c r="FZ30" s="594"/>
      <c r="GA30" s="595"/>
      <c r="GB30" s="596"/>
      <c r="GC30" s="597"/>
      <c r="GD30" s="596"/>
      <c r="GE30" s="598"/>
      <c r="GF30" s="755"/>
      <c r="GG30" s="599"/>
      <c r="GH30" s="599"/>
      <c r="GI30" s="599"/>
      <c r="GJ30" s="612"/>
      <c r="GK30" s="767" t="s">
        <v>480</v>
      </c>
      <c r="GL30" s="767"/>
      <c r="GM30" s="767"/>
      <c r="GN30" s="767"/>
      <c r="GO30" s="527"/>
      <c r="GP30" s="771">
        <v>0</v>
      </c>
      <c r="GQ30" s="414"/>
      <c r="GR30" s="414"/>
      <c r="GS30" s="527"/>
      <c r="GT30" s="756"/>
      <c r="GU30" s="772" t="s">
        <v>370</v>
      </c>
      <c r="GV30" s="773"/>
      <c r="GW30" s="774" t="s">
        <v>481</v>
      </c>
      <c r="GX30" s="774"/>
      <c r="GY30" s="774"/>
      <c r="GZ30" s="774"/>
      <c r="HA30" s="775"/>
      <c r="HB30" s="776" t="s">
        <v>482</v>
      </c>
      <c r="HC30" s="576"/>
      <c r="HD30" s="559"/>
      <c r="HE30" s="416"/>
      <c r="HF30" s="416"/>
    </row>
    <row r="31" spans="1:218" ht="20.100000000000001" customHeight="1">
      <c r="A31" s="549"/>
      <c r="B31" s="777" t="s">
        <v>407</v>
      </c>
      <c r="C31" s="777"/>
      <c r="D31" s="778"/>
      <c r="E31" s="779"/>
      <c r="F31" s="780"/>
      <c r="G31" s="762"/>
      <c r="H31" s="584"/>
      <c r="I31" s="763"/>
      <c r="J31" s="584"/>
      <c r="K31" s="763"/>
      <c r="L31" s="584"/>
      <c r="M31" s="763"/>
      <c r="N31" s="584"/>
      <c r="O31" s="763"/>
      <c r="P31" s="584"/>
      <c r="Q31" s="763"/>
      <c r="R31" s="584"/>
      <c r="S31" s="763"/>
      <c r="T31" s="584"/>
      <c r="U31" s="763"/>
      <c r="V31" s="584"/>
      <c r="W31" s="763"/>
      <c r="X31" s="584">
        <v>0</v>
      </c>
      <c r="Y31" s="763"/>
      <c r="Z31" s="584">
        <v>0</v>
      </c>
      <c r="AA31" s="763"/>
      <c r="AB31" s="584">
        <v>0</v>
      </c>
      <c r="AC31" s="763"/>
      <c r="AD31" s="584">
        <v>0</v>
      </c>
      <c r="AE31" s="763"/>
      <c r="AF31" s="584">
        <v>0</v>
      </c>
      <c r="AG31" s="763"/>
      <c r="AH31" s="584">
        <v>0</v>
      </c>
      <c r="AI31" s="763"/>
      <c r="AJ31" s="584">
        <v>0</v>
      </c>
      <c r="AK31" s="763"/>
      <c r="AL31" s="584">
        <v>0</v>
      </c>
      <c r="AM31" s="763"/>
      <c r="AN31" s="584">
        <v>0</v>
      </c>
      <c r="AO31" s="763"/>
      <c r="AP31" s="584">
        <v>0</v>
      </c>
      <c r="AQ31" s="763"/>
      <c r="AR31" s="584"/>
      <c r="AS31" s="763"/>
      <c r="AT31" s="584"/>
      <c r="AU31" s="763"/>
      <c r="AV31" s="584"/>
      <c r="AW31" s="763"/>
      <c r="AX31" s="584"/>
      <c r="AY31" s="763"/>
      <c r="AZ31" s="584"/>
      <c r="BA31" s="763"/>
      <c r="BB31" s="586"/>
      <c r="BC31" s="559"/>
      <c r="BD31" s="549"/>
      <c r="BE31" s="777" t="s">
        <v>407</v>
      </c>
      <c r="BF31" s="777"/>
      <c r="BG31" s="778">
        <v>0</v>
      </c>
      <c r="BH31" s="779">
        <v>0</v>
      </c>
      <c r="BI31" s="780"/>
      <c r="BJ31" s="762"/>
      <c r="BK31" s="584"/>
      <c r="BL31" s="763"/>
      <c r="BM31" s="584"/>
      <c r="BN31" s="763"/>
      <c r="BO31" s="584"/>
      <c r="BP31" s="763"/>
      <c r="BQ31" s="584"/>
      <c r="BR31" s="763"/>
      <c r="BS31" s="584"/>
      <c r="BT31" s="763"/>
      <c r="BU31" s="584"/>
      <c r="BV31" s="763"/>
      <c r="BW31" s="584"/>
      <c r="BX31" s="763"/>
      <c r="BY31" s="584"/>
      <c r="BZ31" s="763"/>
      <c r="CA31" s="584">
        <v>0</v>
      </c>
      <c r="CB31" s="763"/>
      <c r="CC31" s="584">
        <v>0</v>
      </c>
      <c r="CD31" s="763"/>
      <c r="CE31" s="584">
        <v>0</v>
      </c>
      <c r="CF31" s="763"/>
      <c r="CG31" s="584">
        <v>0</v>
      </c>
      <c r="CH31" s="763"/>
      <c r="CI31" s="584">
        <v>0</v>
      </c>
      <c r="CJ31" s="763"/>
      <c r="CK31" s="584">
        <v>0</v>
      </c>
      <c r="CL31" s="763"/>
      <c r="CM31" s="584">
        <v>0</v>
      </c>
      <c r="CN31" s="763"/>
      <c r="CO31" s="584">
        <v>0</v>
      </c>
      <c r="CP31" s="763"/>
      <c r="CQ31" s="584">
        <v>0</v>
      </c>
      <c r="CR31" s="763"/>
      <c r="CS31" s="584">
        <v>0</v>
      </c>
      <c r="CT31" s="763"/>
      <c r="CU31" s="584"/>
      <c r="CV31" s="763"/>
      <c r="CW31" s="584"/>
      <c r="CX31" s="763"/>
      <c r="CY31" s="584"/>
      <c r="CZ31" s="763"/>
      <c r="DA31" s="584"/>
      <c r="DB31" s="763"/>
      <c r="DC31" s="584"/>
      <c r="DD31" s="763"/>
      <c r="DE31" s="586"/>
      <c r="DF31" s="559"/>
      <c r="DG31" s="549"/>
      <c r="DH31" s="777" t="s">
        <v>407</v>
      </c>
      <c r="DI31" s="777"/>
      <c r="DJ31" s="778">
        <v>0</v>
      </c>
      <c r="DK31" s="779">
        <v>0</v>
      </c>
      <c r="DL31" s="780"/>
      <c r="DM31" s="762"/>
      <c r="DN31" s="584"/>
      <c r="DO31" s="763"/>
      <c r="DP31" s="584"/>
      <c r="DQ31" s="763"/>
      <c r="DR31" s="584"/>
      <c r="DS31" s="763"/>
      <c r="DT31" s="584"/>
      <c r="DU31" s="763"/>
      <c r="DV31" s="584"/>
      <c r="DW31" s="763"/>
      <c r="DX31" s="584"/>
      <c r="DY31" s="763"/>
      <c r="DZ31" s="584"/>
      <c r="EA31" s="763"/>
      <c r="EB31" s="584"/>
      <c r="EC31" s="763"/>
      <c r="ED31" s="584">
        <v>0</v>
      </c>
      <c r="EE31" s="763"/>
      <c r="EF31" s="584">
        <v>0</v>
      </c>
      <c r="EG31" s="763"/>
      <c r="EH31" s="584">
        <v>0</v>
      </c>
      <c r="EI31" s="763"/>
      <c r="EJ31" s="584">
        <v>0</v>
      </c>
      <c r="EK31" s="763"/>
      <c r="EL31" s="584">
        <v>0</v>
      </c>
      <c r="EM31" s="763"/>
      <c r="EN31" s="584">
        <v>0</v>
      </c>
      <c r="EO31" s="763"/>
      <c r="EP31" s="584">
        <v>0</v>
      </c>
      <c r="EQ31" s="763"/>
      <c r="ER31" s="584">
        <v>0</v>
      </c>
      <c r="ES31" s="763"/>
      <c r="ET31" s="584">
        <v>0</v>
      </c>
      <c r="EU31" s="763"/>
      <c r="EV31" s="584">
        <v>0</v>
      </c>
      <c r="EW31" s="763"/>
      <c r="EX31" s="584"/>
      <c r="EY31" s="763"/>
      <c r="EZ31" s="584"/>
      <c r="FA31" s="763"/>
      <c r="FB31" s="584"/>
      <c r="FC31" s="763"/>
      <c r="FD31" s="584"/>
      <c r="FE31" s="763"/>
      <c r="FF31" s="584"/>
      <c r="FG31" s="763"/>
      <c r="FH31" s="586"/>
      <c r="FI31" s="560"/>
      <c r="FJ31" s="561"/>
      <c r="FK31" s="777" t="s">
        <v>407</v>
      </c>
      <c r="FL31" s="777"/>
      <c r="FM31" s="781"/>
      <c r="FN31" s="779">
        <v>0</v>
      </c>
      <c r="FO31" s="780"/>
      <c r="FP31" s="689"/>
      <c r="FQ31" s="765"/>
      <c r="FR31" s="584">
        <v>0</v>
      </c>
      <c r="FS31" s="766"/>
      <c r="FT31" s="765"/>
      <c r="FU31" s="589">
        <v>0</v>
      </c>
      <c r="FV31" s="590"/>
      <c r="FW31" s="591"/>
      <c r="FX31" s="592"/>
      <c r="FY31" s="593"/>
      <c r="FZ31" s="594"/>
      <c r="GA31" s="595"/>
      <c r="GB31" s="596"/>
      <c r="GC31" s="597"/>
      <c r="GD31" s="596"/>
      <c r="GE31" s="598"/>
      <c r="GF31" s="755"/>
      <c r="GG31" s="599"/>
      <c r="GH31" s="599"/>
      <c r="GI31" s="599"/>
      <c r="GJ31" s="414"/>
      <c r="GK31" s="577" t="s">
        <v>483</v>
      </c>
      <c r="GL31" s="414"/>
      <c r="GM31" s="577"/>
      <c r="GN31" s="414"/>
      <c r="GO31" s="577"/>
      <c r="GP31" s="771">
        <v>0</v>
      </c>
      <c r="GQ31" s="414"/>
      <c r="GR31" s="414"/>
      <c r="GS31" s="577"/>
      <c r="GT31" s="756"/>
      <c r="GU31" s="772"/>
      <c r="GV31" s="773"/>
      <c r="GW31" s="782" t="s">
        <v>484</v>
      </c>
      <c r="GX31" s="783" t="s">
        <v>485</v>
      </c>
      <c r="GY31" s="784" t="s">
        <v>486</v>
      </c>
      <c r="GZ31" s="785" t="s">
        <v>487</v>
      </c>
      <c r="HA31" s="785" t="s">
        <v>463</v>
      </c>
      <c r="HB31" s="786"/>
      <c r="HC31" s="576"/>
      <c r="HD31" s="559"/>
      <c r="HE31" s="416"/>
      <c r="HF31" s="416"/>
    </row>
    <row r="32" spans="1:218" ht="20.100000000000001" customHeight="1">
      <c r="A32" s="549"/>
      <c r="B32" s="787" t="s">
        <v>408</v>
      </c>
      <c r="C32" s="788"/>
      <c r="D32" s="778"/>
      <c r="E32" s="789"/>
      <c r="F32" s="790"/>
      <c r="G32" s="791"/>
      <c r="H32" s="792"/>
      <c r="I32" s="793"/>
      <c r="J32" s="792"/>
      <c r="K32" s="793"/>
      <c r="L32" s="792"/>
      <c r="M32" s="793"/>
      <c r="N32" s="792"/>
      <c r="O32" s="793"/>
      <c r="P32" s="792"/>
      <c r="Q32" s="793"/>
      <c r="R32" s="792"/>
      <c r="S32" s="793"/>
      <c r="T32" s="792"/>
      <c r="U32" s="793"/>
      <c r="V32" s="792"/>
      <c r="W32" s="793"/>
      <c r="X32" s="792">
        <v>0</v>
      </c>
      <c r="Y32" s="793"/>
      <c r="Z32" s="792">
        <v>0</v>
      </c>
      <c r="AA32" s="793"/>
      <c r="AB32" s="792">
        <v>0</v>
      </c>
      <c r="AC32" s="793"/>
      <c r="AD32" s="792">
        <v>0</v>
      </c>
      <c r="AE32" s="793"/>
      <c r="AF32" s="792">
        <v>0</v>
      </c>
      <c r="AG32" s="793"/>
      <c r="AH32" s="792">
        <v>0</v>
      </c>
      <c r="AI32" s="793"/>
      <c r="AJ32" s="792">
        <v>0</v>
      </c>
      <c r="AK32" s="793"/>
      <c r="AL32" s="792">
        <v>0</v>
      </c>
      <c r="AM32" s="793"/>
      <c r="AN32" s="792">
        <v>0</v>
      </c>
      <c r="AO32" s="793"/>
      <c r="AP32" s="792">
        <v>0</v>
      </c>
      <c r="AQ32" s="793"/>
      <c r="AR32" s="792"/>
      <c r="AS32" s="793"/>
      <c r="AT32" s="792"/>
      <c r="AU32" s="793"/>
      <c r="AV32" s="792"/>
      <c r="AW32" s="793"/>
      <c r="AX32" s="792"/>
      <c r="AY32" s="793"/>
      <c r="AZ32" s="792"/>
      <c r="BA32" s="793"/>
      <c r="BB32" s="794"/>
      <c r="BC32" s="559"/>
      <c r="BD32" s="549"/>
      <c r="BE32" s="787" t="s">
        <v>408</v>
      </c>
      <c r="BF32" s="788"/>
      <c r="BG32" s="778">
        <v>0</v>
      </c>
      <c r="BH32" s="789">
        <v>0</v>
      </c>
      <c r="BI32" s="790"/>
      <c r="BJ32" s="791"/>
      <c r="BK32" s="792"/>
      <c r="BL32" s="793"/>
      <c r="BM32" s="792"/>
      <c r="BN32" s="793"/>
      <c r="BO32" s="792"/>
      <c r="BP32" s="793"/>
      <c r="BQ32" s="792"/>
      <c r="BR32" s="793"/>
      <c r="BS32" s="792"/>
      <c r="BT32" s="793"/>
      <c r="BU32" s="792"/>
      <c r="BV32" s="793"/>
      <c r="BW32" s="792"/>
      <c r="BX32" s="793"/>
      <c r="BY32" s="792"/>
      <c r="BZ32" s="793"/>
      <c r="CA32" s="792">
        <v>0</v>
      </c>
      <c r="CB32" s="793"/>
      <c r="CC32" s="792">
        <v>0</v>
      </c>
      <c r="CD32" s="793"/>
      <c r="CE32" s="792">
        <v>0</v>
      </c>
      <c r="CF32" s="793"/>
      <c r="CG32" s="792">
        <v>0</v>
      </c>
      <c r="CH32" s="793"/>
      <c r="CI32" s="792">
        <v>0</v>
      </c>
      <c r="CJ32" s="793"/>
      <c r="CK32" s="792">
        <v>0</v>
      </c>
      <c r="CL32" s="793"/>
      <c r="CM32" s="792">
        <v>0</v>
      </c>
      <c r="CN32" s="793"/>
      <c r="CO32" s="792">
        <v>0</v>
      </c>
      <c r="CP32" s="793"/>
      <c r="CQ32" s="792">
        <v>0</v>
      </c>
      <c r="CR32" s="793"/>
      <c r="CS32" s="792">
        <v>0</v>
      </c>
      <c r="CT32" s="793"/>
      <c r="CU32" s="792"/>
      <c r="CV32" s="793"/>
      <c r="CW32" s="792"/>
      <c r="CX32" s="793"/>
      <c r="CY32" s="792"/>
      <c r="CZ32" s="793"/>
      <c r="DA32" s="792"/>
      <c r="DB32" s="793"/>
      <c r="DC32" s="792"/>
      <c r="DD32" s="793"/>
      <c r="DE32" s="794"/>
      <c r="DF32" s="559"/>
      <c r="DG32" s="549"/>
      <c r="DH32" s="787" t="s">
        <v>408</v>
      </c>
      <c r="DI32" s="788"/>
      <c r="DJ32" s="778">
        <v>0</v>
      </c>
      <c r="DK32" s="789">
        <v>0</v>
      </c>
      <c r="DL32" s="790"/>
      <c r="DM32" s="791"/>
      <c r="DN32" s="792"/>
      <c r="DO32" s="793"/>
      <c r="DP32" s="792"/>
      <c r="DQ32" s="793"/>
      <c r="DR32" s="792"/>
      <c r="DS32" s="793"/>
      <c r="DT32" s="792"/>
      <c r="DU32" s="793"/>
      <c r="DV32" s="792"/>
      <c r="DW32" s="793"/>
      <c r="DX32" s="792"/>
      <c r="DY32" s="793"/>
      <c r="DZ32" s="792"/>
      <c r="EA32" s="793"/>
      <c r="EB32" s="792"/>
      <c r="EC32" s="793"/>
      <c r="ED32" s="792">
        <v>0</v>
      </c>
      <c r="EE32" s="793"/>
      <c r="EF32" s="792">
        <v>0</v>
      </c>
      <c r="EG32" s="793"/>
      <c r="EH32" s="792">
        <v>0</v>
      </c>
      <c r="EI32" s="793"/>
      <c r="EJ32" s="792">
        <v>0</v>
      </c>
      <c r="EK32" s="793"/>
      <c r="EL32" s="792">
        <v>0</v>
      </c>
      <c r="EM32" s="793"/>
      <c r="EN32" s="792">
        <v>0</v>
      </c>
      <c r="EO32" s="793"/>
      <c r="EP32" s="792">
        <v>0</v>
      </c>
      <c r="EQ32" s="793"/>
      <c r="ER32" s="792">
        <v>0</v>
      </c>
      <c r="ES32" s="793"/>
      <c r="ET32" s="792">
        <v>0</v>
      </c>
      <c r="EU32" s="793"/>
      <c r="EV32" s="792">
        <v>0</v>
      </c>
      <c r="EW32" s="793"/>
      <c r="EX32" s="792"/>
      <c r="EY32" s="793"/>
      <c r="EZ32" s="792"/>
      <c r="FA32" s="793"/>
      <c r="FB32" s="792"/>
      <c r="FC32" s="793"/>
      <c r="FD32" s="792"/>
      <c r="FE32" s="793"/>
      <c r="FF32" s="792"/>
      <c r="FG32" s="793"/>
      <c r="FH32" s="794"/>
      <c r="FI32" s="560"/>
      <c r="FJ32" s="561"/>
      <c r="FK32" s="787" t="s">
        <v>408</v>
      </c>
      <c r="FL32" s="788"/>
      <c r="FM32" s="781"/>
      <c r="FN32" s="789">
        <v>0</v>
      </c>
      <c r="FO32" s="790"/>
      <c r="FP32" s="795"/>
      <c r="FQ32" s="796"/>
      <c r="FR32" s="792">
        <v>0</v>
      </c>
      <c r="FS32" s="797"/>
      <c r="FT32" s="796"/>
      <c r="FU32" s="798">
        <v>0</v>
      </c>
      <c r="FV32" s="590"/>
      <c r="FW32" s="591"/>
      <c r="FX32" s="799"/>
      <c r="FY32" s="593"/>
      <c r="FZ32" s="800"/>
      <c r="GA32" s="595"/>
      <c r="GB32" s="801"/>
      <c r="GC32" s="597"/>
      <c r="GD32" s="801"/>
      <c r="GE32" s="598"/>
      <c r="GF32" s="755"/>
      <c r="GG32" s="599"/>
      <c r="GH32" s="599"/>
      <c r="GI32" s="599"/>
      <c r="GJ32" s="497"/>
      <c r="GK32" s="498"/>
      <c r="GL32" s="498"/>
      <c r="GM32" s="498"/>
      <c r="GN32" s="498"/>
      <c r="GO32" s="498"/>
      <c r="GP32" s="498"/>
      <c r="GQ32" s="498"/>
      <c r="GR32" s="498"/>
      <c r="GS32" s="410"/>
      <c r="GT32" s="756"/>
      <c r="GU32" s="802"/>
      <c r="GV32" s="803"/>
      <c r="GW32" s="782"/>
      <c r="GX32" s="783"/>
      <c r="GY32" s="784"/>
      <c r="GZ32" s="785"/>
      <c r="HA32" s="785"/>
      <c r="HB32" s="786"/>
      <c r="HC32" s="414"/>
      <c r="HD32" s="559"/>
      <c r="HE32" s="416"/>
      <c r="HF32" s="416"/>
    </row>
    <row r="33" spans="1:219" ht="20.100000000000001" customHeight="1">
      <c r="A33" s="638"/>
      <c r="B33" s="639"/>
      <c r="C33" s="639"/>
      <c r="D33" s="640" t="s">
        <v>409</v>
      </c>
      <c r="E33" s="639"/>
      <c r="F33" s="639"/>
      <c r="G33" s="641"/>
      <c r="H33" s="642">
        <v>0</v>
      </c>
      <c r="I33" s="643"/>
      <c r="J33" s="642">
        <v>0</v>
      </c>
      <c r="K33" s="643"/>
      <c r="L33" s="642">
        <v>0</v>
      </c>
      <c r="M33" s="643"/>
      <c r="N33" s="642">
        <v>0</v>
      </c>
      <c r="O33" s="643"/>
      <c r="P33" s="642">
        <v>0</v>
      </c>
      <c r="Q33" s="643"/>
      <c r="R33" s="642">
        <v>0</v>
      </c>
      <c r="S33" s="643"/>
      <c r="T33" s="642">
        <v>0</v>
      </c>
      <c r="U33" s="643"/>
      <c r="V33" s="642">
        <v>0</v>
      </c>
      <c r="W33" s="643"/>
      <c r="X33" s="642">
        <v>942</v>
      </c>
      <c r="Y33" s="643"/>
      <c r="Z33" s="642">
        <v>942</v>
      </c>
      <c r="AA33" s="643"/>
      <c r="AB33" s="642">
        <v>942</v>
      </c>
      <c r="AC33" s="643"/>
      <c r="AD33" s="642">
        <v>942</v>
      </c>
      <c r="AE33" s="643"/>
      <c r="AF33" s="642">
        <v>942</v>
      </c>
      <c r="AG33" s="643"/>
      <c r="AH33" s="642">
        <v>942</v>
      </c>
      <c r="AI33" s="643"/>
      <c r="AJ33" s="642">
        <v>942</v>
      </c>
      <c r="AK33" s="643"/>
      <c r="AL33" s="642">
        <v>942</v>
      </c>
      <c r="AM33" s="643"/>
      <c r="AN33" s="642">
        <v>942</v>
      </c>
      <c r="AO33" s="643"/>
      <c r="AP33" s="642">
        <v>942</v>
      </c>
      <c r="AQ33" s="643"/>
      <c r="AR33" s="642">
        <v>0</v>
      </c>
      <c r="AS33" s="643"/>
      <c r="AT33" s="642">
        <v>0</v>
      </c>
      <c r="AU33" s="643"/>
      <c r="AV33" s="642">
        <v>0</v>
      </c>
      <c r="AW33" s="643"/>
      <c r="AX33" s="642">
        <v>0</v>
      </c>
      <c r="AY33" s="643"/>
      <c r="AZ33" s="642">
        <v>0</v>
      </c>
      <c r="BA33" s="643"/>
      <c r="BB33" s="644">
        <v>0</v>
      </c>
      <c r="BC33" s="645"/>
      <c r="BD33" s="638"/>
      <c r="BE33" s="639"/>
      <c r="BF33" s="639"/>
      <c r="BG33" s="640" t="s">
        <v>409</v>
      </c>
      <c r="BH33" s="639"/>
      <c r="BI33" s="639"/>
      <c r="BJ33" s="641"/>
      <c r="BK33" s="642">
        <v>0</v>
      </c>
      <c r="BL33" s="643"/>
      <c r="BM33" s="642">
        <v>0</v>
      </c>
      <c r="BN33" s="643"/>
      <c r="BO33" s="642">
        <v>0</v>
      </c>
      <c r="BP33" s="643"/>
      <c r="BQ33" s="642">
        <v>0</v>
      </c>
      <c r="BR33" s="643"/>
      <c r="BS33" s="642">
        <v>0</v>
      </c>
      <c r="BT33" s="643"/>
      <c r="BU33" s="642">
        <v>0</v>
      </c>
      <c r="BV33" s="643"/>
      <c r="BW33" s="642">
        <v>0</v>
      </c>
      <c r="BX33" s="643"/>
      <c r="BY33" s="642">
        <v>0</v>
      </c>
      <c r="BZ33" s="643"/>
      <c r="CA33" s="642">
        <v>942</v>
      </c>
      <c r="CB33" s="643"/>
      <c r="CC33" s="642">
        <v>942</v>
      </c>
      <c r="CD33" s="643"/>
      <c r="CE33" s="642">
        <v>942</v>
      </c>
      <c r="CF33" s="643"/>
      <c r="CG33" s="642">
        <v>942</v>
      </c>
      <c r="CH33" s="643"/>
      <c r="CI33" s="642">
        <v>942</v>
      </c>
      <c r="CJ33" s="643"/>
      <c r="CK33" s="642">
        <v>942</v>
      </c>
      <c r="CL33" s="643"/>
      <c r="CM33" s="642">
        <v>942</v>
      </c>
      <c r="CN33" s="643"/>
      <c r="CO33" s="642">
        <v>942</v>
      </c>
      <c r="CP33" s="643"/>
      <c r="CQ33" s="642">
        <v>942</v>
      </c>
      <c r="CR33" s="643"/>
      <c r="CS33" s="642">
        <v>942</v>
      </c>
      <c r="CT33" s="643"/>
      <c r="CU33" s="642">
        <v>0</v>
      </c>
      <c r="CV33" s="643"/>
      <c r="CW33" s="642">
        <v>0</v>
      </c>
      <c r="CX33" s="643"/>
      <c r="CY33" s="642">
        <v>0</v>
      </c>
      <c r="CZ33" s="643"/>
      <c r="DA33" s="642">
        <v>0</v>
      </c>
      <c r="DB33" s="643"/>
      <c r="DC33" s="642">
        <v>0</v>
      </c>
      <c r="DD33" s="643"/>
      <c r="DE33" s="644">
        <v>0</v>
      </c>
      <c r="DF33" s="645"/>
      <c r="DG33" s="638"/>
      <c r="DH33" s="639"/>
      <c r="DI33" s="639"/>
      <c r="DJ33" s="640" t="s">
        <v>409</v>
      </c>
      <c r="DK33" s="639"/>
      <c r="DL33" s="639"/>
      <c r="DM33" s="641"/>
      <c r="DN33" s="642">
        <v>0</v>
      </c>
      <c r="DO33" s="643"/>
      <c r="DP33" s="642">
        <v>0</v>
      </c>
      <c r="DQ33" s="643"/>
      <c r="DR33" s="642">
        <v>0</v>
      </c>
      <c r="DS33" s="643"/>
      <c r="DT33" s="642">
        <v>0</v>
      </c>
      <c r="DU33" s="643"/>
      <c r="DV33" s="642">
        <v>0</v>
      </c>
      <c r="DW33" s="643"/>
      <c r="DX33" s="642">
        <v>0</v>
      </c>
      <c r="DY33" s="643"/>
      <c r="DZ33" s="642">
        <v>0</v>
      </c>
      <c r="EA33" s="643"/>
      <c r="EB33" s="642">
        <v>0</v>
      </c>
      <c r="EC33" s="643"/>
      <c r="ED33" s="642">
        <v>942</v>
      </c>
      <c r="EE33" s="643"/>
      <c r="EF33" s="642">
        <v>942</v>
      </c>
      <c r="EG33" s="643"/>
      <c r="EH33" s="642">
        <v>942</v>
      </c>
      <c r="EI33" s="643"/>
      <c r="EJ33" s="642">
        <v>942</v>
      </c>
      <c r="EK33" s="643"/>
      <c r="EL33" s="642">
        <v>942</v>
      </c>
      <c r="EM33" s="643"/>
      <c r="EN33" s="642">
        <v>942</v>
      </c>
      <c r="EO33" s="643"/>
      <c r="EP33" s="642">
        <v>942</v>
      </c>
      <c r="EQ33" s="643"/>
      <c r="ER33" s="642">
        <v>942</v>
      </c>
      <c r="ES33" s="643"/>
      <c r="ET33" s="642">
        <v>942</v>
      </c>
      <c r="EU33" s="643"/>
      <c r="EV33" s="642">
        <v>942</v>
      </c>
      <c r="EW33" s="643"/>
      <c r="EX33" s="642">
        <v>0</v>
      </c>
      <c r="EY33" s="643"/>
      <c r="EZ33" s="642">
        <v>0</v>
      </c>
      <c r="FA33" s="643"/>
      <c r="FB33" s="642">
        <v>0</v>
      </c>
      <c r="FC33" s="643"/>
      <c r="FD33" s="642">
        <v>0</v>
      </c>
      <c r="FE33" s="643"/>
      <c r="FF33" s="642">
        <v>0</v>
      </c>
      <c r="FG33" s="643"/>
      <c r="FH33" s="644">
        <v>0</v>
      </c>
      <c r="FI33" s="646"/>
      <c r="FJ33" s="561"/>
      <c r="FK33" s="639"/>
      <c r="FL33" s="639"/>
      <c r="FM33" s="640" t="s">
        <v>409</v>
      </c>
      <c r="FN33" s="639"/>
      <c r="FO33" s="639"/>
      <c r="FP33" s="647"/>
      <c r="FQ33" s="648"/>
      <c r="FR33" s="642">
        <v>0</v>
      </c>
      <c r="FS33" s="649"/>
      <c r="FT33" s="648"/>
      <c r="FU33" s="650">
        <v>0</v>
      </c>
      <c r="FV33" s="590"/>
      <c r="FW33" s="591"/>
      <c r="FX33" s="799"/>
      <c r="FY33" s="593"/>
      <c r="FZ33" s="800"/>
      <c r="GA33" s="595"/>
      <c r="GB33" s="801"/>
      <c r="GC33" s="597"/>
      <c r="GD33" s="801"/>
      <c r="GE33" s="598"/>
      <c r="GF33" s="651"/>
      <c r="GG33" s="652"/>
      <c r="GH33" s="652"/>
      <c r="GI33" s="652"/>
      <c r="GJ33" s="576"/>
      <c r="GK33" s="527" t="s">
        <v>488</v>
      </c>
      <c r="GL33" s="576"/>
      <c r="GM33" s="527"/>
      <c r="GN33" s="576"/>
      <c r="GO33" s="527"/>
      <c r="GP33" s="527"/>
      <c r="GQ33" s="527"/>
      <c r="GR33" s="576"/>
      <c r="GS33" s="527"/>
      <c r="GT33" s="756"/>
      <c r="GU33" s="804">
        <v>208</v>
      </c>
      <c r="GV33" s="805"/>
      <c r="GW33" s="806">
        <v>22.68</v>
      </c>
      <c r="GX33" s="807">
        <v>61.36</v>
      </c>
      <c r="GY33" s="807">
        <v>54.74</v>
      </c>
      <c r="GZ33" s="807">
        <v>0</v>
      </c>
      <c r="HA33" s="807">
        <v>138.78</v>
      </c>
      <c r="HB33" s="808">
        <v>53.3</v>
      </c>
      <c r="HC33" s="414"/>
      <c r="HD33" s="645"/>
      <c r="HE33" s="416"/>
      <c r="HF33" s="416"/>
    </row>
    <row r="34" spans="1:219" ht="20.100000000000001" customHeight="1">
      <c r="A34" s="809" t="s">
        <v>410</v>
      </c>
      <c r="B34" s="736"/>
      <c r="C34" s="810"/>
      <c r="D34" s="811"/>
      <c r="E34" s="810"/>
      <c r="F34" s="812"/>
      <c r="G34" s="733" t="s">
        <v>411</v>
      </c>
      <c r="H34" s="660" t="s">
        <v>398</v>
      </c>
      <c r="I34" s="734" t="s">
        <v>411</v>
      </c>
      <c r="J34" s="660" t="s">
        <v>398</v>
      </c>
      <c r="K34" s="735" t="s">
        <v>411</v>
      </c>
      <c r="L34" s="660" t="s">
        <v>398</v>
      </c>
      <c r="M34" s="735" t="s">
        <v>411</v>
      </c>
      <c r="N34" s="660" t="s">
        <v>398</v>
      </c>
      <c r="O34" s="735" t="s">
        <v>411</v>
      </c>
      <c r="P34" s="660" t="s">
        <v>398</v>
      </c>
      <c r="Q34" s="735" t="s">
        <v>411</v>
      </c>
      <c r="R34" s="660" t="s">
        <v>398</v>
      </c>
      <c r="S34" s="735" t="s">
        <v>411</v>
      </c>
      <c r="T34" s="660" t="s">
        <v>398</v>
      </c>
      <c r="U34" s="735" t="s">
        <v>411</v>
      </c>
      <c r="V34" s="660" t="s">
        <v>398</v>
      </c>
      <c r="W34" s="735" t="s">
        <v>411</v>
      </c>
      <c r="X34" s="660" t="s">
        <v>398</v>
      </c>
      <c r="Y34" s="735" t="s">
        <v>411</v>
      </c>
      <c r="Z34" s="660" t="s">
        <v>398</v>
      </c>
      <c r="AA34" s="735" t="s">
        <v>411</v>
      </c>
      <c r="AB34" s="660" t="s">
        <v>398</v>
      </c>
      <c r="AC34" s="735" t="s">
        <v>411</v>
      </c>
      <c r="AD34" s="660" t="s">
        <v>398</v>
      </c>
      <c r="AE34" s="735" t="s">
        <v>411</v>
      </c>
      <c r="AF34" s="660" t="s">
        <v>398</v>
      </c>
      <c r="AG34" s="735" t="s">
        <v>411</v>
      </c>
      <c r="AH34" s="660" t="s">
        <v>398</v>
      </c>
      <c r="AI34" s="735" t="s">
        <v>411</v>
      </c>
      <c r="AJ34" s="660" t="s">
        <v>398</v>
      </c>
      <c r="AK34" s="735" t="s">
        <v>411</v>
      </c>
      <c r="AL34" s="660" t="s">
        <v>398</v>
      </c>
      <c r="AM34" s="735" t="s">
        <v>411</v>
      </c>
      <c r="AN34" s="660" t="s">
        <v>398</v>
      </c>
      <c r="AO34" s="735" t="s">
        <v>411</v>
      </c>
      <c r="AP34" s="660" t="s">
        <v>398</v>
      </c>
      <c r="AQ34" s="735" t="s">
        <v>411</v>
      </c>
      <c r="AR34" s="660" t="s">
        <v>398</v>
      </c>
      <c r="AS34" s="735" t="s">
        <v>411</v>
      </c>
      <c r="AT34" s="660" t="s">
        <v>398</v>
      </c>
      <c r="AU34" s="735" t="s">
        <v>411</v>
      </c>
      <c r="AV34" s="660" t="s">
        <v>398</v>
      </c>
      <c r="AW34" s="735" t="s">
        <v>411</v>
      </c>
      <c r="AX34" s="660" t="s">
        <v>398</v>
      </c>
      <c r="AY34" s="735" t="s">
        <v>411</v>
      </c>
      <c r="AZ34" s="660" t="s">
        <v>398</v>
      </c>
      <c r="BA34" s="735" t="s">
        <v>411</v>
      </c>
      <c r="BB34" s="662" t="s">
        <v>398</v>
      </c>
      <c r="BC34" s="716"/>
      <c r="BD34" s="809" t="s">
        <v>410</v>
      </c>
      <c r="BE34" s="731"/>
      <c r="BF34" s="813"/>
      <c r="BG34" s="814"/>
      <c r="BH34" s="813"/>
      <c r="BI34" s="815"/>
      <c r="BJ34" s="733" t="s">
        <v>411</v>
      </c>
      <c r="BK34" s="660" t="s">
        <v>398</v>
      </c>
      <c r="BL34" s="734" t="s">
        <v>411</v>
      </c>
      <c r="BM34" s="660" t="s">
        <v>398</v>
      </c>
      <c r="BN34" s="735" t="s">
        <v>411</v>
      </c>
      <c r="BO34" s="660" t="s">
        <v>398</v>
      </c>
      <c r="BP34" s="735" t="s">
        <v>411</v>
      </c>
      <c r="BQ34" s="660" t="s">
        <v>398</v>
      </c>
      <c r="BR34" s="735" t="s">
        <v>411</v>
      </c>
      <c r="BS34" s="660" t="s">
        <v>398</v>
      </c>
      <c r="BT34" s="735" t="s">
        <v>411</v>
      </c>
      <c r="BU34" s="660" t="s">
        <v>398</v>
      </c>
      <c r="BV34" s="735" t="s">
        <v>411</v>
      </c>
      <c r="BW34" s="660" t="s">
        <v>398</v>
      </c>
      <c r="BX34" s="735" t="s">
        <v>411</v>
      </c>
      <c r="BY34" s="660" t="s">
        <v>398</v>
      </c>
      <c r="BZ34" s="735" t="s">
        <v>411</v>
      </c>
      <c r="CA34" s="660" t="s">
        <v>398</v>
      </c>
      <c r="CB34" s="735" t="s">
        <v>411</v>
      </c>
      <c r="CC34" s="660" t="s">
        <v>398</v>
      </c>
      <c r="CD34" s="735" t="s">
        <v>411</v>
      </c>
      <c r="CE34" s="660" t="s">
        <v>398</v>
      </c>
      <c r="CF34" s="735" t="s">
        <v>411</v>
      </c>
      <c r="CG34" s="660" t="s">
        <v>398</v>
      </c>
      <c r="CH34" s="735" t="s">
        <v>411</v>
      </c>
      <c r="CI34" s="660" t="s">
        <v>398</v>
      </c>
      <c r="CJ34" s="735" t="s">
        <v>411</v>
      </c>
      <c r="CK34" s="660" t="s">
        <v>398</v>
      </c>
      <c r="CL34" s="735" t="s">
        <v>411</v>
      </c>
      <c r="CM34" s="660" t="s">
        <v>398</v>
      </c>
      <c r="CN34" s="735" t="s">
        <v>411</v>
      </c>
      <c r="CO34" s="660" t="s">
        <v>398</v>
      </c>
      <c r="CP34" s="735" t="s">
        <v>411</v>
      </c>
      <c r="CQ34" s="660" t="s">
        <v>398</v>
      </c>
      <c r="CR34" s="735" t="s">
        <v>411</v>
      </c>
      <c r="CS34" s="660" t="s">
        <v>398</v>
      </c>
      <c r="CT34" s="735" t="s">
        <v>411</v>
      </c>
      <c r="CU34" s="660" t="s">
        <v>398</v>
      </c>
      <c r="CV34" s="735" t="s">
        <v>411</v>
      </c>
      <c r="CW34" s="660" t="s">
        <v>398</v>
      </c>
      <c r="CX34" s="735" t="s">
        <v>411</v>
      </c>
      <c r="CY34" s="660" t="s">
        <v>398</v>
      </c>
      <c r="CZ34" s="735" t="s">
        <v>411</v>
      </c>
      <c r="DA34" s="660" t="s">
        <v>398</v>
      </c>
      <c r="DB34" s="735" t="s">
        <v>411</v>
      </c>
      <c r="DC34" s="660" t="s">
        <v>398</v>
      </c>
      <c r="DD34" s="735" t="s">
        <v>411</v>
      </c>
      <c r="DE34" s="662" t="s">
        <v>398</v>
      </c>
      <c r="DF34" s="716"/>
      <c r="DG34" s="809" t="s">
        <v>410</v>
      </c>
      <c r="DH34" s="731"/>
      <c r="DI34" s="813"/>
      <c r="DJ34" s="814"/>
      <c r="DK34" s="813"/>
      <c r="DL34" s="815"/>
      <c r="DM34" s="733" t="s">
        <v>411</v>
      </c>
      <c r="DN34" s="660" t="s">
        <v>398</v>
      </c>
      <c r="DO34" s="734" t="s">
        <v>411</v>
      </c>
      <c r="DP34" s="660" t="s">
        <v>398</v>
      </c>
      <c r="DQ34" s="735" t="s">
        <v>411</v>
      </c>
      <c r="DR34" s="660" t="s">
        <v>398</v>
      </c>
      <c r="DS34" s="735" t="s">
        <v>411</v>
      </c>
      <c r="DT34" s="660" t="s">
        <v>398</v>
      </c>
      <c r="DU34" s="735" t="s">
        <v>411</v>
      </c>
      <c r="DV34" s="660" t="s">
        <v>398</v>
      </c>
      <c r="DW34" s="735" t="s">
        <v>411</v>
      </c>
      <c r="DX34" s="660" t="s">
        <v>398</v>
      </c>
      <c r="DY34" s="735" t="s">
        <v>411</v>
      </c>
      <c r="DZ34" s="660" t="s">
        <v>398</v>
      </c>
      <c r="EA34" s="735" t="s">
        <v>411</v>
      </c>
      <c r="EB34" s="660" t="s">
        <v>398</v>
      </c>
      <c r="EC34" s="735" t="s">
        <v>411</v>
      </c>
      <c r="ED34" s="660" t="s">
        <v>398</v>
      </c>
      <c r="EE34" s="735" t="s">
        <v>411</v>
      </c>
      <c r="EF34" s="660" t="s">
        <v>398</v>
      </c>
      <c r="EG34" s="735" t="s">
        <v>411</v>
      </c>
      <c r="EH34" s="660" t="s">
        <v>398</v>
      </c>
      <c r="EI34" s="735" t="s">
        <v>411</v>
      </c>
      <c r="EJ34" s="660" t="s">
        <v>398</v>
      </c>
      <c r="EK34" s="735" t="s">
        <v>411</v>
      </c>
      <c r="EL34" s="660" t="s">
        <v>398</v>
      </c>
      <c r="EM34" s="735" t="s">
        <v>411</v>
      </c>
      <c r="EN34" s="660" t="s">
        <v>398</v>
      </c>
      <c r="EO34" s="735" t="s">
        <v>411</v>
      </c>
      <c r="EP34" s="660" t="s">
        <v>398</v>
      </c>
      <c r="EQ34" s="735" t="s">
        <v>411</v>
      </c>
      <c r="ER34" s="660" t="s">
        <v>398</v>
      </c>
      <c r="ES34" s="735" t="s">
        <v>411</v>
      </c>
      <c r="ET34" s="660" t="s">
        <v>398</v>
      </c>
      <c r="EU34" s="735" t="s">
        <v>411</v>
      </c>
      <c r="EV34" s="660" t="s">
        <v>398</v>
      </c>
      <c r="EW34" s="735" t="s">
        <v>411</v>
      </c>
      <c r="EX34" s="660" t="s">
        <v>398</v>
      </c>
      <c r="EY34" s="735" t="s">
        <v>411</v>
      </c>
      <c r="EZ34" s="660" t="s">
        <v>398</v>
      </c>
      <c r="FA34" s="735" t="s">
        <v>411</v>
      </c>
      <c r="FB34" s="660" t="s">
        <v>398</v>
      </c>
      <c r="FC34" s="735" t="s">
        <v>411</v>
      </c>
      <c r="FD34" s="660" t="s">
        <v>398</v>
      </c>
      <c r="FE34" s="735" t="s">
        <v>411</v>
      </c>
      <c r="FF34" s="660" t="s">
        <v>398</v>
      </c>
      <c r="FG34" s="735" t="s">
        <v>411</v>
      </c>
      <c r="FH34" s="662" t="s">
        <v>398</v>
      </c>
      <c r="FI34" s="739"/>
      <c r="FJ34" s="816" t="s">
        <v>410</v>
      </c>
      <c r="FK34" s="731"/>
      <c r="FL34" s="813"/>
      <c r="FM34" s="814"/>
      <c r="FN34" s="813"/>
      <c r="FO34" s="815"/>
      <c r="FP34" s="740" t="s">
        <v>401</v>
      </c>
      <c r="FQ34" s="666" t="s">
        <v>411</v>
      </c>
      <c r="FR34" s="660" t="s">
        <v>402</v>
      </c>
      <c r="FS34" s="741" t="s">
        <v>401</v>
      </c>
      <c r="FT34" s="666" t="s">
        <v>411</v>
      </c>
      <c r="FU34" s="668" t="s">
        <v>402</v>
      </c>
      <c r="FV34" s="590"/>
      <c r="FW34" s="591"/>
      <c r="FX34" s="799"/>
      <c r="FY34" s="593"/>
      <c r="FZ34" s="800"/>
      <c r="GA34" s="595"/>
      <c r="GB34" s="801"/>
      <c r="GC34" s="597"/>
      <c r="GD34" s="801"/>
      <c r="GE34" s="598"/>
      <c r="GF34" s="742"/>
      <c r="GG34" s="743"/>
      <c r="GH34" s="743"/>
      <c r="GI34" s="743"/>
      <c r="GJ34" s="576"/>
      <c r="GK34" s="817" t="s">
        <v>590</v>
      </c>
      <c r="GL34" s="817"/>
      <c r="GM34" s="817"/>
      <c r="GN34" s="817"/>
      <c r="GO34" s="817"/>
      <c r="GP34" s="817"/>
      <c r="GQ34" s="612">
        <v>10.6</v>
      </c>
      <c r="GR34" s="576" t="s">
        <v>470</v>
      </c>
      <c r="GS34" s="577"/>
      <c r="GT34" s="756"/>
      <c r="GU34" s="818"/>
      <c r="GV34" s="819"/>
      <c r="GW34" s="820"/>
      <c r="GX34" s="630"/>
      <c r="GY34" s="630"/>
      <c r="GZ34" s="630"/>
      <c r="HA34" s="630"/>
      <c r="HB34" s="631"/>
      <c r="HC34" s="527"/>
      <c r="HD34" s="716"/>
      <c r="HE34" s="416"/>
      <c r="HF34" s="416"/>
    </row>
    <row r="35" spans="1:219" ht="20.100000000000001" customHeight="1">
      <c r="A35" s="821"/>
      <c r="B35" s="463" t="s">
        <v>412</v>
      </c>
      <c r="C35" s="464"/>
      <c r="D35" s="822">
        <v>0</v>
      </c>
      <c r="E35" s="823">
        <v>0</v>
      </c>
      <c r="F35" s="824"/>
      <c r="G35" s="825"/>
      <c r="H35" s="826">
        <v>0</v>
      </c>
      <c r="I35" s="827"/>
      <c r="J35" s="792">
        <v>0</v>
      </c>
      <c r="K35" s="828"/>
      <c r="L35" s="792">
        <v>0</v>
      </c>
      <c r="M35" s="828"/>
      <c r="N35" s="792">
        <v>0</v>
      </c>
      <c r="O35" s="828"/>
      <c r="P35" s="792">
        <v>0</v>
      </c>
      <c r="Q35" s="828"/>
      <c r="R35" s="792">
        <v>0</v>
      </c>
      <c r="S35" s="828"/>
      <c r="T35" s="792">
        <v>0</v>
      </c>
      <c r="U35" s="828"/>
      <c r="V35" s="792">
        <v>0</v>
      </c>
      <c r="W35" s="828"/>
      <c r="X35" s="792">
        <v>0</v>
      </c>
      <c r="Y35" s="828"/>
      <c r="Z35" s="792">
        <v>0</v>
      </c>
      <c r="AA35" s="828"/>
      <c r="AB35" s="792">
        <v>0</v>
      </c>
      <c r="AC35" s="828"/>
      <c r="AD35" s="792">
        <v>0</v>
      </c>
      <c r="AE35" s="828"/>
      <c r="AF35" s="792">
        <v>0</v>
      </c>
      <c r="AG35" s="828"/>
      <c r="AH35" s="792">
        <v>0</v>
      </c>
      <c r="AI35" s="828"/>
      <c r="AJ35" s="792">
        <v>0</v>
      </c>
      <c r="AK35" s="828"/>
      <c r="AL35" s="792">
        <v>0</v>
      </c>
      <c r="AM35" s="828"/>
      <c r="AN35" s="792">
        <v>0</v>
      </c>
      <c r="AO35" s="828"/>
      <c r="AP35" s="792">
        <v>0</v>
      </c>
      <c r="AQ35" s="828"/>
      <c r="AR35" s="792">
        <v>0</v>
      </c>
      <c r="AS35" s="828"/>
      <c r="AT35" s="792">
        <v>0</v>
      </c>
      <c r="AU35" s="828"/>
      <c r="AV35" s="792">
        <v>0</v>
      </c>
      <c r="AW35" s="828"/>
      <c r="AX35" s="792">
        <v>0</v>
      </c>
      <c r="AY35" s="828"/>
      <c r="AZ35" s="792">
        <v>0</v>
      </c>
      <c r="BA35" s="828"/>
      <c r="BB35" s="829">
        <v>0</v>
      </c>
      <c r="BC35" s="559"/>
      <c r="BD35" s="821"/>
      <c r="BE35" s="463" t="s">
        <v>326</v>
      </c>
      <c r="BF35" s="464"/>
      <c r="BG35" s="822">
        <v>0</v>
      </c>
      <c r="BH35" s="823">
        <v>0</v>
      </c>
      <c r="BI35" s="824"/>
      <c r="BJ35" s="825"/>
      <c r="BK35" s="826">
        <v>0</v>
      </c>
      <c r="BL35" s="827"/>
      <c r="BM35" s="792">
        <v>0</v>
      </c>
      <c r="BN35" s="828"/>
      <c r="BO35" s="792">
        <v>0</v>
      </c>
      <c r="BP35" s="828"/>
      <c r="BQ35" s="792">
        <v>0</v>
      </c>
      <c r="BR35" s="828"/>
      <c r="BS35" s="792">
        <v>0</v>
      </c>
      <c r="BT35" s="828"/>
      <c r="BU35" s="792">
        <v>0</v>
      </c>
      <c r="BV35" s="828"/>
      <c r="BW35" s="792">
        <v>0</v>
      </c>
      <c r="BX35" s="828"/>
      <c r="BY35" s="792">
        <v>0</v>
      </c>
      <c r="BZ35" s="828"/>
      <c r="CA35" s="792">
        <v>0</v>
      </c>
      <c r="CB35" s="828"/>
      <c r="CC35" s="792">
        <v>0</v>
      </c>
      <c r="CD35" s="828"/>
      <c r="CE35" s="792">
        <v>0</v>
      </c>
      <c r="CF35" s="828"/>
      <c r="CG35" s="792">
        <v>0</v>
      </c>
      <c r="CH35" s="828"/>
      <c r="CI35" s="792">
        <v>0</v>
      </c>
      <c r="CJ35" s="828"/>
      <c r="CK35" s="792">
        <v>0</v>
      </c>
      <c r="CL35" s="828"/>
      <c r="CM35" s="792">
        <v>0</v>
      </c>
      <c r="CN35" s="828"/>
      <c r="CO35" s="792">
        <v>0</v>
      </c>
      <c r="CP35" s="828"/>
      <c r="CQ35" s="792">
        <v>0</v>
      </c>
      <c r="CR35" s="828"/>
      <c r="CS35" s="792">
        <v>0</v>
      </c>
      <c r="CT35" s="828"/>
      <c r="CU35" s="792">
        <v>0</v>
      </c>
      <c r="CV35" s="828"/>
      <c r="CW35" s="792">
        <v>0</v>
      </c>
      <c r="CX35" s="828"/>
      <c r="CY35" s="792">
        <v>0</v>
      </c>
      <c r="CZ35" s="828"/>
      <c r="DA35" s="792">
        <v>0</v>
      </c>
      <c r="DB35" s="828"/>
      <c r="DC35" s="792">
        <v>0</v>
      </c>
      <c r="DD35" s="828"/>
      <c r="DE35" s="829">
        <v>0</v>
      </c>
      <c r="DF35" s="559"/>
      <c r="DG35" s="821"/>
      <c r="DH35" s="463" t="s">
        <v>326</v>
      </c>
      <c r="DI35" s="464"/>
      <c r="DJ35" s="822">
        <v>0</v>
      </c>
      <c r="DK35" s="823">
        <v>0</v>
      </c>
      <c r="DL35" s="824"/>
      <c r="DM35" s="825"/>
      <c r="DN35" s="826">
        <v>0</v>
      </c>
      <c r="DO35" s="827"/>
      <c r="DP35" s="792">
        <v>0</v>
      </c>
      <c r="DQ35" s="828"/>
      <c r="DR35" s="792">
        <v>0</v>
      </c>
      <c r="DS35" s="828"/>
      <c r="DT35" s="792">
        <v>0</v>
      </c>
      <c r="DU35" s="828"/>
      <c r="DV35" s="792">
        <v>0</v>
      </c>
      <c r="DW35" s="828"/>
      <c r="DX35" s="792">
        <v>0</v>
      </c>
      <c r="DY35" s="828"/>
      <c r="DZ35" s="792">
        <v>0</v>
      </c>
      <c r="EA35" s="828"/>
      <c r="EB35" s="792">
        <v>0</v>
      </c>
      <c r="EC35" s="828"/>
      <c r="ED35" s="792">
        <v>0</v>
      </c>
      <c r="EE35" s="828"/>
      <c r="EF35" s="792">
        <v>0</v>
      </c>
      <c r="EG35" s="828"/>
      <c r="EH35" s="792">
        <v>0</v>
      </c>
      <c r="EI35" s="828"/>
      <c r="EJ35" s="792">
        <v>0</v>
      </c>
      <c r="EK35" s="828"/>
      <c r="EL35" s="792">
        <v>0</v>
      </c>
      <c r="EM35" s="828"/>
      <c r="EN35" s="792">
        <v>0</v>
      </c>
      <c r="EO35" s="828"/>
      <c r="EP35" s="792">
        <v>0</v>
      </c>
      <c r="EQ35" s="828"/>
      <c r="ER35" s="792">
        <v>0</v>
      </c>
      <c r="ES35" s="828"/>
      <c r="ET35" s="792">
        <v>0</v>
      </c>
      <c r="EU35" s="828"/>
      <c r="EV35" s="792">
        <v>0</v>
      </c>
      <c r="EW35" s="828"/>
      <c r="EX35" s="792">
        <v>0</v>
      </c>
      <c r="EY35" s="828"/>
      <c r="EZ35" s="792">
        <v>0</v>
      </c>
      <c r="FA35" s="828"/>
      <c r="FB35" s="792">
        <v>0</v>
      </c>
      <c r="FC35" s="828"/>
      <c r="FD35" s="792">
        <v>0</v>
      </c>
      <c r="FE35" s="828"/>
      <c r="FF35" s="792">
        <v>0</v>
      </c>
      <c r="FG35" s="828"/>
      <c r="FH35" s="829">
        <v>0</v>
      </c>
      <c r="FI35" s="560"/>
      <c r="FJ35" s="830"/>
      <c r="FK35" s="463" t="s">
        <v>326</v>
      </c>
      <c r="FL35" s="464"/>
      <c r="FM35" s="822">
        <v>0</v>
      </c>
      <c r="FN35" s="823">
        <v>0</v>
      </c>
      <c r="FO35" s="824"/>
      <c r="FP35" s="831"/>
      <c r="FQ35" s="827"/>
      <c r="FR35" s="826">
        <v>0</v>
      </c>
      <c r="FS35" s="832"/>
      <c r="FT35" s="827"/>
      <c r="FU35" s="798">
        <v>0</v>
      </c>
      <c r="FV35" s="590"/>
      <c r="FW35" s="591"/>
      <c r="FX35" s="799"/>
      <c r="FY35" s="593"/>
      <c r="FZ35" s="800"/>
      <c r="GA35" s="595"/>
      <c r="GB35" s="801"/>
      <c r="GC35" s="597"/>
      <c r="GD35" s="801"/>
      <c r="GE35" s="598"/>
      <c r="GF35" s="833"/>
      <c r="GG35" s="599"/>
      <c r="GH35" s="599"/>
      <c r="GI35" s="599"/>
      <c r="GJ35" s="527"/>
      <c r="GK35" s="527" t="s">
        <v>490</v>
      </c>
      <c r="GL35" s="527"/>
      <c r="GM35" s="576"/>
      <c r="GN35" s="527"/>
      <c r="GO35" s="576"/>
      <c r="GP35" s="576"/>
      <c r="GQ35" s="576"/>
      <c r="GR35" s="576"/>
      <c r="GS35" s="410"/>
      <c r="GT35" s="756"/>
      <c r="GU35" s="818"/>
      <c r="GV35" s="819"/>
      <c r="GW35" s="820"/>
      <c r="GX35" s="630"/>
      <c r="GY35" s="630"/>
      <c r="GZ35" s="630"/>
      <c r="HA35" s="630"/>
      <c r="HB35" s="631"/>
      <c r="HC35" s="527"/>
      <c r="HD35" s="559"/>
      <c r="HE35" s="416"/>
      <c r="HF35" s="416"/>
    </row>
    <row r="36" spans="1:219" ht="20.100000000000001" customHeight="1">
      <c r="A36" s="821"/>
      <c r="B36" s="639"/>
      <c r="C36" s="639"/>
      <c r="D36" s="640" t="s">
        <v>413</v>
      </c>
      <c r="E36" s="639"/>
      <c r="F36" s="639"/>
      <c r="G36" s="834"/>
      <c r="H36" s="835">
        <v>0</v>
      </c>
      <c r="I36" s="836"/>
      <c r="J36" s="837">
        <v>0</v>
      </c>
      <c r="K36" s="838"/>
      <c r="L36" s="837">
        <v>0</v>
      </c>
      <c r="M36" s="838"/>
      <c r="N36" s="837">
        <v>0</v>
      </c>
      <c r="O36" s="838"/>
      <c r="P36" s="837">
        <v>0</v>
      </c>
      <c r="Q36" s="838"/>
      <c r="R36" s="837">
        <v>0</v>
      </c>
      <c r="S36" s="838"/>
      <c r="T36" s="837">
        <v>0</v>
      </c>
      <c r="U36" s="838"/>
      <c r="V36" s="837">
        <v>0</v>
      </c>
      <c r="W36" s="838"/>
      <c r="X36" s="837">
        <v>0</v>
      </c>
      <c r="Y36" s="838"/>
      <c r="Z36" s="837">
        <v>0</v>
      </c>
      <c r="AA36" s="838"/>
      <c r="AB36" s="837">
        <v>0</v>
      </c>
      <c r="AC36" s="838"/>
      <c r="AD36" s="837">
        <v>0</v>
      </c>
      <c r="AE36" s="838"/>
      <c r="AF36" s="837">
        <v>0</v>
      </c>
      <c r="AG36" s="838"/>
      <c r="AH36" s="837">
        <v>0</v>
      </c>
      <c r="AI36" s="838"/>
      <c r="AJ36" s="837">
        <v>0</v>
      </c>
      <c r="AK36" s="838"/>
      <c r="AL36" s="837">
        <v>0</v>
      </c>
      <c r="AM36" s="838"/>
      <c r="AN36" s="837">
        <v>0</v>
      </c>
      <c r="AO36" s="838"/>
      <c r="AP36" s="837">
        <v>0</v>
      </c>
      <c r="AQ36" s="838"/>
      <c r="AR36" s="837">
        <v>0</v>
      </c>
      <c r="AS36" s="838"/>
      <c r="AT36" s="837">
        <v>0</v>
      </c>
      <c r="AU36" s="838"/>
      <c r="AV36" s="837">
        <v>0</v>
      </c>
      <c r="AW36" s="838"/>
      <c r="AX36" s="837">
        <v>0</v>
      </c>
      <c r="AY36" s="838"/>
      <c r="AZ36" s="837">
        <v>0</v>
      </c>
      <c r="BA36" s="838"/>
      <c r="BB36" s="839">
        <v>0</v>
      </c>
      <c r="BC36" s="645"/>
      <c r="BD36" s="821"/>
      <c r="BE36" s="639"/>
      <c r="BF36" s="639"/>
      <c r="BG36" s="640" t="s">
        <v>413</v>
      </c>
      <c r="BH36" s="639"/>
      <c r="BI36" s="639"/>
      <c r="BJ36" s="834"/>
      <c r="BK36" s="835">
        <v>0</v>
      </c>
      <c r="BL36" s="836"/>
      <c r="BM36" s="837">
        <v>0</v>
      </c>
      <c r="BN36" s="838"/>
      <c r="BO36" s="837">
        <v>0</v>
      </c>
      <c r="BP36" s="838"/>
      <c r="BQ36" s="837">
        <v>0</v>
      </c>
      <c r="BR36" s="838"/>
      <c r="BS36" s="837">
        <v>0</v>
      </c>
      <c r="BT36" s="838"/>
      <c r="BU36" s="837">
        <v>0</v>
      </c>
      <c r="BV36" s="838"/>
      <c r="BW36" s="837">
        <v>0</v>
      </c>
      <c r="BX36" s="838"/>
      <c r="BY36" s="837">
        <v>0</v>
      </c>
      <c r="BZ36" s="838"/>
      <c r="CA36" s="837">
        <v>0</v>
      </c>
      <c r="CB36" s="838"/>
      <c r="CC36" s="837">
        <v>0</v>
      </c>
      <c r="CD36" s="838"/>
      <c r="CE36" s="837">
        <v>0</v>
      </c>
      <c r="CF36" s="838"/>
      <c r="CG36" s="837">
        <v>0</v>
      </c>
      <c r="CH36" s="838"/>
      <c r="CI36" s="837">
        <v>0</v>
      </c>
      <c r="CJ36" s="838"/>
      <c r="CK36" s="837">
        <v>0</v>
      </c>
      <c r="CL36" s="838"/>
      <c r="CM36" s="837">
        <v>0</v>
      </c>
      <c r="CN36" s="838"/>
      <c r="CO36" s="837">
        <v>0</v>
      </c>
      <c r="CP36" s="838"/>
      <c r="CQ36" s="837">
        <v>0</v>
      </c>
      <c r="CR36" s="838"/>
      <c r="CS36" s="837">
        <v>0</v>
      </c>
      <c r="CT36" s="838"/>
      <c r="CU36" s="837">
        <v>0</v>
      </c>
      <c r="CV36" s="838"/>
      <c r="CW36" s="837">
        <v>0</v>
      </c>
      <c r="CX36" s="838"/>
      <c r="CY36" s="837">
        <v>0</v>
      </c>
      <c r="CZ36" s="838"/>
      <c r="DA36" s="837">
        <v>0</v>
      </c>
      <c r="DB36" s="838"/>
      <c r="DC36" s="837">
        <v>0</v>
      </c>
      <c r="DD36" s="838"/>
      <c r="DE36" s="839">
        <v>0</v>
      </c>
      <c r="DF36" s="645"/>
      <c r="DG36" s="821"/>
      <c r="DH36" s="639"/>
      <c r="DI36" s="639"/>
      <c r="DJ36" s="640" t="s">
        <v>413</v>
      </c>
      <c r="DK36" s="639"/>
      <c r="DL36" s="639"/>
      <c r="DM36" s="834"/>
      <c r="DN36" s="835">
        <v>0</v>
      </c>
      <c r="DO36" s="836"/>
      <c r="DP36" s="837">
        <v>0</v>
      </c>
      <c r="DQ36" s="838"/>
      <c r="DR36" s="837">
        <v>0</v>
      </c>
      <c r="DS36" s="838"/>
      <c r="DT36" s="837">
        <v>0</v>
      </c>
      <c r="DU36" s="838"/>
      <c r="DV36" s="837">
        <v>0</v>
      </c>
      <c r="DW36" s="838"/>
      <c r="DX36" s="837">
        <v>0</v>
      </c>
      <c r="DY36" s="838"/>
      <c r="DZ36" s="837">
        <v>0</v>
      </c>
      <c r="EA36" s="838"/>
      <c r="EB36" s="837">
        <v>0</v>
      </c>
      <c r="EC36" s="838"/>
      <c r="ED36" s="837">
        <v>0</v>
      </c>
      <c r="EE36" s="838"/>
      <c r="EF36" s="837">
        <v>0</v>
      </c>
      <c r="EG36" s="838"/>
      <c r="EH36" s="837">
        <v>0</v>
      </c>
      <c r="EI36" s="838"/>
      <c r="EJ36" s="837">
        <v>0</v>
      </c>
      <c r="EK36" s="838"/>
      <c r="EL36" s="837">
        <v>0</v>
      </c>
      <c r="EM36" s="838"/>
      <c r="EN36" s="837">
        <v>0</v>
      </c>
      <c r="EO36" s="838"/>
      <c r="EP36" s="837">
        <v>0</v>
      </c>
      <c r="EQ36" s="838"/>
      <c r="ER36" s="837">
        <v>0</v>
      </c>
      <c r="ES36" s="838"/>
      <c r="ET36" s="837">
        <v>0</v>
      </c>
      <c r="EU36" s="838"/>
      <c r="EV36" s="837">
        <v>0</v>
      </c>
      <c r="EW36" s="838"/>
      <c r="EX36" s="837">
        <v>0</v>
      </c>
      <c r="EY36" s="838"/>
      <c r="EZ36" s="837">
        <v>0</v>
      </c>
      <c r="FA36" s="838"/>
      <c r="FB36" s="837">
        <v>0</v>
      </c>
      <c r="FC36" s="838"/>
      <c r="FD36" s="837">
        <v>0</v>
      </c>
      <c r="FE36" s="838"/>
      <c r="FF36" s="837">
        <v>0</v>
      </c>
      <c r="FG36" s="838"/>
      <c r="FH36" s="839">
        <v>0</v>
      </c>
      <c r="FI36" s="646"/>
      <c r="FJ36" s="830"/>
      <c r="FK36" s="639"/>
      <c r="FL36" s="639"/>
      <c r="FM36" s="640" t="s">
        <v>413</v>
      </c>
      <c r="FN36" s="639"/>
      <c r="FO36" s="639"/>
      <c r="FP36" s="647"/>
      <c r="FQ36" s="836"/>
      <c r="FR36" s="835">
        <v>0</v>
      </c>
      <c r="FS36" s="840"/>
      <c r="FT36" s="836"/>
      <c r="FU36" s="841">
        <v>0</v>
      </c>
      <c r="FV36" s="590"/>
      <c r="FW36" s="591"/>
      <c r="FX36" s="799"/>
      <c r="FY36" s="593"/>
      <c r="FZ36" s="800"/>
      <c r="GA36" s="595"/>
      <c r="GB36" s="801"/>
      <c r="GC36" s="597"/>
      <c r="GD36" s="801"/>
      <c r="GE36" s="598"/>
      <c r="GF36" s="651"/>
      <c r="GG36" s="652"/>
      <c r="GH36" s="652"/>
      <c r="GI36" s="652"/>
      <c r="GJ36" s="527"/>
      <c r="GK36" s="817" t="s">
        <v>591</v>
      </c>
      <c r="GL36" s="817"/>
      <c r="GM36" s="817"/>
      <c r="GN36" s="817"/>
      <c r="GO36" s="817"/>
      <c r="GP36" s="817"/>
      <c r="GQ36" s="612">
        <v>14.7</v>
      </c>
      <c r="GR36" s="576" t="s">
        <v>470</v>
      </c>
      <c r="GS36" s="527"/>
      <c r="GT36" s="756"/>
      <c r="GU36" s="818"/>
      <c r="GV36" s="819"/>
      <c r="GW36" s="820"/>
      <c r="GX36" s="630"/>
      <c r="GY36" s="630"/>
      <c r="GZ36" s="630"/>
      <c r="HA36" s="630"/>
      <c r="HB36" s="631"/>
      <c r="HC36" s="527"/>
      <c r="HD36" s="645"/>
      <c r="HE36" s="416"/>
      <c r="HF36" s="416"/>
    </row>
    <row r="37" spans="1:219" ht="24" customHeight="1">
      <c r="A37" s="842" t="s">
        <v>414</v>
      </c>
      <c r="B37" s="843"/>
      <c r="C37" s="844" t="s">
        <v>415</v>
      </c>
      <c r="D37" s="845"/>
      <c r="E37" s="846" t="s">
        <v>416</v>
      </c>
      <c r="F37" s="847"/>
      <c r="G37" s="659" t="s">
        <v>411</v>
      </c>
      <c r="H37" s="660" t="s">
        <v>417</v>
      </c>
      <c r="I37" s="661" t="s">
        <v>411</v>
      </c>
      <c r="J37" s="660" t="s">
        <v>418</v>
      </c>
      <c r="K37" s="661" t="s">
        <v>411</v>
      </c>
      <c r="L37" s="660" t="s">
        <v>418</v>
      </c>
      <c r="M37" s="661" t="s">
        <v>411</v>
      </c>
      <c r="N37" s="660" t="s">
        <v>418</v>
      </c>
      <c r="O37" s="661" t="s">
        <v>411</v>
      </c>
      <c r="P37" s="660" t="s">
        <v>418</v>
      </c>
      <c r="Q37" s="661" t="s">
        <v>411</v>
      </c>
      <c r="R37" s="660" t="s">
        <v>418</v>
      </c>
      <c r="S37" s="661" t="s">
        <v>411</v>
      </c>
      <c r="T37" s="660" t="s">
        <v>418</v>
      </c>
      <c r="U37" s="661" t="s">
        <v>411</v>
      </c>
      <c r="V37" s="660" t="s">
        <v>418</v>
      </c>
      <c r="W37" s="661" t="s">
        <v>411</v>
      </c>
      <c r="X37" s="660" t="s">
        <v>418</v>
      </c>
      <c r="Y37" s="661" t="s">
        <v>411</v>
      </c>
      <c r="Z37" s="660" t="s">
        <v>418</v>
      </c>
      <c r="AA37" s="661" t="s">
        <v>411</v>
      </c>
      <c r="AB37" s="660" t="s">
        <v>418</v>
      </c>
      <c r="AC37" s="661" t="s">
        <v>411</v>
      </c>
      <c r="AD37" s="660" t="s">
        <v>418</v>
      </c>
      <c r="AE37" s="661" t="s">
        <v>411</v>
      </c>
      <c r="AF37" s="660" t="s">
        <v>418</v>
      </c>
      <c r="AG37" s="661" t="s">
        <v>411</v>
      </c>
      <c r="AH37" s="660" t="s">
        <v>418</v>
      </c>
      <c r="AI37" s="661" t="s">
        <v>411</v>
      </c>
      <c r="AJ37" s="660" t="s">
        <v>418</v>
      </c>
      <c r="AK37" s="661" t="s">
        <v>411</v>
      </c>
      <c r="AL37" s="660" t="s">
        <v>418</v>
      </c>
      <c r="AM37" s="661" t="s">
        <v>411</v>
      </c>
      <c r="AN37" s="660" t="s">
        <v>418</v>
      </c>
      <c r="AO37" s="661" t="s">
        <v>411</v>
      </c>
      <c r="AP37" s="660" t="s">
        <v>418</v>
      </c>
      <c r="AQ37" s="661" t="s">
        <v>411</v>
      </c>
      <c r="AR37" s="660" t="s">
        <v>418</v>
      </c>
      <c r="AS37" s="661" t="s">
        <v>411</v>
      </c>
      <c r="AT37" s="660" t="s">
        <v>418</v>
      </c>
      <c r="AU37" s="661" t="s">
        <v>411</v>
      </c>
      <c r="AV37" s="660" t="s">
        <v>418</v>
      </c>
      <c r="AW37" s="661" t="s">
        <v>411</v>
      </c>
      <c r="AX37" s="660" t="s">
        <v>418</v>
      </c>
      <c r="AY37" s="661" t="s">
        <v>411</v>
      </c>
      <c r="AZ37" s="660" t="s">
        <v>418</v>
      </c>
      <c r="BA37" s="661" t="s">
        <v>411</v>
      </c>
      <c r="BB37" s="662" t="s">
        <v>418</v>
      </c>
      <c r="BC37" s="716"/>
      <c r="BD37" s="842" t="s">
        <v>414</v>
      </c>
      <c r="BE37" s="843"/>
      <c r="BF37" s="844" t="s">
        <v>415</v>
      </c>
      <c r="BG37" s="845"/>
      <c r="BH37" s="846" t="s">
        <v>416</v>
      </c>
      <c r="BI37" s="847"/>
      <c r="BJ37" s="659" t="s">
        <v>411</v>
      </c>
      <c r="BK37" s="660" t="s">
        <v>417</v>
      </c>
      <c r="BL37" s="661" t="s">
        <v>411</v>
      </c>
      <c r="BM37" s="660" t="s">
        <v>418</v>
      </c>
      <c r="BN37" s="661" t="s">
        <v>411</v>
      </c>
      <c r="BO37" s="660" t="s">
        <v>418</v>
      </c>
      <c r="BP37" s="661" t="s">
        <v>411</v>
      </c>
      <c r="BQ37" s="660" t="s">
        <v>418</v>
      </c>
      <c r="BR37" s="661" t="s">
        <v>411</v>
      </c>
      <c r="BS37" s="660" t="s">
        <v>418</v>
      </c>
      <c r="BT37" s="661" t="s">
        <v>411</v>
      </c>
      <c r="BU37" s="660" t="s">
        <v>418</v>
      </c>
      <c r="BV37" s="661" t="s">
        <v>411</v>
      </c>
      <c r="BW37" s="660" t="s">
        <v>418</v>
      </c>
      <c r="BX37" s="661" t="s">
        <v>411</v>
      </c>
      <c r="BY37" s="660" t="s">
        <v>418</v>
      </c>
      <c r="BZ37" s="661" t="s">
        <v>411</v>
      </c>
      <c r="CA37" s="660" t="s">
        <v>418</v>
      </c>
      <c r="CB37" s="661" t="s">
        <v>411</v>
      </c>
      <c r="CC37" s="660" t="s">
        <v>418</v>
      </c>
      <c r="CD37" s="661" t="s">
        <v>411</v>
      </c>
      <c r="CE37" s="660" t="s">
        <v>418</v>
      </c>
      <c r="CF37" s="661" t="s">
        <v>411</v>
      </c>
      <c r="CG37" s="660" t="s">
        <v>418</v>
      </c>
      <c r="CH37" s="661" t="s">
        <v>411</v>
      </c>
      <c r="CI37" s="660" t="s">
        <v>418</v>
      </c>
      <c r="CJ37" s="661" t="s">
        <v>411</v>
      </c>
      <c r="CK37" s="660" t="s">
        <v>418</v>
      </c>
      <c r="CL37" s="661" t="s">
        <v>411</v>
      </c>
      <c r="CM37" s="660" t="s">
        <v>418</v>
      </c>
      <c r="CN37" s="661" t="s">
        <v>411</v>
      </c>
      <c r="CO37" s="660" t="s">
        <v>418</v>
      </c>
      <c r="CP37" s="661" t="s">
        <v>411</v>
      </c>
      <c r="CQ37" s="660" t="s">
        <v>418</v>
      </c>
      <c r="CR37" s="661" t="s">
        <v>411</v>
      </c>
      <c r="CS37" s="660" t="s">
        <v>418</v>
      </c>
      <c r="CT37" s="661" t="s">
        <v>411</v>
      </c>
      <c r="CU37" s="660" t="s">
        <v>418</v>
      </c>
      <c r="CV37" s="661" t="s">
        <v>411</v>
      </c>
      <c r="CW37" s="660" t="s">
        <v>418</v>
      </c>
      <c r="CX37" s="661" t="s">
        <v>411</v>
      </c>
      <c r="CY37" s="660" t="s">
        <v>418</v>
      </c>
      <c r="CZ37" s="661" t="s">
        <v>411</v>
      </c>
      <c r="DA37" s="660" t="s">
        <v>418</v>
      </c>
      <c r="DB37" s="661" t="s">
        <v>411</v>
      </c>
      <c r="DC37" s="660" t="s">
        <v>418</v>
      </c>
      <c r="DD37" s="661" t="s">
        <v>411</v>
      </c>
      <c r="DE37" s="662" t="s">
        <v>418</v>
      </c>
      <c r="DF37" s="716"/>
      <c r="DG37" s="842" t="s">
        <v>414</v>
      </c>
      <c r="DH37" s="843"/>
      <c r="DI37" s="844" t="s">
        <v>415</v>
      </c>
      <c r="DJ37" s="845"/>
      <c r="DK37" s="846" t="s">
        <v>416</v>
      </c>
      <c r="DL37" s="847"/>
      <c r="DM37" s="659" t="s">
        <v>411</v>
      </c>
      <c r="DN37" s="660" t="s">
        <v>417</v>
      </c>
      <c r="DO37" s="661" t="s">
        <v>411</v>
      </c>
      <c r="DP37" s="660" t="s">
        <v>418</v>
      </c>
      <c r="DQ37" s="661" t="s">
        <v>411</v>
      </c>
      <c r="DR37" s="660" t="s">
        <v>418</v>
      </c>
      <c r="DS37" s="661" t="s">
        <v>411</v>
      </c>
      <c r="DT37" s="660" t="s">
        <v>418</v>
      </c>
      <c r="DU37" s="661" t="s">
        <v>411</v>
      </c>
      <c r="DV37" s="660" t="s">
        <v>418</v>
      </c>
      <c r="DW37" s="661" t="s">
        <v>411</v>
      </c>
      <c r="DX37" s="660" t="s">
        <v>418</v>
      </c>
      <c r="DY37" s="661" t="s">
        <v>411</v>
      </c>
      <c r="DZ37" s="660" t="s">
        <v>418</v>
      </c>
      <c r="EA37" s="661" t="s">
        <v>411</v>
      </c>
      <c r="EB37" s="660" t="s">
        <v>418</v>
      </c>
      <c r="EC37" s="661" t="s">
        <v>411</v>
      </c>
      <c r="ED37" s="660" t="s">
        <v>418</v>
      </c>
      <c r="EE37" s="661" t="s">
        <v>411</v>
      </c>
      <c r="EF37" s="660" t="s">
        <v>418</v>
      </c>
      <c r="EG37" s="661" t="s">
        <v>411</v>
      </c>
      <c r="EH37" s="660" t="s">
        <v>418</v>
      </c>
      <c r="EI37" s="661" t="s">
        <v>411</v>
      </c>
      <c r="EJ37" s="660" t="s">
        <v>418</v>
      </c>
      <c r="EK37" s="661" t="s">
        <v>411</v>
      </c>
      <c r="EL37" s="660" t="s">
        <v>418</v>
      </c>
      <c r="EM37" s="661" t="s">
        <v>411</v>
      </c>
      <c r="EN37" s="660" t="s">
        <v>418</v>
      </c>
      <c r="EO37" s="661" t="s">
        <v>411</v>
      </c>
      <c r="EP37" s="660" t="s">
        <v>418</v>
      </c>
      <c r="EQ37" s="661" t="s">
        <v>411</v>
      </c>
      <c r="ER37" s="660" t="s">
        <v>418</v>
      </c>
      <c r="ES37" s="661" t="s">
        <v>411</v>
      </c>
      <c r="ET37" s="660" t="s">
        <v>418</v>
      </c>
      <c r="EU37" s="661" t="s">
        <v>411</v>
      </c>
      <c r="EV37" s="660" t="s">
        <v>418</v>
      </c>
      <c r="EW37" s="661" t="s">
        <v>411</v>
      </c>
      <c r="EX37" s="660" t="s">
        <v>418</v>
      </c>
      <c r="EY37" s="661" t="s">
        <v>411</v>
      </c>
      <c r="EZ37" s="660" t="s">
        <v>418</v>
      </c>
      <c r="FA37" s="661" t="s">
        <v>411</v>
      </c>
      <c r="FB37" s="660" t="s">
        <v>418</v>
      </c>
      <c r="FC37" s="661" t="s">
        <v>411</v>
      </c>
      <c r="FD37" s="660" t="s">
        <v>418</v>
      </c>
      <c r="FE37" s="661" t="s">
        <v>411</v>
      </c>
      <c r="FF37" s="660" t="s">
        <v>418</v>
      </c>
      <c r="FG37" s="661" t="s">
        <v>411</v>
      </c>
      <c r="FH37" s="662" t="s">
        <v>418</v>
      </c>
      <c r="FI37" s="739"/>
      <c r="FJ37" s="816" t="s">
        <v>414</v>
      </c>
      <c r="FK37" s="843"/>
      <c r="FL37" s="844" t="s">
        <v>415</v>
      </c>
      <c r="FM37" s="845"/>
      <c r="FN37" s="846" t="s">
        <v>416</v>
      </c>
      <c r="FO37" s="847"/>
      <c r="FP37" s="665"/>
      <c r="FQ37" s="848" t="s">
        <v>419</v>
      </c>
      <c r="FR37" s="660" t="s">
        <v>418</v>
      </c>
      <c r="FS37" s="667"/>
      <c r="FT37" s="848" t="s">
        <v>419</v>
      </c>
      <c r="FU37" s="668" t="s">
        <v>418</v>
      </c>
      <c r="FV37" s="590"/>
      <c r="FW37" s="591"/>
      <c r="FX37" s="799"/>
      <c r="FY37" s="593"/>
      <c r="FZ37" s="800"/>
      <c r="GA37" s="595"/>
      <c r="GB37" s="801"/>
      <c r="GC37" s="597"/>
      <c r="GD37" s="801"/>
      <c r="GE37" s="598"/>
      <c r="GF37" s="849"/>
      <c r="GG37" s="743"/>
      <c r="GH37" s="743"/>
      <c r="GI37" s="743"/>
      <c r="GJ37" s="527"/>
      <c r="GK37" s="414"/>
      <c r="GL37" s="577"/>
      <c r="GM37" s="414"/>
      <c r="GN37" s="577"/>
      <c r="GO37" s="414"/>
      <c r="GP37" s="414"/>
      <c r="GQ37" s="414"/>
      <c r="GR37" s="414"/>
      <c r="GS37" s="527"/>
      <c r="GT37" s="850"/>
      <c r="GU37" s="818"/>
      <c r="GV37" s="819"/>
      <c r="GW37" s="820"/>
      <c r="GX37" s="630"/>
      <c r="GY37" s="630"/>
      <c r="GZ37" s="630"/>
      <c r="HA37" s="630"/>
      <c r="HB37" s="631"/>
      <c r="HC37" s="527"/>
      <c r="HD37" s="716"/>
      <c r="HE37" s="416"/>
      <c r="HF37" s="416"/>
    </row>
    <row r="38" spans="1:219" ht="20.100000000000001" customHeight="1">
      <c r="A38" s="851"/>
      <c r="B38" s="852" t="s">
        <v>420</v>
      </c>
      <c r="C38" s="853"/>
      <c r="D38" s="854"/>
      <c r="E38" s="855"/>
      <c r="F38" s="856"/>
      <c r="G38" s="675"/>
      <c r="H38" s="857">
        <v>0</v>
      </c>
      <c r="I38" s="676"/>
      <c r="J38" s="857">
        <v>0</v>
      </c>
      <c r="K38" s="676"/>
      <c r="L38" s="857">
        <v>0</v>
      </c>
      <c r="M38" s="676"/>
      <c r="N38" s="857">
        <v>0</v>
      </c>
      <c r="O38" s="676"/>
      <c r="P38" s="857">
        <v>0</v>
      </c>
      <c r="Q38" s="676"/>
      <c r="R38" s="857">
        <v>0</v>
      </c>
      <c r="S38" s="676"/>
      <c r="T38" s="857">
        <v>0</v>
      </c>
      <c r="U38" s="676"/>
      <c r="V38" s="857">
        <v>0</v>
      </c>
      <c r="W38" s="676"/>
      <c r="X38" s="857">
        <v>0</v>
      </c>
      <c r="Y38" s="676"/>
      <c r="Z38" s="857">
        <v>0</v>
      </c>
      <c r="AA38" s="676"/>
      <c r="AB38" s="857">
        <v>0</v>
      </c>
      <c r="AC38" s="676"/>
      <c r="AD38" s="857">
        <v>0</v>
      </c>
      <c r="AE38" s="676"/>
      <c r="AF38" s="857">
        <v>0</v>
      </c>
      <c r="AG38" s="676"/>
      <c r="AH38" s="857">
        <v>0</v>
      </c>
      <c r="AI38" s="676"/>
      <c r="AJ38" s="857">
        <v>0</v>
      </c>
      <c r="AK38" s="676"/>
      <c r="AL38" s="857">
        <v>0</v>
      </c>
      <c r="AM38" s="676"/>
      <c r="AN38" s="857">
        <v>0</v>
      </c>
      <c r="AO38" s="676"/>
      <c r="AP38" s="857">
        <v>0</v>
      </c>
      <c r="AQ38" s="676"/>
      <c r="AR38" s="857">
        <v>0</v>
      </c>
      <c r="AS38" s="676"/>
      <c r="AT38" s="857">
        <v>0</v>
      </c>
      <c r="AU38" s="676"/>
      <c r="AV38" s="857">
        <v>0</v>
      </c>
      <c r="AW38" s="676"/>
      <c r="AX38" s="857">
        <v>0</v>
      </c>
      <c r="AY38" s="676"/>
      <c r="AZ38" s="857">
        <v>0</v>
      </c>
      <c r="BA38" s="676"/>
      <c r="BB38" s="858">
        <v>0</v>
      </c>
      <c r="BC38" s="559"/>
      <c r="BD38" s="851"/>
      <c r="BE38" s="852" t="s">
        <v>271</v>
      </c>
      <c r="BF38" s="859"/>
      <c r="BG38" s="860"/>
      <c r="BH38" s="855"/>
      <c r="BI38" s="856"/>
      <c r="BJ38" s="675"/>
      <c r="BK38" s="857">
        <v>0</v>
      </c>
      <c r="BL38" s="676"/>
      <c r="BM38" s="857">
        <v>0</v>
      </c>
      <c r="BN38" s="676"/>
      <c r="BO38" s="857">
        <v>0</v>
      </c>
      <c r="BP38" s="676"/>
      <c r="BQ38" s="857">
        <v>0</v>
      </c>
      <c r="BR38" s="676"/>
      <c r="BS38" s="857">
        <v>0</v>
      </c>
      <c r="BT38" s="676"/>
      <c r="BU38" s="857">
        <v>0</v>
      </c>
      <c r="BV38" s="676"/>
      <c r="BW38" s="857">
        <v>0</v>
      </c>
      <c r="BX38" s="676"/>
      <c r="BY38" s="857">
        <v>0</v>
      </c>
      <c r="BZ38" s="676"/>
      <c r="CA38" s="857">
        <v>0</v>
      </c>
      <c r="CB38" s="676"/>
      <c r="CC38" s="857">
        <v>0</v>
      </c>
      <c r="CD38" s="676"/>
      <c r="CE38" s="857">
        <v>0</v>
      </c>
      <c r="CF38" s="676"/>
      <c r="CG38" s="857">
        <v>0</v>
      </c>
      <c r="CH38" s="676"/>
      <c r="CI38" s="857">
        <v>0</v>
      </c>
      <c r="CJ38" s="676"/>
      <c r="CK38" s="857">
        <v>0</v>
      </c>
      <c r="CL38" s="676"/>
      <c r="CM38" s="857">
        <v>0</v>
      </c>
      <c r="CN38" s="676"/>
      <c r="CO38" s="857">
        <v>0</v>
      </c>
      <c r="CP38" s="676"/>
      <c r="CQ38" s="857">
        <v>0</v>
      </c>
      <c r="CR38" s="676"/>
      <c r="CS38" s="857">
        <v>0</v>
      </c>
      <c r="CT38" s="676"/>
      <c r="CU38" s="857">
        <v>0</v>
      </c>
      <c r="CV38" s="676"/>
      <c r="CW38" s="857">
        <v>0</v>
      </c>
      <c r="CX38" s="676"/>
      <c r="CY38" s="857">
        <v>0</v>
      </c>
      <c r="CZ38" s="676"/>
      <c r="DA38" s="857">
        <v>0</v>
      </c>
      <c r="DB38" s="676"/>
      <c r="DC38" s="857">
        <v>0</v>
      </c>
      <c r="DD38" s="676"/>
      <c r="DE38" s="858">
        <v>0</v>
      </c>
      <c r="DF38" s="559"/>
      <c r="DG38" s="851"/>
      <c r="DH38" s="852" t="s">
        <v>271</v>
      </c>
      <c r="DI38" s="859"/>
      <c r="DJ38" s="860"/>
      <c r="DK38" s="855"/>
      <c r="DL38" s="856"/>
      <c r="DM38" s="675"/>
      <c r="DN38" s="857">
        <v>0</v>
      </c>
      <c r="DO38" s="676"/>
      <c r="DP38" s="857">
        <v>0</v>
      </c>
      <c r="DQ38" s="676"/>
      <c r="DR38" s="857">
        <v>0</v>
      </c>
      <c r="DS38" s="676"/>
      <c r="DT38" s="857">
        <v>0</v>
      </c>
      <c r="DU38" s="676"/>
      <c r="DV38" s="857">
        <v>0</v>
      </c>
      <c r="DW38" s="676"/>
      <c r="DX38" s="857">
        <v>0</v>
      </c>
      <c r="DY38" s="676"/>
      <c r="DZ38" s="857">
        <v>0</v>
      </c>
      <c r="EA38" s="676"/>
      <c r="EB38" s="857">
        <v>0</v>
      </c>
      <c r="EC38" s="676"/>
      <c r="ED38" s="857">
        <v>0</v>
      </c>
      <c r="EE38" s="676"/>
      <c r="EF38" s="857">
        <v>0</v>
      </c>
      <c r="EG38" s="676"/>
      <c r="EH38" s="857">
        <v>0</v>
      </c>
      <c r="EI38" s="676"/>
      <c r="EJ38" s="857">
        <v>0</v>
      </c>
      <c r="EK38" s="676"/>
      <c r="EL38" s="857">
        <v>0</v>
      </c>
      <c r="EM38" s="676"/>
      <c r="EN38" s="857">
        <v>0</v>
      </c>
      <c r="EO38" s="676"/>
      <c r="EP38" s="857">
        <v>0</v>
      </c>
      <c r="EQ38" s="676"/>
      <c r="ER38" s="857">
        <v>0</v>
      </c>
      <c r="ES38" s="676"/>
      <c r="ET38" s="857">
        <v>0</v>
      </c>
      <c r="EU38" s="676"/>
      <c r="EV38" s="857">
        <v>0</v>
      </c>
      <c r="EW38" s="676"/>
      <c r="EX38" s="857">
        <v>0</v>
      </c>
      <c r="EY38" s="676"/>
      <c r="EZ38" s="857">
        <v>0</v>
      </c>
      <c r="FA38" s="676"/>
      <c r="FB38" s="857">
        <v>0</v>
      </c>
      <c r="FC38" s="676"/>
      <c r="FD38" s="857">
        <v>0</v>
      </c>
      <c r="FE38" s="676"/>
      <c r="FF38" s="857">
        <v>0</v>
      </c>
      <c r="FG38" s="676"/>
      <c r="FH38" s="858">
        <v>0</v>
      </c>
      <c r="FI38" s="560"/>
      <c r="FJ38" s="816"/>
      <c r="FK38" s="852" t="s">
        <v>271</v>
      </c>
      <c r="FL38" s="853"/>
      <c r="FM38" s="854"/>
      <c r="FN38" s="855">
        <v>0</v>
      </c>
      <c r="FO38" s="856"/>
      <c r="FP38" s="678"/>
      <c r="FQ38" s="679"/>
      <c r="FR38" s="556">
        <v>0</v>
      </c>
      <c r="FS38" s="680"/>
      <c r="FT38" s="679"/>
      <c r="FU38" s="564">
        <v>0</v>
      </c>
      <c r="FV38" s="590"/>
      <c r="FW38" s="591"/>
      <c r="FX38" s="799"/>
      <c r="FY38" s="593"/>
      <c r="FZ38" s="800"/>
      <c r="GA38" s="595"/>
      <c r="GB38" s="801"/>
      <c r="GC38" s="597"/>
      <c r="GD38" s="801"/>
      <c r="GE38" s="598"/>
      <c r="GF38" s="681"/>
      <c r="GG38" s="599"/>
      <c r="GH38" s="599"/>
      <c r="GI38" s="599"/>
      <c r="GJ38" s="577"/>
      <c r="GK38" s="414" t="s">
        <v>492</v>
      </c>
      <c r="GL38" s="410"/>
      <c r="GM38" s="414"/>
      <c r="GN38" s="410"/>
      <c r="GO38" s="414"/>
      <c r="GP38" s="414"/>
      <c r="GQ38" s="414"/>
      <c r="GR38" s="414"/>
      <c r="GS38" s="577"/>
      <c r="GT38" s="850"/>
      <c r="GU38" s="861" t="s">
        <v>463</v>
      </c>
      <c r="GV38" s="862"/>
      <c r="GW38" s="862"/>
      <c r="GX38" s="862"/>
      <c r="GY38" s="862"/>
      <c r="GZ38" s="863"/>
      <c r="HA38" s="630">
        <v>138.78</v>
      </c>
      <c r="HB38" s="864">
        <v>53.3</v>
      </c>
      <c r="HC38" s="527"/>
      <c r="HD38" s="527"/>
      <c r="HE38" s="388"/>
      <c r="HF38" s="388"/>
      <c r="HK38" s="416"/>
    </row>
    <row r="39" spans="1:219" ht="20.100000000000001" customHeight="1">
      <c r="A39" s="821"/>
      <c r="B39" s="865" t="s">
        <v>421</v>
      </c>
      <c r="C39" s="866"/>
      <c r="D39" s="867"/>
      <c r="E39" s="868"/>
      <c r="F39" s="869"/>
      <c r="G39" s="687"/>
      <c r="H39" s="870">
        <v>0</v>
      </c>
      <c r="I39" s="688"/>
      <c r="J39" s="870">
        <v>0</v>
      </c>
      <c r="K39" s="688"/>
      <c r="L39" s="870">
        <v>0</v>
      </c>
      <c r="M39" s="688"/>
      <c r="N39" s="870">
        <v>0</v>
      </c>
      <c r="O39" s="688"/>
      <c r="P39" s="870">
        <v>0</v>
      </c>
      <c r="Q39" s="688"/>
      <c r="R39" s="870">
        <v>0</v>
      </c>
      <c r="S39" s="688"/>
      <c r="T39" s="870">
        <v>0</v>
      </c>
      <c r="U39" s="688"/>
      <c r="V39" s="870">
        <v>0</v>
      </c>
      <c r="W39" s="688"/>
      <c r="X39" s="870">
        <v>0</v>
      </c>
      <c r="Y39" s="688"/>
      <c r="Z39" s="870">
        <v>0</v>
      </c>
      <c r="AA39" s="688"/>
      <c r="AB39" s="870">
        <v>0</v>
      </c>
      <c r="AC39" s="688"/>
      <c r="AD39" s="870">
        <v>0</v>
      </c>
      <c r="AE39" s="688"/>
      <c r="AF39" s="870">
        <v>0</v>
      </c>
      <c r="AG39" s="688"/>
      <c r="AH39" s="870">
        <v>0</v>
      </c>
      <c r="AI39" s="688"/>
      <c r="AJ39" s="870">
        <v>0</v>
      </c>
      <c r="AK39" s="688"/>
      <c r="AL39" s="870">
        <v>0</v>
      </c>
      <c r="AM39" s="688"/>
      <c r="AN39" s="870">
        <v>0</v>
      </c>
      <c r="AO39" s="688"/>
      <c r="AP39" s="870">
        <v>0</v>
      </c>
      <c r="AQ39" s="688"/>
      <c r="AR39" s="870">
        <v>0</v>
      </c>
      <c r="AS39" s="688"/>
      <c r="AT39" s="870">
        <v>0</v>
      </c>
      <c r="AU39" s="688"/>
      <c r="AV39" s="870">
        <v>0</v>
      </c>
      <c r="AW39" s="688"/>
      <c r="AX39" s="870">
        <v>0</v>
      </c>
      <c r="AY39" s="688"/>
      <c r="AZ39" s="870">
        <v>0</v>
      </c>
      <c r="BA39" s="688"/>
      <c r="BB39" s="871">
        <v>0</v>
      </c>
      <c r="BC39" s="559"/>
      <c r="BD39" s="821"/>
      <c r="BE39" s="865" t="s">
        <v>278</v>
      </c>
      <c r="BF39" s="872"/>
      <c r="BG39" s="873"/>
      <c r="BH39" s="868"/>
      <c r="BI39" s="869"/>
      <c r="BJ39" s="687"/>
      <c r="BK39" s="870">
        <v>0</v>
      </c>
      <c r="BL39" s="688"/>
      <c r="BM39" s="870">
        <v>0</v>
      </c>
      <c r="BN39" s="688"/>
      <c r="BO39" s="870">
        <v>0</v>
      </c>
      <c r="BP39" s="688"/>
      <c r="BQ39" s="870">
        <v>0</v>
      </c>
      <c r="BR39" s="688"/>
      <c r="BS39" s="870">
        <v>0</v>
      </c>
      <c r="BT39" s="688"/>
      <c r="BU39" s="870">
        <v>0</v>
      </c>
      <c r="BV39" s="688"/>
      <c r="BW39" s="870">
        <v>0</v>
      </c>
      <c r="BX39" s="688"/>
      <c r="BY39" s="870">
        <v>0</v>
      </c>
      <c r="BZ39" s="688"/>
      <c r="CA39" s="870">
        <v>0</v>
      </c>
      <c r="CB39" s="688"/>
      <c r="CC39" s="870">
        <v>0</v>
      </c>
      <c r="CD39" s="688"/>
      <c r="CE39" s="870">
        <v>0</v>
      </c>
      <c r="CF39" s="688"/>
      <c r="CG39" s="870">
        <v>0</v>
      </c>
      <c r="CH39" s="688"/>
      <c r="CI39" s="870">
        <v>0</v>
      </c>
      <c r="CJ39" s="688"/>
      <c r="CK39" s="870">
        <v>0</v>
      </c>
      <c r="CL39" s="688"/>
      <c r="CM39" s="870">
        <v>0</v>
      </c>
      <c r="CN39" s="688"/>
      <c r="CO39" s="870">
        <v>0</v>
      </c>
      <c r="CP39" s="688"/>
      <c r="CQ39" s="870">
        <v>0</v>
      </c>
      <c r="CR39" s="688"/>
      <c r="CS39" s="870">
        <v>0</v>
      </c>
      <c r="CT39" s="688"/>
      <c r="CU39" s="870">
        <v>0</v>
      </c>
      <c r="CV39" s="688"/>
      <c r="CW39" s="870">
        <v>0</v>
      </c>
      <c r="CX39" s="688"/>
      <c r="CY39" s="870">
        <v>0</v>
      </c>
      <c r="CZ39" s="688"/>
      <c r="DA39" s="870">
        <v>0</v>
      </c>
      <c r="DB39" s="688"/>
      <c r="DC39" s="870">
        <v>0</v>
      </c>
      <c r="DD39" s="688"/>
      <c r="DE39" s="871">
        <v>0</v>
      </c>
      <c r="DF39" s="559"/>
      <c r="DG39" s="821"/>
      <c r="DH39" s="865" t="s">
        <v>278</v>
      </c>
      <c r="DI39" s="872"/>
      <c r="DJ39" s="873"/>
      <c r="DK39" s="868"/>
      <c r="DL39" s="869"/>
      <c r="DM39" s="687"/>
      <c r="DN39" s="870">
        <v>0</v>
      </c>
      <c r="DO39" s="688"/>
      <c r="DP39" s="870">
        <v>0</v>
      </c>
      <c r="DQ39" s="688"/>
      <c r="DR39" s="870">
        <v>0</v>
      </c>
      <c r="DS39" s="688"/>
      <c r="DT39" s="870">
        <v>0</v>
      </c>
      <c r="DU39" s="688"/>
      <c r="DV39" s="870">
        <v>0</v>
      </c>
      <c r="DW39" s="688"/>
      <c r="DX39" s="870">
        <v>0</v>
      </c>
      <c r="DY39" s="688"/>
      <c r="DZ39" s="870">
        <v>0</v>
      </c>
      <c r="EA39" s="688"/>
      <c r="EB39" s="870">
        <v>0</v>
      </c>
      <c r="EC39" s="688"/>
      <c r="ED39" s="870">
        <v>0</v>
      </c>
      <c r="EE39" s="688"/>
      <c r="EF39" s="870">
        <v>0</v>
      </c>
      <c r="EG39" s="688"/>
      <c r="EH39" s="870">
        <v>0</v>
      </c>
      <c r="EI39" s="688"/>
      <c r="EJ39" s="870">
        <v>0</v>
      </c>
      <c r="EK39" s="688"/>
      <c r="EL39" s="870">
        <v>0</v>
      </c>
      <c r="EM39" s="688"/>
      <c r="EN39" s="870">
        <v>0</v>
      </c>
      <c r="EO39" s="688"/>
      <c r="EP39" s="870">
        <v>0</v>
      </c>
      <c r="EQ39" s="688"/>
      <c r="ER39" s="870">
        <v>0</v>
      </c>
      <c r="ES39" s="688"/>
      <c r="ET39" s="870">
        <v>0</v>
      </c>
      <c r="EU39" s="688"/>
      <c r="EV39" s="870">
        <v>0</v>
      </c>
      <c r="EW39" s="688"/>
      <c r="EX39" s="870">
        <v>0</v>
      </c>
      <c r="EY39" s="688"/>
      <c r="EZ39" s="870">
        <v>0</v>
      </c>
      <c r="FA39" s="688"/>
      <c r="FB39" s="870">
        <v>0</v>
      </c>
      <c r="FC39" s="688"/>
      <c r="FD39" s="870">
        <v>0</v>
      </c>
      <c r="FE39" s="688"/>
      <c r="FF39" s="870">
        <v>0</v>
      </c>
      <c r="FG39" s="688"/>
      <c r="FH39" s="871">
        <v>0</v>
      </c>
      <c r="FI39" s="560"/>
      <c r="FJ39" s="830"/>
      <c r="FK39" s="865" t="s">
        <v>278</v>
      </c>
      <c r="FL39" s="866"/>
      <c r="FM39" s="867"/>
      <c r="FN39" s="868">
        <v>0</v>
      </c>
      <c r="FO39" s="869"/>
      <c r="FP39" s="689"/>
      <c r="FQ39" s="690"/>
      <c r="FR39" s="584">
        <v>0</v>
      </c>
      <c r="FS39" s="691"/>
      <c r="FT39" s="690"/>
      <c r="FU39" s="589">
        <v>0</v>
      </c>
      <c r="FV39" s="590"/>
      <c r="FW39" s="591"/>
      <c r="FX39" s="799"/>
      <c r="FY39" s="593"/>
      <c r="FZ39" s="800"/>
      <c r="GA39" s="595"/>
      <c r="GB39" s="801"/>
      <c r="GC39" s="597"/>
      <c r="GD39" s="801"/>
      <c r="GE39" s="598"/>
      <c r="GF39" s="681"/>
      <c r="GG39" s="599"/>
      <c r="GH39" s="599"/>
      <c r="GI39" s="599"/>
      <c r="GJ39" s="410"/>
      <c r="GK39" s="874"/>
      <c r="GL39" s="875"/>
      <c r="GM39" s="876" t="s">
        <v>493</v>
      </c>
      <c r="GN39" s="875"/>
      <c r="GO39" s="876" t="s">
        <v>494</v>
      </c>
      <c r="GP39" s="875"/>
      <c r="GQ39" s="876" t="s">
        <v>495</v>
      </c>
      <c r="GR39" s="877"/>
      <c r="GS39" s="414"/>
      <c r="GT39" s="682"/>
      <c r="GU39" s="527" t="s">
        <v>496</v>
      </c>
      <c r="GV39" s="527"/>
      <c r="GW39" s="527"/>
      <c r="GX39" s="527"/>
      <c r="GY39" s="527"/>
      <c r="GZ39" s="527"/>
      <c r="HA39" s="683">
        <v>2.6</v>
      </c>
      <c r="HB39" s="576"/>
      <c r="HC39" s="527"/>
      <c r="HD39" s="559"/>
    </row>
    <row r="40" spans="1:219" ht="20.100000000000001" customHeight="1">
      <c r="A40" s="878"/>
      <c r="B40" s="639"/>
      <c r="C40" s="639"/>
      <c r="D40" s="640" t="s">
        <v>422</v>
      </c>
      <c r="E40" s="639"/>
      <c r="F40" s="639"/>
      <c r="G40" s="834"/>
      <c r="H40" s="835">
        <v>0</v>
      </c>
      <c r="I40" s="836"/>
      <c r="J40" s="837">
        <v>0</v>
      </c>
      <c r="K40" s="838"/>
      <c r="L40" s="837">
        <v>0</v>
      </c>
      <c r="M40" s="838"/>
      <c r="N40" s="837">
        <v>0</v>
      </c>
      <c r="O40" s="838"/>
      <c r="P40" s="837">
        <v>0</v>
      </c>
      <c r="Q40" s="838"/>
      <c r="R40" s="837">
        <v>0</v>
      </c>
      <c r="S40" s="838"/>
      <c r="T40" s="837">
        <v>0</v>
      </c>
      <c r="U40" s="838"/>
      <c r="V40" s="837">
        <v>0</v>
      </c>
      <c r="W40" s="838"/>
      <c r="X40" s="837">
        <v>0</v>
      </c>
      <c r="Y40" s="838"/>
      <c r="Z40" s="837">
        <v>0</v>
      </c>
      <c r="AA40" s="838"/>
      <c r="AB40" s="837">
        <v>0</v>
      </c>
      <c r="AC40" s="838"/>
      <c r="AD40" s="837">
        <v>0</v>
      </c>
      <c r="AE40" s="838"/>
      <c r="AF40" s="837">
        <v>0</v>
      </c>
      <c r="AG40" s="838"/>
      <c r="AH40" s="837">
        <v>0</v>
      </c>
      <c r="AI40" s="838"/>
      <c r="AJ40" s="837">
        <v>0</v>
      </c>
      <c r="AK40" s="838"/>
      <c r="AL40" s="837">
        <v>0</v>
      </c>
      <c r="AM40" s="838"/>
      <c r="AN40" s="837">
        <v>0</v>
      </c>
      <c r="AO40" s="838"/>
      <c r="AP40" s="837">
        <v>0</v>
      </c>
      <c r="AQ40" s="838"/>
      <c r="AR40" s="837">
        <v>0</v>
      </c>
      <c r="AS40" s="838"/>
      <c r="AT40" s="837">
        <v>0</v>
      </c>
      <c r="AU40" s="838"/>
      <c r="AV40" s="837">
        <v>0</v>
      </c>
      <c r="AW40" s="838"/>
      <c r="AX40" s="837">
        <v>0</v>
      </c>
      <c r="AY40" s="838"/>
      <c r="AZ40" s="837">
        <v>0</v>
      </c>
      <c r="BA40" s="838"/>
      <c r="BB40" s="839">
        <v>0</v>
      </c>
      <c r="BC40" s="645"/>
      <c r="BD40" s="878"/>
      <c r="BE40" s="639"/>
      <c r="BF40" s="639"/>
      <c r="BG40" s="640" t="s">
        <v>422</v>
      </c>
      <c r="BH40" s="639"/>
      <c r="BI40" s="639"/>
      <c r="BJ40" s="834"/>
      <c r="BK40" s="835">
        <v>0</v>
      </c>
      <c r="BL40" s="836"/>
      <c r="BM40" s="837">
        <v>0</v>
      </c>
      <c r="BN40" s="838"/>
      <c r="BO40" s="837">
        <v>0</v>
      </c>
      <c r="BP40" s="838"/>
      <c r="BQ40" s="837">
        <v>0</v>
      </c>
      <c r="BR40" s="838"/>
      <c r="BS40" s="837">
        <v>0</v>
      </c>
      <c r="BT40" s="838"/>
      <c r="BU40" s="837">
        <v>0</v>
      </c>
      <c r="BV40" s="838"/>
      <c r="BW40" s="837">
        <v>0</v>
      </c>
      <c r="BX40" s="838"/>
      <c r="BY40" s="837">
        <v>0</v>
      </c>
      <c r="BZ40" s="838"/>
      <c r="CA40" s="837">
        <v>0</v>
      </c>
      <c r="CB40" s="838"/>
      <c r="CC40" s="837">
        <v>0</v>
      </c>
      <c r="CD40" s="838"/>
      <c r="CE40" s="837">
        <v>0</v>
      </c>
      <c r="CF40" s="838"/>
      <c r="CG40" s="837">
        <v>0</v>
      </c>
      <c r="CH40" s="838"/>
      <c r="CI40" s="837">
        <v>0</v>
      </c>
      <c r="CJ40" s="838"/>
      <c r="CK40" s="837">
        <v>0</v>
      </c>
      <c r="CL40" s="838"/>
      <c r="CM40" s="837">
        <v>0</v>
      </c>
      <c r="CN40" s="838"/>
      <c r="CO40" s="837">
        <v>0</v>
      </c>
      <c r="CP40" s="838"/>
      <c r="CQ40" s="837">
        <v>0</v>
      </c>
      <c r="CR40" s="838"/>
      <c r="CS40" s="837">
        <v>0</v>
      </c>
      <c r="CT40" s="838"/>
      <c r="CU40" s="837">
        <v>0</v>
      </c>
      <c r="CV40" s="838"/>
      <c r="CW40" s="837">
        <v>0</v>
      </c>
      <c r="CX40" s="838"/>
      <c r="CY40" s="837">
        <v>0</v>
      </c>
      <c r="CZ40" s="838"/>
      <c r="DA40" s="837">
        <v>0</v>
      </c>
      <c r="DB40" s="838"/>
      <c r="DC40" s="837">
        <v>0</v>
      </c>
      <c r="DD40" s="838"/>
      <c r="DE40" s="839">
        <v>0</v>
      </c>
      <c r="DF40" s="645"/>
      <c r="DG40" s="878"/>
      <c r="DH40" s="639"/>
      <c r="DI40" s="639"/>
      <c r="DJ40" s="640" t="s">
        <v>422</v>
      </c>
      <c r="DK40" s="639"/>
      <c r="DL40" s="639"/>
      <c r="DM40" s="834"/>
      <c r="DN40" s="835">
        <v>0</v>
      </c>
      <c r="DO40" s="836"/>
      <c r="DP40" s="837">
        <v>0</v>
      </c>
      <c r="DQ40" s="838"/>
      <c r="DR40" s="837">
        <v>0</v>
      </c>
      <c r="DS40" s="838"/>
      <c r="DT40" s="837">
        <v>0</v>
      </c>
      <c r="DU40" s="838"/>
      <c r="DV40" s="837">
        <v>0</v>
      </c>
      <c r="DW40" s="838"/>
      <c r="DX40" s="837">
        <v>0</v>
      </c>
      <c r="DY40" s="838"/>
      <c r="DZ40" s="837">
        <v>0</v>
      </c>
      <c r="EA40" s="838"/>
      <c r="EB40" s="837">
        <v>0</v>
      </c>
      <c r="EC40" s="838"/>
      <c r="ED40" s="837">
        <v>0</v>
      </c>
      <c r="EE40" s="838"/>
      <c r="EF40" s="837">
        <v>0</v>
      </c>
      <c r="EG40" s="838"/>
      <c r="EH40" s="837">
        <v>0</v>
      </c>
      <c r="EI40" s="838"/>
      <c r="EJ40" s="837">
        <v>0</v>
      </c>
      <c r="EK40" s="838"/>
      <c r="EL40" s="837">
        <v>0</v>
      </c>
      <c r="EM40" s="838"/>
      <c r="EN40" s="837">
        <v>0</v>
      </c>
      <c r="EO40" s="838"/>
      <c r="EP40" s="837">
        <v>0</v>
      </c>
      <c r="EQ40" s="838"/>
      <c r="ER40" s="837">
        <v>0</v>
      </c>
      <c r="ES40" s="838"/>
      <c r="ET40" s="837">
        <v>0</v>
      </c>
      <c r="EU40" s="838"/>
      <c r="EV40" s="837">
        <v>0</v>
      </c>
      <c r="EW40" s="838"/>
      <c r="EX40" s="837">
        <v>0</v>
      </c>
      <c r="EY40" s="838"/>
      <c r="EZ40" s="837">
        <v>0</v>
      </c>
      <c r="FA40" s="838"/>
      <c r="FB40" s="837">
        <v>0</v>
      </c>
      <c r="FC40" s="838"/>
      <c r="FD40" s="837">
        <v>0</v>
      </c>
      <c r="FE40" s="838"/>
      <c r="FF40" s="837">
        <v>0</v>
      </c>
      <c r="FG40" s="838"/>
      <c r="FH40" s="839">
        <v>0</v>
      </c>
      <c r="FI40" s="646"/>
      <c r="FJ40" s="830"/>
      <c r="FK40" s="639"/>
      <c r="FL40" s="639"/>
      <c r="FM40" s="640" t="s">
        <v>422</v>
      </c>
      <c r="FN40" s="639"/>
      <c r="FO40" s="639"/>
      <c r="FP40" s="647"/>
      <c r="FQ40" s="836"/>
      <c r="FR40" s="835">
        <v>0</v>
      </c>
      <c r="FS40" s="840"/>
      <c r="FT40" s="836"/>
      <c r="FU40" s="841">
        <v>0</v>
      </c>
      <c r="FV40" s="590"/>
      <c r="FW40" s="591"/>
      <c r="FX40" s="799"/>
      <c r="FY40" s="593"/>
      <c r="FZ40" s="800"/>
      <c r="GA40" s="595"/>
      <c r="GB40" s="801"/>
      <c r="GC40" s="597"/>
      <c r="GD40" s="801"/>
      <c r="GE40" s="598"/>
      <c r="GF40" s="651"/>
      <c r="GG40" s="652"/>
      <c r="GH40" s="652"/>
      <c r="GI40" s="652"/>
      <c r="GJ40" s="527"/>
      <c r="GK40" s="879"/>
      <c r="GL40" s="880"/>
      <c r="GM40" s="880"/>
      <c r="GN40" s="880"/>
      <c r="GO40" s="880"/>
      <c r="GP40" s="880"/>
      <c r="GQ40" s="880"/>
      <c r="GR40" s="881"/>
      <c r="GS40" s="882"/>
      <c r="GT40" s="682"/>
      <c r="GU40" s="527" t="s">
        <v>519</v>
      </c>
      <c r="GV40" s="527"/>
      <c r="GW40" s="527"/>
      <c r="GX40" s="527"/>
      <c r="GY40" s="527"/>
      <c r="GZ40" s="527"/>
      <c r="HA40" s="883">
        <v>49.8</v>
      </c>
      <c r="HB40" s="414"/>
      <c r="HC40" s="527"/>
      <c r="HD40" s="577"/>
      <c r="HK40" s="416"/>
    </row>
    <row r="41" spans="1:219" ht="20.100000000000001" customHeight="1">
      <c r="A41" s="851" t="s">
        <v>423</v>
      </c>
      <c r="B41" s="731"/>
      <c r="C41" s="884"/>
      <c r="D41" s="884"/>
      <c r="E41" s="884"/>
      <c r="F41" s="885"/>
      <c r="G41" s="733"/>
      <c r="H41" s="660" t="s">
        <v>398</v>
      </c>
      <c r="I41" s="734"/>
      <c r="J41" s="660" t="s">
        <v>398</v>
      </c>
      <c r="K41" s="735"/>
      <c r="L41" s="660" t="s">
        <v>398</v>
      </c>
      <c r="M41" s="735"/>
      <c r="N41" s="660" t="s">
        <v>398</v>
      </c>
      <c r="O41" s="735"/>
      <c r="P41" s="660" t="s">
        <v>398</v>
      </c>
      <c r="Q41" s="735"/>
      <c r="R41" s="660" t="s">
        <v>398</v>
      </c>
      <c r="S41" s="735"/>
      <c r="T41" s="660" t="s">
        <v>398</v>
      </c>
      <c r="U41" s="735"/>
      <c r="V41" s="660" t="s">
        <v>398</v>
      </c>
      <c r="W41" s="735"/>
      <c r="X41" s="660" t="s">
        <v>398</v>
      </c>
      <c r="Y41" s="735" t="s">
        <v>411</v>
      </c>
      <c r="Z41" s="660" t="s">
        <v>398</v>
      </c>
      <c r="AA41" s="735" t="s">
        <v>411</v>
      </c>
      <c r="AB41" s="660" t="s">
        <v>398</v>
      </c>
      <c r="AC41" s="735"/>
      <c r="AD41" s="660" t="s">
        <v>398</v>
      </c>
      <c r="AE41" s="735"/>
      <c r="AF41" s="660" t="s">
        <v>398</v>
      </c>
      <c r="AG41" s="735"/>
      <c r="AH41" s="660" t="s">
        <v>398</v>
      </c>
      <c r="AI41" s="735"/>
      <c r="AJ41" s="660" t="s">
        <v>398</v>
      </c>
      <c r="AK41" s="735"/>
      <c r="AL41" s="660" t="s">
        <v>398</v>
      </c>
      <c r="AM41" s="735"/>
      <c r="AN41" s="660" t="s">
        <v>398</v>
      </c>
      <c r="AO41" s="735"/>
      <c r="AP41" s="660" t="s">
        <v>398</v>
      </c>
      <c r="AQ41" s="735"/>
      <c r="AR41" s="660" t="s">
        <v>398</v>
      </c>
      <c r="AS41" s="735"/>
      <c r="AT41" s="660" t="s">
        <v>398</v>
      </c>
      <c r="AU41" s="735"/>
      <c r="AV41" s="660" t="s">
        <v>398</v>
      </c>
      <c r="AW41" s="735"/>
      <c r="AX41" s="660" t="s">
        <v>398</v>
      </c>
      <c r="AY41" s="735"/>
      <c r="AZ41" s="660" t="s">
        <v>398</v>
      </c>
      <c r="BA41" s="735"/>
      <c r="BB41" s="662" t="s">
        <v>398</v>
      </c>
      <c r="BC41" s="716"/>
      <c r="BD41" s="851" t="s">
        <v>423</v>
      </c>
      <c r="BE41" s="731"/>
      <c r="BF41" s="884"/>
      <c r="BG41" s="884"/>
      <c r="BH41" s="884"/>
      <c r="BI41" s="885"/>
      <c r="BJ41" s="733"/>
      <c r="BK41" s="660" t="s">
        <v>398</v>
      </c>
      <c r="BL41" s="734"/>
      <c r="BM41" s="660" t="s">
        <v>398</v>
      </c>
      <c r="BN41" s="735"/>
      <c r="BO41" s="660" t="s">
        <v>398</v>
      </c>
      <c r="BP41" s="735"/>
      <c r="BQ41" s="660" t="s">
        <v>398</v>
      </c>
      <c r="BR41" s="735"/>
      <c r="BS41" s="660" t="s">
        <v>398</v>
      </c>
      <c r="BT41" s="735"/>
      <c r="BU41" s="660" t="s">
        <v>398</v>
      </c>
      <c r="BV41" s="735"/>
      <c r="BW41" s="660" t="s">
        <v>398</v>
      </c>
      <c r="BX41" s="735"/>
      <c r="BY41" s="660" t="s">
        <v>398</v>
      </c>
      <c r="BZ41" s="735"/>
      <c r="CA41" s="660" t="s">
        <v>398</v>
      </c>
      <c r="CB41" s="735" t="s">
        <v>411</v>
      </c>
      <c r="CC41" s="660" t="s">
        <v>398</v>
      </c>
      <c r="CD41" s="735" t="s">
        <v>411</v>
      </c>
      <c r="CE41" s="660" t="s">
        <v>398</v>
      </c>
      <c r="CF41" s="735"/>
      <c r="CG41" s="660" t="s">
        <v>398</v>
      </c>
      <c r="CH41" s="735"/>
      <c r="CI41" s="660" t="s">
        <v>398</v>
      </c>
      <c r="CJ41" s="735"/>
      <c r="CK41" s="660" t="s">
        <v>398</v>
      </c>
      <c r="CL41" s="735"/>
      <c r="CM41" s="660" t="s">
        <v>398</v>
      </c>
      <c r="CN41" s="735"/>
      <c r="CO41" s="660" t="s">
        <v>398</v>
      </c>
      <c r="CP41" s="735"/>
      <c r="CQ41" s="660" t="s">
        <v>398</v>
      </c>
      <c r="CR41" s="735"/>
      <c r="CS41" s="660" t="s">
        <v>398</v>
      </c>
      <c r="CT41" s="735"/>
      <c r="CU41" s="660" t="s">
        <v>398</v>
      </c>
      <c r="CV41" s="735"/>
      <c r="CW41" s="660" t="s">
        <v>398</v>
      </c>
      <c r="CX41" s="735"/>
      <c r="CY41" s="660" t="s">
        <v>398</v>
      </c>
      <c r="CZ41" s="735"/>
      <c r="DA41" s="660" t="s">
        <v>398</v>
      </c>
      <c r="DB41" s="735"/>
      <c r="DC41" s="660" t="s">
        <v>398</v>
      </c>
      <c r="DD41" s="735"/>
      <c r="DE41" s="662" t="s">
        <v>398</v>
      </c>
      <c r="DF41" s="716"/>
      <c r="DG41" s="851" t="s">
        <v>423</v>
      </c>
      <c r="DH41" s="731"/>
      <c r="DI41" s="884"/>
      <c r="DJ41" s="884"/>
      <c r="DK41" s="884"/>
      <c r="DL41" s="885"/>
      <c r="DM41" s="733"/>
      <c r="DN41" s="660" t="s">
        <v>398</v>
      </c>
      <c r="DO41" s="734"/>
      <c r="DP41" s="660" t="s">
        <v>398</v>
      </c>
      <c r="DQ41" s="735"/>
      <c r="DR41" s="660" t="s">
        <v>398</v>
      </c>
      <c r="DS41" s="735"/>
      <c r="DT41" s="660" t="s">
        <v>398</v>
      </c>
      <c r="DU41" s="735"/>
      <c r="DV41" s="660" t="s">
        <v>398</v>
      </c>
      <c r="DW41" s="735"/>
      <c r="DX41" s="660" t="s">
        <v>398</v>
      </c>
      <c r="DY41" s="735"/>
      <c r="DZ41" s="660" t="s">
        <v>398</v>
      </c>
      <c r="EA41" s="735"/>
      <c r="EB41" s="660" t="s">
        <v>398</v>
      </c>
      <c r="EC41" s="735"/>
      <c r="ED41" s="660" t="s">
        <v>398</v>
      </c>
      <c r="EE41" s="735" t="s">
        <v>411</v>
      </c>
      <c r="EF41" s="660" t="s">
        <v>398</v>
      </c>
      <c r="EG41" s="735" t="s">
        <v>411</v>
      </c>
      <c r="EH41" s="660" t="s">
        <v>398</v>
      </c>
      <c r="EI41" s="735"/>
      <c r="EJ41" s="660" t="s">
        <v>398</v>
      </c>
      <c r="EK41" s="735"/>
      <c r="EL41" s="660" t="s">
        <v>398</v>
      </c>
      <c r="EM41" s="735"/>
      <c r="EN41" s="660" t="s">
        <v>398</v>
      </c>
      <c r="EO41" s="735"/>
      <c r="EP41" s="660" t="s">
        <v>398</v>
      </c>
      <c r="EQ41" s="735"/>
      <c r="ER41" s="660" t="s">
        <v>398</v>
      </c>
      <c r="ES41" s="735"/>
      <c r="ET41" s="660" t="s">
        <v>398</v>
      </c>
      <c r="EU41" s="735"/>
      <c r="EV41" s="660" t="s">
        <v>398</v>
      </c>
      <c r="EW41" s="735"/>
      <c r="EX41" s="660" t="s">
        <v>398</v>
      </c>
      <c r="EY41" s="735"/>
      <c r="EZ41" s="660" t="s">
        <v>398</v>
      </c>
      <c r="FA41" s="735"/>
      <c r="FB41" s="660" t="s">
        <v>398</v>
      </c>
      <c r="FC41" s="735"/>
      <c r="FD41" s="660" t="s">
        <v>398</v>
      </c>
      <c r="FE41" s="735"/>
      <c r="FF41" s="660" t="s">
        <v>398</v>
      </c>
      <c r="FG41" s="735"/>
      <c r="FH41" s="662" t="s">
        <v>398</v>
      </c>
      <c r="FI41" s="739"/>
      <c r="FJ41" s="816" t="s">
        <v>423</v>
      </c>
      <c r="FK41" s="736"/>
      <c r="FL41" s="886"/>
      <c r="FM41" s="886"/>
      <c r="FN41" s="886"/>
      <c r="FO41" s="887"/>
      <c r="FP41" s="740"/>
      <c r="FQ41" s="666"/>
      <c r="FR41" s="660" t="s">
        <v>402</v>
      </c>
      <c r="FS41" s="741"/>
      <c r="FT41" s="666"/>
      <c r="FU41" s="668" t="s">
        <v>402</v>
      </c>
      <c r="FV41" s="590"/>
      <c r="FW41" s="591"/>
      <c r="FX41" s="799"/>
      <c r="FY41" s="593"/>
      <c r="FZ41" s="800"/>
      <c r="GA41" s="595"/>
      <c r="GB41" s="801"/>
      <c r="GC41" s="597"/>
      <c r="GD41" s="801"/>
      <c r="GE41" s="598"/>
      <c r="GF41" s="742"/>
      <c r="GG41" s="743"/>
      <c r="GH41" s="743"/>
      <c r="GI41" s="743"/>
      <c r="GJ41" s="577"/>
      <c r="GK41" s="888" t="s">
        <v>497</v>
      </c>
      <c r="GL41" s="889"/>
      <c r="GM41" s="890" t="s">
        <v>498</v>
      </c>
      <c r="GN41" s="890"/>
      <c r="GO41" s="890" t="s">
        <v>499</v>
      </c>
      <c r="GP41" s="890"/>
      <c r="GQ41" s="890"/>
      <c r="GR41" s="891"/>
      <c r="GS41" s="850"/>
      <c r="GT41" s="682"/>
      <c r="GU41" s="527" t="s">
        <v>520</v>
      </c>
      <c r="GV41" s="527"/>
      <c r="GW41" s="527"/>
      <c r="GX41" s="527"/>
      <c r="GY41" s="527"/>
      <c r="GZ41" s="527"/>
      <c r="HA41" s="883">
        <v>36</v>
      </c>
      <c r="HB41" s="414"/>
      <c r="HC41" s="527"/>
      <c r="HD41" s="410"/>
    </row>
    <row r="42" spans="1:219" ht="20.100000000000001" customHeight="1">
      <c r="A42" s="821"/>
      <c r="B42" s="892" t="s">
        <v>424</v>
      </c>
      <c r="C42" s="893"/>
      <c r="D42" s="893"/>
      <c r="E42" s="894"/>
      <c r="F42" s="895"/>
      <c r="G42" s="825"/>
      <c r="H42" s="826"/>
      <c r="I42" s="827"/>
      <c r="J42" s="792"/>
      <c r="K42" s="828"/>
      <c r="L42" s="792"/>
      <c r="M42" s="828"/>
      <c r="N42" s="792"/>
      <c r="O42" s="828"/>
      <c r="P42" s="792"/>
      <c r="Q42" s="828"/>
      <c r="R42" s="792"/>
      <c r="S42" s="828"/>
      <c r="T42" s="792"/>
      <c r="U42" s="828"/>
      <c r="V42" s="792"/>
      <c r="W42" s="828"/>
      <c r="X42" s="792">
        <v>1348</v>
      </c>
      <c r="Y42" s="828"/>
      <c r="Z42" s="792">
        <v>869</v>
      </c>
      <c r="AA42" s="828"/>
      <c r="AB42" s="792">
        <v>847</v>
      </c>
      <c r="AC42" s="828"/>
      <c r="AD42" s="792">
        <v>821</v>
      </c>
      <c r="AE42" s="828"/>
      <c r="AF42" s="792">
        <v>800</v>
      </c>
      <c r="AG42" s="828"/>
      <c r="AH42" s="792">
        <v>778</v>
      </c>
      <c r="AI42" s="828"/>
      <c r="AJ42" s="792">
        <v>757</v>
      </c>
      <c r="AK42" s="828"/>
      <c r="AL42" s="792">
        <v>741</v>
      </c>
      <c r="AM42" s="828"/>
      <c r="AN42" s="792">
        <v>720</v>
      </c>
      <c r="AO42" s="828"/>
      <c r="AP42" s="792">
        <v>704</v>
      </c>
      <c r="AQ42" s="828"/>
      <c r="AR42" s="792"/>
      <c r="AS42" s="828"/>
      <c r="AT42" s="792"/>
      <c r="AU42" s="828"/>
      <c r="AV42" s="792"/>
      <c r="AW42" s="828"/>
      <c r="AX42" s="792"/>
      <c r="AY42" s="828"/>
      <c r="AZ42" s="792"/>
      <c r="BA42" s="828"/>
      <c r="BB42" s="829"/>
      <c r="BC42" s="559"/>
      <c r="BD42" s="821"/>
      <c r="BE42" s="896" t="s">
        <v>424</v>
      </c>
      <c r="BF42" s="893"/>
      <c r="BG42" s="893"/>
      <c r="BH42" s="894"/>
      <c r="BI42" s="895"/>
      <c r="BJ42" s="825"/>
      <c r="BK42" s="826"/>
      <c r="BL42" s="827"/>
      <c r="BM42" s="792"/>
      <c r="BN42" s="828"/>
      <c r="BO42" s="792"/>
      <c r="BP42" s="828"/>
      <c r="BQ42" s="792"/>
      <c r="BR42" s="828"/>
      <c r="BS42" s="792"/>
      <c r="BT42" s="828"/>
      <c r="BU42" s="792"/>
      <c r="BV42" s="828"/>
      <c r="BW42" s="792"/>
      <c r="BX42" s="828"/>
      <c r="BY42" s="792"/>
      <c r="BZ42" s="828"/>
      <c r="CA42" s="792">
        <v>1348</v>
      </c>
      <c r="CB42" s="828"/>
      <c r="CC42" s="792">
        <v>869</v>
      </c>
      <c r="CD42" s="828"/>
      <c r="CE42" s="792">
        <v>847</v>
      </c>
      <c r="CF42" s="828"/>
      <c r="CG42" s="792">
        <v>821</v>
      </c>
      <c r="CH42" s="828"/>
      <c r="CI42" s="792">
        <v>800</v>
      </c>
      <c r="CJ42" s="828"/>
      <c r="CK42" s="792">
        <v>778</v>
      </c>
      <c r="CL42" s="828"/>
      <c r="CM42" s="792">
        <v>757</v>
      </c>
      <c r="CN42" s="828"/>
      <c r="CO42" s="792">
        <v>741</v>
      </c>
      <c r="CP42" s="828"/>
      <c r="CQ42" s="792">
        <v>720</v>
      </c>
      <c r="CR42" s="828"/>
      <c r="CS42" s="792">
        <v>704</v>
      </c>
      <c r="CT42" s="828"/>
      <c r="CU42" s="792"/>
      <c r="CV42" s="828"/>
      <c r="CW42" s="792"/>
      <c r="CX42" s="828"/>
      <c r="CY42" s="792"/>
      <c r="CZ42" s="828"/>
      <c r="DA42" s="792"/>
      <c r="DB42" s="828"/>
      <c r="DC42" s="792"/>
      <c r="DD42" s="828"/>
      <c r="DE42" s="829"/>
      <c r="DF42" s="559"/>
      <c r="DG42" s="821"/>
      <c r="DH42" s="896" t="s">
        <v>424</v>
      </c>
      <c r="DI42" s="893"/>
      <c r="DJ42" s="893"/>
      <c r="DK42" s="894"/>
      <c r="DL42" s="895"/>
      <c r="DM42" s="825"/>
      <c r="DN42" s="826"/>
      <c r="DO42" s="827"/>
      <c r="DP42" s="792"/>
      <c r="DQ42" s="828"/>
      <c r="DR42" s="792"/>
      <c r="DS42" s="828"/>
      <c r="DT42" s="792"/>
      <c r="DU42" s="828"/>
      <c r="DV42" s="792"/>
      <c r="DW42" s="828"/>
      <c r="DX42" s="792"/>
      <c r="DY42" s="828"/>
      <c r="DZ42" s="792"/>
      <c r="EA42" s="828"/>
      <c r="EB42" s="792"/>
      <c r="EC42" s="828"/>
      <c r="ED42" s="792">
        <v>1348</v>
      </c>
      <c r="EE42" s="828"/>
      <c r="EF42" s="792">
        <v>869</v>
      </c>
      <c r="EG42" s="828"/>
      <c r="EH42" s="792">
        <v>847</v>
      </c>
      <c r="EI42" s="828"/>
      <c r="EJ42" s="792">
        <v>821</v>
      </c>
      <c r="EK42" s="828"/>
      <c r="EL42" s="792">
        <v>800</v>
      </c>
      <c r="EM42" s="828"/>
      <c r="EN42" s="792">
        <v>778</v>
      </c>
      <c r="EO42" s="828"/>
      <c r="EP42" s="792">
        <v>757</v>
      </c>
      <c r="EQ42" s="828"/>
      <c r="ER42" s="792">
        <v>741</v>
      </c>
      <c r="ES42" s="828"/>
      <c r="ET42" s="792">
        <v>720</v>
      </c>
      <c r="EU42" s="828"/>
      <c r="EV42" s="792">
        <v>704</v>
      </c>
      <c r="EW42" s="828"/>
      <c r="EX42" s="792"/>
      <c r="EY42" s="828"/>
      <c r="EZ42" s="792"/>
      <c r="FA42" s="828"/>
      <c r="FB42" s="792"/>
      <c r="FC42" s="828"/>
      <c r="FD42" s="792"/>
      <c r="FE42" s="828"/>
      <c r="FF42" s="792"/>
      <c r="FG42" s="828"/>
      <c r="FH42" s="829"/>
      <c r="FI42" s="560"/>
      <c r="FJ42" s="830"/>
      <c r="FK42" s="896" t="s">
        <v>424</v>
      </c>
      <c r="FL42" s="893"/>
      <c r="FM42" s="893"/>
      <c r="FN42" s="894"/>
      <c r="FO42" s="895"/>
      <c r="FP42" s="831"/>
      <c r="FQ42" s="827"/>
      <c r="FR42" s="826">
        <v>2932</v>
      </c>
      <c r="FS42" s="832"/>
      <c r="FT42" s="827"/>
      <c r="FU42" s="798">
        <v>2932</v>
      </c>
      <c r="FV42" s="590"/>
      <c r="FW42" s="591"/>
      <c r="FX42" s="799"/>
      <c r="FY42" s="593"/>
      <c r="FZ42" s="800"/>
      <c r="GA42" s="595"/>
      <c r="GB42" s="801"/>
      <c r="GC42" s="597"/>
      <c r="GD42" s="801"/>
      <c r="GE42" s="598"/>
      <c r="GF42" s="833"/>
      <c r="GG42" s="599"/>
      <c r="GH42" s="599"/>
      <c r="GI42" s="599"/>
      <c r="GJ42" s="410"/>
      <c r="GK42" s="897"/>
      <c r="GL42" s="898"/>
      <c r="GM42" s="899">
        <v>10.6</v>
      </c>
      <c r="GN42" s="899"/>
      <c r="GO42" s="899">
        <v>14.7</v>
      </c>
      <c r="GP42" s="899"/>
      <c r="GQ42" s="899">
        <v>25.299999999999997</v>
      </c>
      <c r="GR42" s="900"/>
      <c r="GS42" s="577"/>
      <c r="GT42" s="497"/>
      <c r="GU42" s="497"/>
      <c r="GV42" s="497"/>
      <c r="GW42" s="576"/>
      <c r="GX42" s="576"/>
      <c r="GY42" s="576"/>
      <c r="GZ42" s="575"/>
      <c r="HA42" s="497"/>
      <c r="HB42" s="497"/>
      <c r="HC42" s="527"/>
      <c r="HD42" s="527"/>
    </row>
    <row r="43" spans="1:219" ht="20.100000000000001" customHeight="1">
      <c r="A43" s="821"/>
      <c r="B43" s="901" t="s">
        <v>425</v>
      </c>
      <c r="C43" s="902"/>
      <c r="D43" s="902"/>
      <c r="E43" s="902"/>
      <c r="F43" s="903"/>
      <c r="G43" s="687"/>
      <c r="H43" s="904">
        <v>0</v>
      </c>
      <c r="I43" s="688"/>
      <c r="J43" s="904">
        <v>0</v>
      </c>
      <c r="K43" s="688"/>
      <c r="L43" s="904">
        <v>0</v>
      </c>
      <c r="M43" s="688"/>
      <c r="N43" s="904">
        <v>0</v>
      </c>
      <c r="O43" s="688"/>
      <c r="P43" s="904">
        <v>0</v>
      </c>
      <c r="Q43" s="688"/>
      <c r="R43" s="904">
        <v>0</v>
      </c>
      <c r="S43" s="688"/>
      <c r="T43" s="904">
        <v>0</v>
      </c>
      <c r="U43" s="688"/>
      <c r="V43" s="904">
        <v>0</v>
      </c>
      <c r="W43" s="905"/>
      <c r="X43" s="904">
        <v>0</v>
      </c>
      <c r="Y43" s="688"/>
      <c r="Z43" s="904">
        <v>0</v>
      </c>
      <c r="AA43" s="688"/>
      <c r="AB43" s="904">
        <v>0</v>
      </c>
      <c r="AC43" s="688"/>
      <c r="AD43" s="904">
        <v>0</v>
      </c>
      <c r="AE43" s="688"/>
      <c r="AF43" s="904">
        <v>0</v>
      </c>
      <c r="AG43" s="688"/>
      <c r="AH43" s="904">
        <v>0</v>
      </c>
      <c r="AI43" s="688"/>
      <c r="AJ43" s="904">
        <v>0</v>
      </c>
      <c r="AK43" s="688"/>
      <c r="AL43" s="904">
        <v>0</v>
      </c>
      <c r="AM43" s="688"/>
      <c r="AN43" s="904">
        <v>0</v>
      </c>
      <c r="AO43" s="688"/>
      <c r="AP43" s="904">
        <v>0</v>
      </c>
      <c r="AQ43" s="688"/>
      <c r="AR43" s="904">
        <v>0</v>
      </c>
      <c r="AS43" s="688"/>
      <c r="AT43" s="904">
        <v>0</v>
      </c>
      <c r="AU43" s="688"/>
      <c r="AV43" s="904">
        <v>0</v>
      </c>
      <c r="AW43" s="688"/>
      <c r="AX43" s="904">
        <v>0</v>
      </c>
      <c r="AY43" s="688"/>
      <c r="AZ43" s="904">
        <v>0</v>
      </c>
      <c r="BA43" s="688"/>
      <c r="BB43" s="871">
        <v>0</v>
      </c>
      <c r="BC43" s="559"/>
      <c r="BD43" s="821"/>
      <c r="BE43" s="906" t="s">
        <v>425</v>
      </c>
      <c r="BF43" s="902"/>
      <c r="BG43" s="902"/>
      <c r="BH43" s="902"/>
      <c r="BI43" s="903"/>
      <c r="BJ43" s="687"/>
      <c r="BK43" s="904">
        <v>0</v>
      </c>
      <c r="BL43" s="688"/>
      <c r="BM43" s="904">
        <v>0</v>
      </c>
      <c r="BN43" s="688"/>
      <c r="BO43" s="904">
        <v>0</v>
      </c>
      <c r="BP43" s="688"/>
      <c r="BQ43" s="904">
        <v>0</v>
      </c>
      <c r="BR43" s="688"/>
      <c r="BS43" s="904">
        <v>0</v>
      </c>
      <c r="BT43" s="688"/>
      <c r="BU43" s="904">
        <v>0</v>
      </c>
      <c r="BV43" s="688"/>
      <c r="BW43" s="904">
        <v>0</v>
      </c>
      <c r="BX43" s="688"/>
      <c r="BY43" s="904">
        <v>0</v>
      </c>
      <c r="BZ43" s="905"/>
      <c r="CA43" s="904">
        <v>0</v>
      </c>
      <c r="CB43" s="688"/>
      <c r="CC43" s="904">
        <v>0</v>
      </c>
      <c r="CD43" s="688"/>
      <c r="CE43" s="904">
        <v>0</v>
      </c>
      <c r="CF43" s="688"/>
      <c r="CG43" s="904">
        <v>0</v>
      </c>
      <c r="CH43" s="688"/>
      <c r="CI43" s="904">
        <v>0</v>
      </c>
      <c r="CJ43" s="688"/>
      <c r="CK43" s="904">
        <v>0</v>
      </c>
      <c r="CL43" s="688"/>
      <c r="CM43" s="904">
        <v>0</v>
      </c>
      <c r="CN43" s="688"/>
      <c r="CO43" s="904">
        <v>0</v>
      </c>
      <c r="CP43" s="688"/>
      <c r="CQ43" s="904">
        <v>0</v>
      </c>
      <c r="CR43" s="688"/>
      <c r="CS43" s="904">
        <v>0</v>
      </c>
      <c r="CT43" s="688"/>
      <c r="CU43" s="904">
        <v>0</v>
      </c>
      <c r="CV43" s="688"/>
      <c r="CW43" s="904">
        <v>0</v>
      </c>
      <c r="CX43" s="688"/>
      <c r="CY43" s="904">
        <v>0</v>
      </c>
      <c r="CZ43" s="688"/>
      <c r="DA43" s="904">
        <v>0</v>
      </c>
      <c r="DB43" s="688"/>
      <c r="DC43" s="904">
        <v>0</v>
      </c>
      <c r="DD43" s="688"/>
      <c r="DE43" s="871">
        <v>0</v>
      </c>
      <c r="DF43" s="559"/>
      <c r="DG43" s="821"/>
      <c r="DH43" s="906" t="s">
        <v>425</v>
      </c>
      <c r="DI43" s="902"/>
      <c r="DJ43" s="902"/>
      <c r="DK43" s="902"/>
      <c r="DL43" s="903"/>
      <c r="DM43" s="687"/>
      <c r="DN43" s="904">
        <v>0</v>
      </c>
      <c r="DO43" s="688"/>
      <c r="DP43" s="904">
        <v>0</v>
      </c>
      <c r="DQ43" s="688"/>
      <c r="DR43" s="904">
        <v>0</v>
      </c>
      <c r="DS43" s="688"/>
      <c r="DT43" s="904">
        <v>0</v>
      </c>
      <c r="DU43" s="688"/>
      <c r="DV43" s="904">
        <v>0</v>
      </c>
      <c r="DW43" s="688"/>
      <c r="DX43" s="904">
        <v>0</v>
      </c>
      <c r="DY43" s="688"/>
      <c r="DZ43" s="904">
        <v>0</v>
      </c>
      <c r="EA43" s="688"/>
      <c r="EB43" s="904">
        <v>0</v>
      </c>
      <c r="EC43" s="905"/>
      <c r="ED43" s="904">
        <v>0</v>
      </c>
      <c r="EE43" s="688"/>
      <c r="EF43" s="904">
        <v>0</v>
      </c>
      <c r="EG43" s="688"/>
      <c r="EH43" s="904">
        <v>0</v>
      </c>
      <c r="EI43" s="688"/>
      <c r="EJ43" s="904">
        <v>0</v>
      </c>
      <c r="EK43" s="688"/>
      <c r="EL43" s="904">
        <v>0</v>
      </c>
      <c r="EM43" s="688"/>
      <c r="EN43" s="904">
        <v>0</v>
      </c>
      <c r="EO43" s="688"/>
      <c r="EP43" s="904">
        <v>0</v>
      </c>
      <c r="EQ43" s="688"/>
      <c r="ER43" s="904">
        <v>0</v>
      </c>
      <c r="ES43" s="688"/>
      <c r="ET43" s="904">
        <v>0</v>
      </c>
      <c r="EU43" s="688"/>
      <c r="EV43" s="904">
        <v>0</v>
      </c>
      <c r="EW43" s="688"/>
      <c r="EX43" s="904">
        <v>0</v>
      </c>
      <c r="EY43" s="688"/>
      <c r="EZ43" s="904">
        <v>0</v>
      </c>
      <c r="FA43" s="688"/>
      <c r="FB43" s="904">
        <v>0</v>
      </c>
      <c r="FC43" s="688"/>
      <c r="FD43" s="904">
        <v>0</v>
      </c>
      <c r="FE43" s="688"/>
      <c r="FF43" s="904">
        <v>0</v>
      </c>
      <c r="FG43" s="688"/>
      <c r="FH43" s="871">
        <v>0</v>
      </c>
      <c r="FI43" s="560"/>
      <c r="FJ43" s="830"/>
      <c r="FK43" s="906" t="s">
        <v>425</v>
      </c>
      <c r="FL43" s="902"/>
      <c r="FM43" s="902"/>
      <c r="FN43" s="902"/>
      <c r="FO43" s="903"/>
      <c r="FP43" s="689"/>
      <c r="FQ43" s="690"/>
      <c r="FR43" s="584">
        <v>0</v>
      </c>
      <c r="FS43" s="691"/>
      <c r="FT43" s="690"/>
      <c r="FU43" s="589">
        <v>0</v>
      </c>
      <c r="FV43" s="907"/>
      <c r="FW43" s="908"/>
      <c r="FX43" s="909"/>
      <c r="FY43" s="910"/>
      <c r="FZ43" s="911"/>
      <c r="GA43" s="912"/>
      <c r="GB43" s="913"/>
      <c r="GC43" s="914"/>
      <c r="GD43" s="913"/>
      <c r="GE43" s="915"/>
      <c r="GF43" s="681"/>
      <c r="GG43" s="599"/>
      <c r="GH43" s="599"/>
      <c r="GI43" s="599"/>
      <c r="GJ43" s="916"/>
      <c r="GK43" s="917" t="s">
        <v>500</v>
      </c>
      <c r="GL43" s="918"/>
      <c r="GM43" s="919" t="s">
        <v>501</v>
      </c>
      <c r="GN43" s="919"/>
      <c r="GO43" s="919" t="s">
        <v>502</v>
      </c>
      <c r="GP43" s="919"/>
      <c r="GQ43" s="919"/>
      <c r="GR43" s="920"/>
      <c r="GS43" s="577"/>
      <c r="GT43" s="606"/>
      <c r="GU43" s="527" t="s">
        <v>472</v>
      </c>
      <c r="GV43" s="414"/>
      <c r="GW43" s="410"/>
      <c r="GX43" s="414"/>
      <c r="GY43" s="414"/>
      <c r="GZ43" s="414"/>
      <c r="HA43" s="410"/>
      <c r="HB43" s="414"/>
      <c r="HC43" s="921"/>
      <c r="HD43" s="416"/>
    </row>
    <row r="44" spans="1:219" ht="20.100000000000001" customHeight="1" thickBot="1">
      <c r="A44" s="922"/>
      <c r="B44" s="639"/>
      <c r="C44" s="639"/>
      <c r="D44" s="640" t="s">
        <v>426</v>
      </c>
      <c r="E44" s="639"/>
      <c r="F44" s="639"/>
      <c r="G44" s="834"/>
      <c r="H44" s="835">
        <v>0</v>
      </c>
      <c r="I44" s="836"/>
      <c r="J44" s="837">
        <v>0</v>
      </c>
      <c r="K44" s="838"/>
      <c r="L44" s="837">
        <v>0</v>
      </c>
      <c r="M44" s="838"/>
      <c r="N44" s="837">
        <v>0</v>
      </c>
      <c r="O44" s="838"/>
      <c r="P44" s="837">
        <v>0</v>
      </c>
      <c r="Q44" s="838"/>
      <c r="R44" s="837">
        <v>0</v>
      </c>
      <c r="S44" s="838"/>
      <c r="T44" s="837">
        <v>0</v>
      </c>
      <c r="U44" s="838"/>
      <c r="V44" s="837">
        <v>0</v>
      </c>
      <c r="W44" s="838"/>
      <c r="X44" s="837">
        <v>1348</v>
      </c>
      <c r="Y44" s="838"/>
      <c r="Z44" s="837">
        <v>869</v>
      </c>
      <c r="AA44" s="838"/>
      <c r="AB44" s="837">
        <v>847</v>
      </c>
      <c r="AC44" s="838"/>
      <c r="AD44" s="837">
        <v>821</v>
      </c>
      <c r="AE44" s="838"/>
      <c r="AF44" s="837">
        <v>800</v>
      </c>
      <c r="AG44" s="838"/>
      <c r="AH44" s="837">
        <v>778</v>
      </c>
      <c r="AI44" s="838"/>
      <c r="AJ44" s="837">
        <v>757</v>
      </c>
      <c r="AK44" s="838"/>
      <c r="AL44" s="837">
        <v>741</v>
      </c>
      <c r="AM44" s="838"/>
      <c r="AN44" s="837">
        <v>720</v>
      </c>
      <c r="AO44" s="838"/>
      <c r="AP44" s="837">
        <v>704</v>
      </c>
      <c r="AQ44" s="838"/>
      <c r="AR44" s="837">
        <v>0</v>
      </c>
      <c r="AS44" s="838"/>
      <c r="AT44" s="837">
        <v>0</v>
      </c>
      <c r="AU44" s="838"/>
      <c r="AV44" s="837">
        <v>0</v>
      </c>
      <c r="AW44" s="838"/>
      <c r="AX44" s="837">
        <v>0</v>
      </c>
      <c r="AY44" s="838"/>
      <c r="AZ44" s="837">
        <v>0</v>
      </c>
      <c r="BA44" s="838"/>
      <c r="BB44" s="839">
        <v>0</v>
      </c>
      <c r="BC44" s="645"/>
      <c r="BD44" s="922"/>
      <c r="BE44" s="639"/>
      <c r="BF44" s="639"/>
      <c r="BG44" s="640" t="s">
        <v>426</v>
      </c>
      <c r="BH44" s="639"/>
      <c r="BI44" s="639"/>
      <c r="BJ44" s="834"/>
      <c r="BK44" s="835">
        <v>0</v>
      </c>
      <c r="BL44" s="836"/>
      <c r="BM44" s="837">
        <v>0</v>
      </c>
      <c r="BN44" s="838"/>
      <c r="BO44" s="837">
        <v>0</v>
      </c>
      <c r="BP44" s="838"/>
      <c r="BQ44" s="837">
        <v>0</v>
      </c>
      <c r="BR44" s="838"/>
      <c r="BS44" s="837">
        <v>0</v>
      </c>
      <c r="BT44" s="838"/>
      <c r="BU44" s="837">
        <v>0</v>
      </c>
      <c r="BV44" s="838"/>
      <c r="BW44" s="837">
        <v>0</v>
      </c>
      <c r="BX44" s="838"/>
      <c r="BY44" s="837">
        <v>0</v>
      </c>
      <c r="BZ44" s="838"/>
      <c r="CA44" s="837">
        <v>1348</v>
      </c>
      <c r="CB44" s="838"/>
      <c r="CC44" s="837">
        <v>869</v>
      </c>
      <c r="CD44" s="838"/>
      <c r="CE44" s="837">
        <v>847</v>
      </c>
      <c r="CF44" s="838"/>
      <c r="CG44" s="837">
        <v>821</v>
      </c>
      <c r="CH44" s="838"/>
      <c r="CI44" s="837">
        <v>800</v>
      </c>
      <c r="CJ44" s="838"/>
      <c r="CK44" s="837">
        <v>778</v>
      </c>
      <c r="CL44" s="838"/>
      <c r="CM44" s="837">
        <v>757</v>
      </c>
      <c r="CN44" s="838"/>
      <c r="CO44" s="837">
        <v>741</v>
      </c>
      <c r="CP44" s="838"/>
      <c r="CQ44" s="837">
        <v>720</v>
      </c>
      <c r="CR44" s="838"/>
      <c r="CS44" s="837">
        <v>704</v>
      </c>
      <c r="CT44" s="838"/>
      <c r="CU44" s="837">
        <v>0</v>
      </c>
      <c r="CV44" s="838"/>
      <c r="CW44" s="837">
        <v>0</v>
      </c>
      <c r="CX44" s="838"/>
      <c r="CY44" s="837">
        <v>0</v>
      </c>
      <c r="CZ44" s="838"/>
      <c r="DA44" s="837">
        <v>0</v>
      </c>
      <c r="DB44" s="838"/>
      <c r="DC44" s="837">
        <v>0</v>
      </c>
      <c r="DD44" s="838"/>
      <c r="DE44" s="839">
        <v>0</v>
      </c>
      <c r="DF44" s="645"/>
      <c r="DG44" s="922"/>
      <c r="DH44" s="639"/>
      <c r="DI44" s="639"/>
      <c r="DJ44" s="640" t="s">
        <v>426</v>
      </c>
      <c r="DK44" s="639"/>
      <c r="DL44" s="639"/>
      <c r="DM44" s="834"/>
      <c r="DN44" s="835">
        <v>0</v>
      </c>
      <c r="DO44" s="836"/>
      <c r="DP44" s="837">
        <v>0</v>
      </c>
      <c r="DQ44" s="838"/>
      <c r="DR44" s="837">
        <v>0</v>
      </c>
      <c r="DS44" s="838"/>
      <c r="DT44" s="837">
        <v>0</v>
      </c>
      <c r="DU44" s="838"/>
      <c r="DV44" s="837">
        <v>0</v>
      </c>
      <c r="DW44" s="838"/>
      <c r="DX44" s="837">
        <v>0</v>
      </c>
      <c r="DY44" s="838"/>
      <c r="DZ44" s="837">
        <v>0</v>
      </c>
      <c r="EA44" s="838"/>
      <c r="EB44" s="837">
        <v>0</v>
      </c>
      <c r="EC44" s="838"/>
      <c r="ED44" s="837">
        <v>1348</v>
      </c>
      <c r="EE44" s="838"/>
      <c r="EF44" s="837">
        <v>869</v>
      </c>
      <c r="EG44" s="838"/>
      <c r="EH44" s="837">
        <v>847</v>
      </c>
      <c r="EI44" s="838"/>
      <c r="EJ44" s="837">
        <v>821</v>
      </c>
      <c r="EK44" s="838"/>
      <c r="EL44" s="837">
        <v>800</v>
      </c>
      <c r="EM44" s="838"/>
      <c r="EN44" s="837">
        <v>778</v>
      </c>
      <c r="EO44" s="838"/>
      <c r="EP44" s="837">
        <v>757</v>
      </c>
      <c r="EQ44" s="838"/>
      <c r="ER44" s="837">
        <v>741</v>
      </c>
      <c r="ES44" s="838"/>
      <c r="ET44" s="837">
        <v>720</v>
      </c>
      <c r="EU44" s="838"/>
      <c r="EV44" s="837">
        <v>704</v>
      </c>
      <c r="EW44" s="838"/>
      <c r="EX44" s="837">
        <v>0</v>
      </c>
      <c r="EY44" s="838"/>
      <c r="EZ44" s="837">
        <v>0</v>
      </c>
      <c r="FA44" s="838"/>
      <c r="FB44" s="837">
        <v>0</v>
      </c>
      <c r="FC44" s="838"/>
      <c r="FD44" s="837">
        <v>0</v>
      </c>
      <c r="FE44" s="838"/>
      <c r="FF44" s="837">
        <v>0</v>
      </c>
      <c r="FG44" s="838"/>
      <c r="FH44" s="839">
        <v>0</v>
      </c>
      <c r="FI44" s="646"/>
      <c r="FJ44" s="923"/>
      <c r="FK44" s="639"/>
      <c r="FL44" s="639"/>
      <c r="FM44" s="640" t="s">
        <v>426</v>
      </c>
      <c r="FN44" s="639"/>
      <c r="FO44" s="639"/>
      <c r="FP44" s="647"/>
      <c r="FQ44" s="836"/>
      <c r="FR44" s="835">
        <v>2932</v>
      </c>
      <c r="FS44" s="840"/>
      <c r="FT44" s="836"/>
      <c r="FU44" s="841">
        <v>2932</v>
      </c>
      <c r="FV44" s="590" t="s">
        <v>327</v>
      </c>
      <c r="FW44" s="591"/>
      <c r="FX44" s="799" t="s">
        <v>328</v>
      </c>
      <c r="FY44" s="593"/>
      <c r="FZ44" s="800" t="s">
        <v>329</v>
      </c>
      <c r="GA44" s="595"/>
      <c r="GB44" s="801" t="s">
        <v>330</v>
      </c>
      <c r="GC44" s="597"/>
      <c r="GD44" s="801" t="s">
        <v>331</v>
      </c>
      <c r="GE44" s="598"/>
      <c r="GF44" s="651"/>
      <c r="GG44" s="652"/>
      <c r="GH44" s="652"/>
      <c r="GI44" s="652"/>
      <c r="GJ44" s="527"/>
      <c r="GK44" s="897"/>
      <c r="GL44" s="898"/>
      <c r="GM44" s="924">
        <v>6.9</v>
      </c>
      <c r="GN44" s="924"/>
      <c r="GO44" s="924">
        <v>10</v>
      </c>
      <c r="GP44" s="924"/>
      <c r="GQ44" s="899">
        <v>16.899999999999999</v>
      </c>
      <c r="GR44" s="900"/>
      <c r="GS44" s="925"/>
      <c r="GT44" s="926"/>
      <c r="GU44" s="527" t="s">
        <v>503</v>
      </c>
      <c r="GV44" s="612"/>
      <c r="GW44" s="612"/>
      <c r="GX44" s="612"/>
      <c r="GY44" s="414"/>
      <c r="GZ44" s="414"/>
      <c r="HA44" s="744">
        <v>1.5</v>
      </c>
      <c r="HB44" s="414" t="s">
        <v>475</v>
      </c>
      <c r="HC44" s="927"/>
      <c r="HD44" s="416"/>
    </row>
    <row r="45" spans="1:219" ht="20.100000000000001" customHeight="1" thickTop="1">
      <c r="A45" s="928" t="s">
        <v>427</v>
      </c>
      <c r="B45" s="929"/>
      <c r="C45" s="929"/>
      <c r="D45" s="929"/>
      <c r="E45" s="929"/>
      <c r="F45" s="930"/>
      <c r="G45" s="931"/>
      <c r="H45" s="932">
        <v>0</v>
      </c>
      <c r="I45" s="933"/>
      <c r="J45" s="932">
        <v>0</v>
      </c>
      <c r="K45" s="933"/>
      <c r="L45" s="932">
        <v>0</v>
      </c>
      <c r="M45" s="933"/>
      <c r="N45" s="932">
        <v>0</v>
      </c>
      <c r="O45" s="933"/>
      <c r="P45" s="932">
        <v>0</v>
      </c>
      <c r="Q45" s="933"/>
      <c r="R45" s="932">
        <v>0</v>
      </c>
      <c r="S45" s="933"/>
      <c r="T45" s="932">
        <v>0</v>
      </c>
      <c r="U45" s="933"/>
      <c r="V45" s="932">
        <v>0</v>
      </c>
      <c r="W45" s="933"/>
      <c r="X45" s="932">
        <v>3395</v>
      </c>
      <c r="Y45" s="933"/>
      <c r="Z45" s="932">
        <v>3100</v>
      </c>
      <c r="AA45" s="933"/>
      <c r="AB45" s="932">
        <v>3195</v>
      </c>
      <c r="AC45" s="933"/>
      <c r="AD45" s="932">
        <v>3236</v>
      </c>
      <c r="AE45" s="933"/>
      <c r="AF45" s="932">
        <v>3247</v>
      </c>
      <c r="AG45" s="933"/>
      <c r="AH45" s="932">
        <v>3226</v>
      </c>
      <c r="AI45" s="933"/>
      <c r="AJ45" s="932">
        <v>3136</v>
      </c>
      <c r="AK45" s="933"/>
      <c r="AL45" s="932">
        <v>3026</v>
      </c>
      <c r="AM45" s="933"/>
      <c r="AN45" s="932">
        <v>2860</v>
      </c>
      <c r="AO45" s="933"/>
      <c r="AP45" s="932">
        <v>2686</v>
      </c>
      <c r="AQ45" s="933"/>
      <c r="AR45" s="932">
        <v>0</v>
      </c>
      <c r="AS45" s="933"/>
      <c r="AT45" s="932">
        <v>0</v>
      </c>
      <c r="AU45" s="933"/>
      <c r="AV45" s="932">
        <v>0</v>
      </c>
      <c r="AW45" s="933"/>
      <c r="AX45" s="932">
        <v>0</v>
      </c>
      <c r="AY45" s="933"/>
      <c r="AZ45" s="932">
        <v>0</v>
      </c>
      <c r="BA45" s="933"/>
      <c r="BB45" s="934">
        <v>0</v>
      </c>
      <c r="BC45" s="645"/>
      <c r="BD45" s="928" t="s">
        <v>427</v>
      </c>
      <c r="BE45" s="929"/>
      <c r="BF45" s="929"/>
      <c r="BG45" s="929"/>
      <c r="BH45" s="929"/>
      <c r="BI45" s="930"/>
      <c r="BJ45" s="931"/>
      <c r="BK45" s="932">
        <v>0</v>
      </c>
      <c r="BL45" s="933"/>
      <c r="BM45" s="932">
        <v>0</v>
      </c>
      <c r="BN45" s="933"/>
      <c r="BO45" s="932">
        <v>0</v>
      </c>
      <c r="BP45" s="933"/>
      <c r="BQ45" s="932">
        <v>0</v>
      </c>
      <c r="BR45" s="933"/>
      <c r="BS45" s="932">
        <v>0</v>
      </c>
      <c r="BT45" s="933"/>
      <c r="BU45" s="932">
        <v>0</v>
      </c>
      <c r="BV45" s="933"/>
      <c r="BW45" s="932">
        <v>0</v>
      </c>
      <c r="BX45" s="933"/>
      <c r="BY45" s="932">
        <v>0</v>
      </c>
      <c r="BZ45" s="933"/>
      <c r="CA45" s="932">
        <v>3448</v>
      </c>
      <c r="CB45" s="933"/>
      <c r="CC45" s="932">
        <v>3108</v>
      </c>
      <c r="CD45" s="933"/>
      <c r="CE45" s="932">
        <v>3179</v>
      </c>
      <c r="CF45" s="933"/>
      <c r="CG45" s="932">
        <v>3184</v>
      </c>
      <c r="CH45" s="933"/>
      <c r="CI45" s="932">
        <v>3178</v>
      </c>
      <c r="CJ45" s="933"/>
      <c r="CK45" s="932">
        <v>3131</v>
      </c>
      <c r="CL45" s="933"/>
      <c r="CM45" s="932">
        <v>3054</v>
      </c>
      <c r="CN45" s="933"/>
      <c r="CO45" s="932">
        <v>2968</v>
      </c>
      <c r="CP45" s="933"/>
      <c r="CQ45" s="932">
        <v>2843</v>
      </c>
      <c r="CR45" s="933"/>
      <c r="CS45" s="932">
        <v>2675</v>
      </c>
      <c r="CT45" s="933"/>
      <c r="CU45" s="932">
        <v>0</v>
      </c>
      <c r="CV45" s="933"/>
      <c r="CW45" s="932">
        <v>0</v>
      </c>
      <c r="CX45" s="933"/>
      <c r="CY45" s="932">
        <v>0</v>
      </c>
      <c r="CZ45" s="933"/>
      <c r="DA45" s="932">
        <v>0</v>
      </c>
      <c r="DB45" s="933"/>
      <c r="DC45" s="932">
        <v>0</v>
      </c>
      <c r="DD45" s="933"/>
      <c r="DE45" s="934">
        <v>0</v>
      </c>
      <c r="DF45" s="645"/>
      <c r="DG45" s="928" t="s">
        <v>427</v>
      </c>
      <c r="DH45" s="929"/>
      <c r="DI45" s="929"/>
      <c r="DJ45" s="929"/>
      <c r="DK45" s="929"/>
      <c r="DL45" s="930"/>
      <c r="DM45" s="931"/>
      <c r="DN45" s="932">
        <v>0</v>
      </c>
      <c r="DO45" s="933"/>
      <c r="DP45" s="932">
        <v>0</v>
      </c>
      <c r="DQ45" s="933"/>
      <c r="DR45" s="932">
        <v>0</v>
      </c>
      <c r="DS45" s="933"/>
      <c r="DT45" s="932">
        <v>0</v>
      </c>
      <c r="DU45" s="933"/>
      <c r="DV45" s="932">
        <v>0</v>
      </c>
      <c r="DW45" s="933"/>
      <c r="DX45" s="932">
        <v>0</v>
      </c>
      <c r="DY45" s="933"/>
      <c r="DZ45" s="932">
        <v>0</v>
      </c>
      <c r="EA45" s="933"/>
      <c r="EB45" s="932">
        <v>0</v>
      </c>
      <c r="EC45" s="933"/>
      <c r="ED45" s="932">
        <v>3176</v>
      </c>
      <c r="EE45" s="933"/>
      <c r="EF45" s="932">
        <v>2740</v>
      </c>
      <c r="EG45" s="933"/>
      <c r="EH45" s="932">
        <v>2839</v>
      </c>
      <c r="EI45" s="933"/>
      <c r="EJ45" s="932">
        <v>2889</v>
      </c>
      <c r="EK45" s="933"/>
      <c r="EL45" s="932">
        <v>2879</v>
      </c>
      <c r="EM45" s="933"/>
      <c r="EN45" s="932">
        <v>2831</v>
      </c>
      <c r="EO45" s="933"/>
      <c r="EP45" s="932">
        <v>2762</v>
      </c>
      <c r="EQ45" s="933"/>
      <c r="ER45" s="932">
        <v>2675</v>
      </c>
      <c r="ES45" s="933"/>
      <c r="ET45" s="932">
        <v>2506</v>
      </c>
      <c r="EU45" s="933"/>
      <c r="EV45" s="932">
        <v>2349</v>
      </c>
      <c r="EW45" s="933"/>
      <c r="EX45" s="932">
        <v>0</v>
      </c>
      <c r="EY45" s="933"/>
      <c r="EZ45" s="932">
        <v>0</v>
      </c>
      <c r="FA45" s="933"/>
      <c r="FB45" s="932">
        <v>0</v>
      </c>
      <c r="FC45" s="933"/>
      <c r="FD45" s="932">
        <v>0</v>
      </c>
      <c r="FE45" s="933"/>
      <c r="FF45" s="932">
        <v>0</v>
      </c>
      <c r="FG45" s="933"/>
      <c r="FH45" s="934">
        <v>0</v>
      </c>
      <c r="FI45" s="645"/>
      <c r="FJ45" s="928" t="s">
        <v>427</v>
      </c>
      <c r="FK45" s="929"/>
      <c r="FL45" s="929"/>
      <c r="FM45" s="929"/>
      <c r="FN45" s="929"/>
      <c r="FO45" s="930"/>
      <c r="FP45" s="935"/>
      <c r="FQ45" s="936"/>
      <c r="FR45" s="932">
        <v>5708</v>
      </c>
      <c r="FS45" s="937"/>
      <c r="FT45" s="936"/>
      <c r="FU45" s="938">
        <v>5770</v>
      </c>
      <c r="FV45" s="590"/>
      <c r="FW45" s="591"/>
      <c r="FX45" s="799"/>
      <c r="FY45" s="593"/>
      <c r="FZ45" s="800"/>
      <c r="GA45" s="595"/>
      <c r="GB45" s="801"/>
      <c r="GC45" s="597"/>
      <c r="GD45" s="801"/>
      <c r="GE45" s="598"/>
      <c r="GF45" s="651"/>
      <c r="GG45" s="652"/>
      <c r="GH45" s="652"/>
      <c r="GI45" s="652"/>
      <c r="GJ45" s="497"/>
      <c r="GK45" s="939"/>
      <c r="GL45" s="939"/>
      <c r="GM45" s="940"/>
      <c r="GN45" s="940"/>
      <c r="GO45" s="941"/>
      <c r="GP45" s="939"/>
      <c r="GQ45" s="939"/>
      <c r="GR45" s="939"/>
      <c r="GS45" s="942"/>
      <c r="GT45" s="850"/>
      <c r="GU45" s="527" t="s">
        <v>504</v>
      </c>
      <c r="GV45" s="414"/>
      <c r="GW45" s="414"/>
      <c r="GX45" s="414"/>
      <c r="GY45" s="527"/>
      <c r="GZ45" s="726"/>
      <c r="HA45" s="744">
        <v>22</v>
      </c>
      <c r="HB45" s="414" t="s">
        <v>475</v>
      </c>
      <c r="HC45" s="927"/>
      <c r="HD45" s="416"/>
    </row>
    <row r="46" spans="1:219" ht="20.100000000000001" customHeight="1">
      <c r="A46" s="943" t="s">
        <v>428</v>
      </c>
      <c r="B46" s="944"/>
      <c r="C46" s="944"/>
      <c r="D46" s="944"/>
      <c r="E46" s="944"/>
      <c r="F46" s="945"/>
      <c r="G46" s="946" t="s">
        <v>429</v>
      </c>
      <c r="H46" s="947"/>
      <c r="I46" s="948" t="s">
        <v>429</v>
      </c>
      <c r="J46" s="947"/>
      <c r="K46" s="948" t="s">
        <v>429</v>
      </c>
      <c r="L46" s="947"/>
      <c r="M46" s="948" t="s">
        <v>429</v>
      </c>
      <c r="N46" s="947"/>
      <c r="O46" s="948" t="s">
        <v>429</v>
      </c>
      <c r="P46" s="947"/>
      <c r="Q46" s="948" t="s">
        <v>429</v>
      </c>
      <c r="R46" s="947"/>
      <c r="S46" s="948" t="s">
        <v>429</v>
      </c>
      <c r="T46" s="947"/>
      <c r="U46" s="948" t="s">
        <v>429</v>
      </c>
      <c r="V46" s="947"/>
      <c r="W46" s="948" t="s">
        <v>429</v>
      </c>
      <c r="X46" s="947"/>
      <c r="Y46" s="948" t="s">
        <v>429</v>
      </c>
      <c r="Z46" s="947"/>
      <c r="AA46" s="948" t="s">
        <v>429</v>
      </c>
      <c r="AB46" s="947"/>
      <c r="AC46" s="948" t="s">
        <v>429</v>
      </c>
      <c r="AD46" s="947"/>
      <c r="AE46" s="948" t="s">
        <v>429</v>
      </c>
      <c r="AF46" s="947"/>
      <c r="AG46" s="948" t="s">
        <v>429</v>
      </c>
      <c r="AH46" s="947"/>
      <c r="AI46" s="948" t="s">
        <v>429</v>
      </c>
      <c r="AJ46" s="947"/>
      <c r="AK46" s="948" t="s">
        <v>429</v>
      </c>
      <c r="AL46" s="947"/>
      <c r="AM46" s="948" t="s">
        <v>429</v>
      </c>
      <c r="AN46" s="947"/>
      <c r="AO46" s="948" t="s">
        <v>429</v>
      </c>
      <c r="AP46" s="947"/>
      <c r="AQ46" s="948" t="s">
        <v>429</v>
      </c>
      <c r="AR46" s="947"/>
      <c r="AS46" s="948" t="s">
        <v>429</v>
      </c>
      <c r="AT46" s="947"/>
      <c r="AU46" s="948" t="s">
        <v>429</v>
      </c>
      <c r="AV46" s="947"/>
      <c r="AW46" s="948" t="s">
        <v>429</v>
      </c>
      <c r="AX46" s="947"/>
      <c r="AY46" s="948" t="s">
        <v>429</v>
      </c>
      <c r="AZ46" s="949"/>
      <c r="BA46" s="950" t="s">
        <v>429</v>
      </c>
      <c r="BB46" s="951"/>
      <c r="BC46" s="952"/>
      <c r="BD46" s="943" t="s">
        <v>428</v>
      </c>
      <c r="BE46" s="944"/>
      <c r="BF46" s="944"/>
      <c r="BG46" s="944"/>
      <c r="BH46" s="944"/>
      <c r="BI46" s="945"/>
      <c r="BJ46" s="946" t="s">
        <v>429</v>
      </c>
      <c r="BK46" s="947"/>
      <c r="BL46" s="948" t="s">
        <v>429</v>
      </c>
      <c r="BM46" s="947"/>
      <c r="BN46" s="948" t="s">
        <v>429</v>
      </c>
      <c r="BO46" s="947"/>
      <c r="BP46" s="948" t="s">
        <v>429</v>
      </c>
      <c r="BQ46" s="947"/>
      <c r="BR46" s="948" t="s">
        <v>429</v>
      </c>
      <c r="BS46" s="947"/>
      <c r="BT46" s="948" t="s">
        <v>429</v>
      </c>
      <c r="BU46" s="947"/>
      <c r="BV46" s="948" t="s">
        <v>429</v>
      </c>
      <c r="BW46" s="947"/>
      <c r="BX46" s="948" t="s">
        <v>429</v>
      </c>
      <c r="BY46" s="947"/>
      <c r="BZ46" s="948" t="s">
        <v>429</v>
      </c>
      <c r="CA46" s="947"/>
      <c r="CB46" s="948" t="s">
        <v>429</v>
      </c>
      <c r="CC46" s="947"/>
      <c r="CD46" s="948" t="s">
        <v>429</v>
      </c>
      <c r="CE46" s="947"/>
      <c r="CF46" s="948" t="s">
        <v>429</v>
      </c>
      <c r="CG46" s="947"/>
      <c r="CH46" s="948" t="s">
        <v>429</v>
      </c>
      <c r="CI46" s="947"/>
      <c r="CJ46" s="948" t="s">
        <v>429</v>
      </c>
      <c r="CK46" s="947"/>
      <c r="CL46" s="948" t="s">
        <v>429</v>
      </c>
      <c r="CM46" s="947"/>
      <c r="CN46" s="948" t="s">
        <v>429</v>
      </c>
      <c r="CO46" s="947"/>
      <c r="CP46" s="948" t="s">
        <v>429</v>
      </c>
      <c r="CQ46" s="947"/>
      <c r="CR46" s="948" t="s">
        <v>429</v>
      </c>
      <c r="CS46" s="947"/>
      <c r="CT46" s="948" t="s">
        <v>429</v>
      </c>
      <c r="CU46" s="947"/>
      <c r="CV46" s="948" t="s">
        <v>429</v>
      </c>
      <c r="CW46" s="947"/>
      <c r="CX46" s="948" t="s">
        <v>429</v>
      </c>
      <c r="CY46" s="947"/>
      <c r="CZ46" s="948" t="s">
        <v>429</v>
      </c>
      <c r="DA46" s="947"/>
      <c r="DB46" s="948" t="s">
        <v>429</v>
      </c>
      <c r="DC46" s="949"/>
      <c r="DD46" s="950" t="s">
        <v>429</v>
      </c>
      <c r="DE46" s="951"/>
      <c r="DF46" s="952"/>
      <c r="DG46" s="943" t="s">
        <v>428</v>
      </c>
      <c r="DH46" s="944"/>
      <c r="DI46" s="944"/>
      <c r="DJ46" s="944"/>
      <c r="DK46" s="944"/>
      <c r="DL46" s="945"/>
      <c r="DM46" s="946" t="s">
        <v>429</v>
      </c>
      <c r="DN46" s="947"/>
      <c r="DO46" s="948" t="s">
        <v>429</v>
      </c>
      <c r="DP46" s="947"/>
      <c r="DQ46" s="948" t="s">
        <v>429</v>
      </c>
      <c r="DR46" s="947"/>
      <c r="DS46" s="948" t="s">
        <v>429</v>
      </c>
      <c r="DT46" s="947"/>
      <c r="DU46" s="948" t="s">
        <v>429</v>
      </c>
      <c r="DV46" s="947"/>
      <c r="DW46" s="948" t="s">
        <v>429</v>
      </c>
      <c r="DX46" s="947"/>
      <c r="DY46" s="948" t="s">
        <v>429</v>
      </c>
      <c r="DZ46" s="947"/>
      <c r="EA46" s="948" t="s">
        <v>429</v>
      </c>
      <c r="EB46" s="947"/>
      <c r="EC46" s="948" t="s">
        <v>429</v>
      </c>
      <c r="ED46" s="947"/>
      <c r="EE46" s="948" t="s">
        <v>429</v>
      </c>
      <c r="EF46" s="947"/>
      <c r="EG46" s="948" t="s">
        <v>429</v>
      </c>
      <c r="EH46" s="947"/>
      <c r="EI46" s="948" t="s">
        <v>429</v>
      </c>
      <c r="EJ46" s="947"/>
      <c r="EK46" s="948" t="s">
        <v>429</v>
      </c>
      <c r="EL46" s="947"/>
      <c r="EM46" s="948" t="s">
        <v>429</v>
      </c>
      <c r="EN46" s="947"/>
      <c r="EO46" s="948" t="s">
        <v>429</v>
      </c>
      <c r="EP46" s="947"/>
      <c r="EQ46" s="948" t="s">
        <v>429</v>
      </c>
      <c r="ER46" s="947"/>
      <c r="ES46" s="948" t="s">
        <v>429</v>
      </c>
      <c r="ET46" s="947"/>
      <c r="EU46" s="948" t="s">
        <v>429</v>
      </c>
      <c r="EV46" s="947"/>
      <c r="EW46" s="948" t="s">
        <v>429</v>
      </c>
      <c r="EX46" s="947"/>
      <c r="EY46" s="948" t="s">
        <v>429</v>
      </c>
      <c r="EZ46" s="947"/>
      <c r="FA46" s="948" t="s">
        <v>429</v>
      </c>
      <c r="FB46" s="947"/>
      <c r="FC46" s="948" t="s">
        <v>429</v>
      </c>
      <c r="FD46" s="947"/>
      <c r="FE46" s="948" t="s">
        <v>429</v>
      </c>
      <c r="FF46" s="949"/>
      <c r="FG46" s="950" t="s">
        <v>429</v>
      </c>
      <c r="FH46" s="951"/>
      <c r="FI46" s="952"/>
      <c r="FJ46" s="943" t="s">
        <v>431</v>
      </c>
      <c r="FK46" s="944"/>
      <c r="FL46" s="944"/>
      <c r="FM46" s="944"/>
      <c r="FN46" s="944"/>
      <c r="FO46" s="945"/>
      <c r="FP46" s="953"/>
      <c r="FQ46" s="954">
        <v>1</v>
      </c>
      <c r="FR46" s="947"/>
      <c r="FS46" s="955"/>
      <c r="FT46" s="956">
        <v>1</v>
      </c>
      <c r="FU46" s="957"/>
      <c r="FV46" s="907"/>
      <c r="FW46" s="908"/>
      <c r="FX46" s="909"/>
      <c r="FY46" s="910"/>
      <c r="FZ46" s="911"/>
      <c r="GA46" s="912"/>
      <c r="GB46" s="913"/>
      <c r="GC46" s="914"/>
      <c r="GD46" s="913"/>
      <c r="GE46" s="915"/>
      <c r="GF46" s="681"/>
      <c r="GG46" s="958"/>
      <c r="GH46" s="958"/>
      <c r="GI46" s="958"/>
      <c r="GJ46" s="414"/>
      <c r="GK46" s="410" t="s">
        <v>505</v>
      </c>
      <c r="GL46" s="414"/>
      <c r="GM46" s="743"/>
      <c r="GN46" s="743"/>
      <c r="GO46" s="743"/>
      <c r="GP46" s="743"/>
      <c r="GQ46" s="743"/>
      <c r="GR46" s="850"/>
      <c r="GS46" s="577"/>
      <c r="GT46" s="756"/>
      <c r="GU46" s="767" t="s">
        <v>506</v>
      </c>
      <c r="GV46" s="767"/>
      <c r="GW46" s="767"/>
      <c r="GX46" s="767"/>
      <c r="GY46" s="612"/>
      <c r="GZ46" s="768"/>
      <c r="HA46" s="744">
        <v>20.5</v>
      </c>
      <c r="HB46" s="414" t="s">
        <v>475</v>
      </c>
      <c r="HC46" s="927"/>
      <c r="HD46" s="416"/>
    </row>
    <row r="47" spans="1:219" ht="20.100000000000001" customHeight="1" thickBot="1">
      <c r="A47" s="959" t="s">
        <v>432</v>
      </c>
      <c r="B47" s="960"/>
      <c r="C47" s="960"/>
      <c r="D47" s="961"/>
      <c r="E47" s="962"/>
      <c r="F47" s="962"/>
      <c r="G47" s="963"/>
      <c r="H47" s="964">
        <v>0</v>
      </c>
      <c r="I47" s="965"/>
      <c r="J47" s="964">
        <v>0</v>
      </c>
      <c r="K47" s="965"/>
      <c r="L47" s="964">
        <v>0</v>
      </c>
      <c r="M47" s="965"/>
      <c r="N47" s="964">
        <v>0</v>
      </c>
      <c r="O47" s="965"/>
      <c r="P47" s="964">
        <v>0</v>
      </c>
      <c r="Q47" s="965"/>
      <c r="R47" s="964">
        <v>0</v>
      </c>
      <c r="S47" s="965"/>
      <c r="T47" s="964">
        <v>0</v>
      </c>
      <c r="U47" s="965"/>
      <c r="V47" s="964">
        <v>0</v>
      </c>
      <c r="W47" s="965"/>
      <c r="X47" s="964">
        <v>3565</v>
      </c>
      <c r="Y47" s="965"/>
      <c r="Z47" s="964">
        <v>3255</v>
      </c>
      <c r="AA47" s="965"/>
      <c r="AB47" s="964">
        <v>3355</v>
      </c>
      <c r="AC47" s="965"/>
      <c r="AD47" s="964">
        <v>3398</v>
      </c>
      <c r="AE47" s="965"/>
      <c r="AF47" s="964">
        <v>3409</v>
      </c>
      <c r="AG47" s="965"/>
      <c r="AH47" s="964">
        <v>3387</v>
      </c>
      <c r="AI47" s="965"/>
      <c r="AJ47" s="964">
        <v>3293</v>
      </c>
      <c r="AK47" s="965"/>
      <c r="AL47" s="964">
        <v>3177</v>
      </c>
      <c r="AM47" s="965"/>
      <c r="AN47" s="964">
        <v>3003</v>
      </c>
      <c r="AO47" s="965"/>
      <c r="AP47" s="964">
        <v>2820</v>
      </c>
      <c r="AQ47" s="965"/>
      <c r="AR47" s="964">
        <v>0</v>
      </c>
      <c r="AS47" s="965"/>
      <c r="AT47" s="964">
        <v>0</v>
      </c>
      <c r="AU47" s="965"/>
      <c r="AV47" s="964">
        <v>0</v>
      </c>
      <c r="AW47" s="965"/>
      <c r="AX47" s="964">
        <v>0</v>
      </c>
      <c r="AY47" s="966"/>
      <c r="AZ47" s="967">
        <v>0</v>
      </c>
      <c r="BA47" s="968"/>
      <c r="BB47" s="969">
        <v>0</v>
      </c>
      <c r="BC47" s="970"/>
      <c r="BD47" s="959" t="s">
        <v>432</v>
      </c>
      <c r="BE47" s="960"/>
      <c r="BF47" s="960"/>
      <c r="BG47" s="961"/>
      <c r="BH47" s="962"/>
      <c r="BI47" s="962"/>
      <c r="BJ47" s="963"/>
      <c r="BK47" s="964">
        <v>0</v>
      </c>
      <c r="BL47" s="965"/>
      <c r="BM47" s="964">
        <v>0</v>
      </c>
      <c r="BN47" s="965"/>
      <c r="BO47" s="964">
        <v>0</v>
      </c>
      <c r="BP47" s="965"/>
      <c r="BQ47" s="964">
        <v>0</v>
      </c>
      <c r="BR47" s="965"/>
      <c r="BS47" s="964">
        <v>0</v>
      </c>
      <c r="BT47" s="965"/>
      <c r="BU47" s="964">
        <v>0</v>
      </c>
      <c r="BV47" s="965"/>
      <c r="BW47" s="964">
        <v>0</v>
      </c>
      <c r="BX47" s="965"/>
      <c r="BY47" s="964">
        <v>0</v>
      </c>
      <c r="BZ47" s="965"/>
      <c r="CA47" s="964">
        <v>3620</v>
      </c>
      <c r="CB47" s="965"/>
      <c r="CC47" s="964">
        <v>3263</v>
      </c>
      <c r="CD47" s="965"/>
      <c r="CE47" s="964">
        <v>3338</v>
      </c>
      <c r="CF47" s="965"/>
      <c r="CG47" s="964">
        <v>3343</v>
      </c>
      <c r="CH47" s="965"/>
      <c r="CI47" s="964">
        <v>3337</v>
      </c>
      <c r="CJ47" s="965"/>
      <c r="CK47" s="964">
        <v>3288</v>
      </c>
      <c r="CL47" s="965"/>
      <c r="CM47" s="964">
        <v>3207</v>
      </c>
      <c r="CN47" s="965"/>
      <c r="CO47" s="964">
        <v>3116</v>
      </c>
      <c r="CP47" s="965"/>
      <c r="CQ47" s="964">
        <v>2985</v>
      </c>
      <c r="CR47" s="965"/>
      <c r="CS47" s="964">
        <v>2809</v>
      </c>
      <c r="CT47" s="965"/>
      <c r="CU47" s="964">
        <v>0</v>
      </c>
      <c r="CV47" s="965"/>
      <c r="CW47" s="964">
        <v>0</v>
      </c>
      <c r="CX47" s="965"/>
      <c r="CY47" s="964">
        <v>0</v>
      </c>
      <c r="CZ47" s="965"/>
      <c r="DA47" s="964">
        <v>0</v>
      </c>
      <c r="DB47" s="966"/>
      <c r="DC47" s="967">
        <v>0</v>
      </c>
      <c r="DD47" s="968"/>
      <c r="DE47" s="969">
        <v>0</v>
      </c>
      <c r="DF47" s="970"/>
      <c r="DG47" s="959" t="s">
        <v>432</v>
      </c>
      <c r="DH47" s="960"/>
      <c r="DI47" s="960"/>
      <c r="DJ47" s="961"/>
      <c r="DK47" s="962"/>
      <c r="DL47" s="962"/>
      <c r="DM47" s="963"/>
      <c r="DN47" s="964">
        <v>0</v>
      </c>
      <c r="DO47" s="965"/>
      <c r="DP47" s="964">
        <v>0</v>
      </c>
      <c r="DQ47" s="965"/>
      <c r="DR47" s="964">
        <v>0</v>
      </c>
      <c r="DS47" s="965"/>
      <c r="DT47" s="964">
        <v>0</v>
      </c>
      <c r="DU47" s="965"/>
      <c r="DV47" s="964">
        <v>0</v>
      </c>
      <c r="DW47" s="965"/>
      <c r="DX47" s="964">
        <v>0</v>
      </c>
      <c r="DY47" s="965"/>
      <c r="DZ47" s="964">
        <v>0</v>
      </c>
      <c r="EA47" s="965"/>
      <c r="EB47" s="964">
        <v>0</v>
      </c>
      <c r="EC47" s="965"/>
      <c r="ED47" s="964">
        <v>3335</v>
      </c>
      <c r="EE47" s="965"/>
      <c r="EF47" s="964">
        <v>2877</v>
      </c>
      <c r="EG47" s="965"/>
      <c r="EH47" s="964">
        <v>2981</v>
      </c>
      <c r="EI47" s="965"/>
      <c r="EJ47" s="964">
        <v>3033</v>
      </c>
      <c r="EK47" s="965"/>
      <c r="EL47" s="964">
        <v>3023</v>
      </c>
      <c r="EM47" s="965"/>
      <c r="EN47" s="964">
        <v>2973</v>
      </c>
      <c r="EO47" s="965"/>
      <c r="EP47" s="964">
        <v>2900</v>
      </c>
      <c r="EQ47" s="965"/>
      <c r="ER47" s="964">
        <v>2809</v>
      </c>
      <c r="ES47" s="965"/>
      <c r="ET47" s="964">
        <v>2631</v>
      </c>
      <c r="EU47" s="965"/>
      <c r="EV47" s="964">
        <v>2466</v>
      </c>
      <c r="EW47" s="965"/>
      <c r="EX47" s="964">
        <v>0</v>
      </c>
      <c r="EY47" s="965"/>
      <c r="EZ47" s="964">
        <v>0</v>
      </c>
      <c r="FA47" s="965"/>
      <c r="FB47" s="964">
        <v>0</v>
      </c>
      <c r="FC47" s="965"/>
      <c r="FD47" s="964">
        <v>0</v>
      </c>
      <c r="FE47" s="966"/>
      <c r="FF47" s="967">
        <v>0</v>
      </c>
      <c r="FG47" s="968"/>
      <c r="FH47" s="969">
        <v>0</v>
      </c>
      <c r="FI47" s="970"/>
      <c r="FJ47" s="959" t="s">
        <v>432</v>
      </c>
      <c r="FK47" s="960"/>
      <c r="FL47" s="960"/>
      <c r="FM47" s="961"/>
      <c r="FN47" s="962"/>
      <c r="FO47" s="962"/>
      <c r="FP47" s="971"/>
      <c r="FQ47" s="972"/>
      <c r="FR47" s="964">
        <v>5708</v>
      </c>
      <c r="FS47" s="973"/>
      <c r="FT47" s="972"/>
      <c r="FU47" s="974">
        <v>5770</v>
      </c>
      <c r="FV47" s="975">
        <v>9</v>
      </c>
      <c r="FW47" s="964">
        <v>3565</v>
      </c>
      <c r="FX47" s="976">
        <v>9</v>
      </c>
      <c r="FY47" s="964">
        <v>3620</v>
      </c>
      <c r="FZ47" s="976">
        <v>9</v>
      </c>
      <c r="GA47" s="964">
        <v>3335</v>
      </c>
      <c r="GB47" s="977" t="s">
        <v>560</v>
      </c>
      <c r="GC47" s="964">
        <v>3620</v>
      </c>
      <c r="GD47" s="977" t="s">
        <v>360</v>
      </c>
      <c r="GE47" s="978">
        <v>5770</v>
      </c>
      <c r="GF47" s="681"/>
      <c r="GG47" s="979"/>
      <c r="GH47" s="979"/>
      <c r="GI47" s="979"/>
      <c r="GJ47" s="882"/>
      <c r="GK47" s="414" t="s">
        <v>507</v>
      </c>
      <c r="GL47" s="882"/>
      <c r="GM47" s="527"/>
      <c r="GN47" s="882"/>
      <c r="GO47" s="527"/>
      <c r="GP47" s="527"/>
      <c r="GQ47" s="527"/>
      <c r="GR47" s="882"/>
      <c r="GS47" s="527"/>
      <c r="GT47" s="756"/>
      <c r="GU47" s="767" t="s">
        <v>508</v>
      </c>
      <c r="GV47" s="767"/>
      <c r="GW47" s="767"/>
      <c r="GX47" s="767"/>
      <c r="GY47" s="527"/>
      <c r="GZ47" s="414"/>
      <c r="HA47" s="771">
        <v>0</v>
      </c>
      <c r="HB47" s="414"/>
      <c r="HC47" s="970"/>
      <c r="HD47" s="416"/>
    </row>
    <row r="48" spans="1:219" ht="20.100000000000001" customHeight="1">
      <c r="A48" s="980" t="s">
        <v>433</v>
      </c>
      <c r="B48" s="981" t="s">
        <v>434</v>
      </c>
      <c r="C48" s="884"/>
      <c r="D48" s="814"/>
      <c r="E48" s="814"/>
      <c r="F48" s="815"/>
      <c r="G48" s="733" t="s">
        <v>435</v>
      </c>
      <c r="H48" s="660" t="s">
        <v>398</v>
      </c>
      <c r="I48" s="735" t="s">
        <v>435</v>
      </c>
      <c r="J48" s="982" t="s">
        <v>398</v>
      </c>
      <c r="K48" s="735" t="s">
        <v>435</v>
      </c>
      <c r="L48" s="982" t="s">
        <v>398</v>
      </c>
      <c r="M48" s="735" t="s">
        <v>435</v>
      </c>
      <c r="N48" s="982" t="s">
        <v>398</v>
      </c>
      <c r="O48" s="735" t="s">
        <v>435</v>
      </c>
      <c r="P48" s="982" t="s">
        <v>398</v>
      </c>
      <c r="Q48" s="735" t="s">
        <v>435</v>
      </c>
      <c r="R48" s="982" t="s">
        <v>398</v>
      </c>
      <c r="S48" s="735" t="s">
        <v>435</v>
      </c>
      <c r="T48" s="982" t="s">
        <v>398</v>
      </c>
      <c r="U48" s="735" t="s">
        <v>435</v>
      </c>
      <c r="V48" s="982" t="s">
        <v>398</v>
      </c>
      <c r="W48" s="735" t="s">
        <v>435</v>
      </c>
      <c r="X48" s="982" t="s">
        <v>398</v>
      </c>
      <c r="Y48" s="735" t="s">
        <v>435</v>
      </c>
      <c r="Z48" s="982" t="s">
        <v>398</v>
      </c>
      <c r="AA48" s="735" t="s">
        <v>435</v>
      </c>
      <c r="AB48" s="982" t="s">
        <v>398</v>
      </c>
      <c r="AC48" s="735" t="s">
        <v>435</v>
      </c>
      <c r="AD48" s="982" t="s">
        <v>398</v>
      </c>
      <c r="AE48" s="735" t="s">
        <v>435</v>
      </c>
      <c r="AF48" s="982" t="s">
        <v>398</v>
      </c>
      <c r="AG48" s="735" t="s">
        <v>435</v>
      </c>
      <c r="AH48" s="982" t="s">
        <v>398</v>
      </c>
      <c r="AI48" s="735" t="s">
        <v>435</v>
      </c>
      <c r="AJ48" s="982" t="s">
        <v>398</v>
      </c>
      <c r="AK48" s="735" t="s">
        <v>435</v>
      </c>
      <c r="AL48" s="982" t="s">
        <v>398</v>
      </c>
      <c r="AM48" s="735" t="s">
        <v>435</v>
      </c>
      <c r="AN48" s="982" t="s">
        <v>398</v>
      </c>
      <c r="AO48" s="735" t="s">
        <v>435</v>
      </c>
      <c r="AP48" s="982" t="s">
        <v>398</v>
      </c>
      <c r="AQ48" s="735" t="s">
        <v>435</v>
      </c>
      <c r="AR48" s="982" t="s">
        <v>398</v>
      </c>
      <c r="AS48" s="735" t="s">
        <v>435</v>
      </c>
      <c r="AT48" s="982" t="s">
        <v>398</v>
      </c>
      <c r="AU48" s="735" t="s">
        <v>435</v>
      </c>
      <c r="AV48" s="982" t="s">
        <v>398</v>
      </c>
      <c r="AW48" s="735" t="s">
        <v>435</v>
      </c>
      <c r="AX48" s="982" t="s">
        <v>398</v>
      </c>
      <c r="AY48" s="735" t="s">
        <v>435</v>
      </c>
      <c r="AZ48" s="983" t="s">
        <v>398</v>
      </c>
      <c r="BA48" s="984" t="s">
        <v>435</v>
      </c>
      <c r="BB48" s="985" t="s">
        <v>398</v>
      </c>
      <c r="BC48" s="921"/>
      <c r="BD48" s="980" t="s">
        <v>433</v>
      </c>
      <c r="BE48" s="981" t="s">
        <v>434</v>
      </c>
      <c r="BF48" s="884"/>
      <c r="BG48" s="814"/>
      <c r="BH48" s="814"/>
      <c r="BI48" s="815"/>
      <c r="BJ48" s="733" t="s">
        <v>435</v>
      </c>
      <c r="BK48" s="660" t="s">
        <v>398</v>
      </c>
      <c r="BL48" s="735" t="s">
        <v>435</v>
      </c>
      <c r="BM48" s="982" t="s">
        <v>398</v>
      </c>
      <c r="BN48" s="735" t="s">
        <v>435</v>
      </c>
      <c r="BO48" s="982" t="s">
        <v>398</v>
      </c>
      <c r="BP48" s="735" t="s">
        <v>435</v>
      </c>
      <c r="BQ48" s="982" t="s">
        <v>398</v>
      </c>
      <c r="BR48" s="735" t="s">
        <v>435</v>
      </c>
      <c r="BS48" s="982" t="s">
        <v>398</v>
      </c>
      <c r="BT48" s="735" t="s">
        <v>435</v>
      </c>
      <c r="BU48" s="982" t="s">
        <v>398</v>
      </c>
      <c r="BV48" s="735" t="s">
        <v>435</v>
      </c>
      <c r="BW48" s="982" t="s">
        <v>398</v>
      </c>
      <c r="BX48" s="735" t="s">
        <v>435</v>
      </c>
      <c r="BY48" s="982" t="s">
        <v>398</v>
      </c>
      <c r="BZ48" s="735" t="s">
        <v>435</v>
      </c>
      <c r="CA48" s="982" t="s">
        <v>398</v>
      </c>
      <c r="CB48" s="735" t="s">
        <v>435</v>
      </c>
      <c r="CC48" s="982" t="s">
        <v>398</v>
      </c>
      <c r="CD48" s="735" t="s">
        <v>435</v>
      </c>
      <c r="CE48" s="982" t="s">
        <v>398</v>
      </c>
      <c r="CF48" s="735" t="s">
        <v>435</v>
      </c>
      <c r="CG48" s="982" t="s">
        <v>398</v>
      </c>
      <c r="CH48" s="735" t="s">
        <v>435</v>
      </c>
      <c r="CI48" s="982" t="s">
        <v>398</v>
      </c>
      <c r="CJ48" s="735" t="s">
        <v>435</v>
      </c>
      <c r="CK48" s="982" t="s">
        <v>398</v>
      </c>
      <c r="CL48" s="735" t="s">
        <v>435</v>
      </c>
      <c r="CM48" s="982" t="s">
        <v>398</v>
      </c>
      <c r="CN48" s="735" t="s">
        <v>435</v>
      </c>
      <c r="CO48" s="982" t="s">
        <v>398</v>
      </c>
      <c r="CP48" s="735" t="s">
        <v>435</v>
      </c>
      <c r="CQ48" s="982" t="s">
        <v>398</v>
      </c>
      <c r="CR48" s="735" t="s">
        <v>435</v>
      </c>
      <c r="CS48" s="982" t="s">
        <v>398</v>
      </c>
      <c r="CT48" s="735" t="s">
        <v>435</v>
      </c>
      <c r="CU48" s="982" t="s">
        <v>398</v>
      </c>
      <c r="CV48" s="735" t="s">
        <v>435</v>
      </c>
      <c r="CW48" s="982" t="s">
        <v>398</v>
      </c>
      <c r="CX48" s="735" t="s">
        <v>435</v>
      </c>
      <c r="CY48" s="982" t="s">
        <v>398</v>
      </c>
      <c r="CZ48" s="735" t="s">
        <v>435</v>
      </c>
      <c r="DA48" s="982" t="s">
        <v>398</v>
      </c>
      <c r="DB48" s="735" t="s">
        <v>435</v>
      </c>
      <c r="DC48" s="983" t="s">
        <v>398</v>
      </c>
      <c r="DD48" s="984" t="s">
        <v>435</v>
      </c>
      <c r="DE48" s="985" t="s">
        <v>398</v>
      </c>
      <c r="DF48" s="921"/>
      <c r="DG48" s="980" t="s">
        <v>433</v>
      </c>
      <c r="DH48" s="981" t="s">
        <v>434</v>
      </c>
      <c r="DI48" s="884"/>
      <c r="DJ48" s="814"/>
      <c r="DK48" s="814"/>
      <c r="DL48" s="815"/>
      <c r="DM48" s="733" t="s">
        <v>435</v>
      </c>
      <c r="DN48" s="660" t="s">
        <v>398</v>
      </c>
      <c r="DO48" s="735" t="s">
        <v>435</v>
      </c>
      <c r="DP48" s="982" t="s">
        <v>398</v>
      </c>
      <c r="DQ48" s="735" t="s">
        <v>435</v>
      </c>
      <c r="DR48" s="982" t="s">
        <v>398</v>
      </c>
      <c r="DS48" s="735" t="s">
        <v>435</v>
      </c>
      <c r="DT48" s="982" t="s">
        <v>398</v>
      </c>
      <c r="DU48" s="735" t="s">
        <v>435</v>
      </c>
      <c r="DV48" s="982" t="s">
        <v>398</v>
      </c>
      <c r="DW48" s="735" t="s">
        <v>435</v>
      </c>
      <c r="DX48" s="982" t="s">
        <v>398</v>
      </c>
      <c r="DY48" s="735" t="s">
        <v>435</v>
      </c>
      <c r="DZ48" s="982" t="s">
        <v>398</v>
      </c>
      <c r="EA48" s="735" t="s">
        <v>435</v>
      </c>
      <c r="EB48" s="982" t="s">
        <v>398</v>
      </c>
      <c r="EC48" s="735" t="s">
        <v>435</v>
      </c>
      <c r="ED48" s="982" t="s">
        <v>398</v>
      </c>
      <c r="EE48" s="735" t="s">
        <v>435</v>
      </c>
      <c r="EF48" s="982" t="s">
        <v>398</v>
      </c>
      <c r="EG48" s="735" t="s">
        <v>435</v>
      </c>
      <c r="EH48" s="982" t="s">
        <v>398</v>
      </c>
      <c r="EI48" s="735" t="s">
        <v>435</v>
      </c>
      <c r="EJ48" s="982" t="s">
        <v>398</v>
      </c>
      <c r="EK48" s="735" t="s">
        <v>435</v>
      </c>
      <c r="EL48" s="982" t="s">
        <v>398</v>
      </c>
      <c r="EM48" s="735" t="s">
        <v>435</v>
      </c>
      <c r="EN48" s="982" t="s">
        <v>398</v>
      </c>
      <c r="EO48" s="735" t="s">
        <v>435</v>
      </c>
      <c r="EP48" s="982" t="s">
        <v>398</v>
      </c>
      <c r="EQ48" s="735" t="s">
        <v>435</v>
      </c>
      <c r="ER48" s="982" t="s">
        <v>398</v>
      </c>
      <c r="ES48" s="735" t="s">
        <v>435</v>
      </c>
      <c r="ET48" s="982" t="s">
        <v>398</v>
      </c>
      <c r="EU48" s="735" t="s">
        <v>435</v>
      </c>
      <c r="EV48" s="982" t="s">
        <v>398</v>
      </c>
      <c r="EW48" s="735" t="s">
        <v>435</v>
      </c>
      <c r="EX48" s="982" t="s">
        <v>398</v>
      </c>
      <c r="EY48" s="735" t="s">
        <v>435</v>
      </c>
      <c r="EZ48" s="982" t="s">
        <v>398</v>
      </c>
      <c r="FA48" s="735" t="s">
        <v>435</v>
      </c>
      <c r="FB48" s="982" t="s">
        <v>398</v>
      </c>
      <c r="FC48" s="735" t="s">
        <v>435</v>
      </c>
      <c r="FD48" s="982" t="s">
        <v>398</v>
      </c>
      <c r="FE48" s="735" t="s">
        <v>435</v>
      </c>
      <c r="FF48" s="983" t="s">
        <v>398</v>
      </c>
      <c r="FG48" s="984" t="s">
        <v>435</v>
      </c>
      <c r="FH48" s="985" t="s">
        <v>398</v>
      </c>
      <c r="FI48" s="921"/>
      <c r="FJ48" s="980" t="s">
        <v>433</v>
      </c>
      <c r="FK48" s="731" t="s">
        <v>434</v>
      </c>
      <c r="FL48" s="884"/>
      <c r="FM48" s="814"/>
      <c r="FN48" s="814"/>
      <c r="FO48" s="815"/>
      <c r="FP48" s="740" t="s">
        <v>401</v>
      </c>
      <c r="FQ48" s="666" t="s">
        <v>435</v>
      </c>
      <c r="FR48" s="660" t="s">
        <v>402</v>
      </c>
      <c r="FS48" s="986" t="s">
        <v>401</v>
      </c>
      <c r="FT48" s="666" t="s">
        <v>435</v>
      </c>
      <c r="FU48" s="987" t="s">
        <v>402</v>
      </c>
      <c r="FV48" s="988"/>
      <c r="FW48" s="982" t="s">
        <v>322</v>
      </c>
      <c r="FX48" s="986"/>
      <c r="FY48" s="982" t="s">
        <v>322</v>
      </c>
      <c r="FZ48" s="986"/>
      <c r="GA48" s="982" t="s">
        <v>322</v>
      </c>
      <c r="GB48" s="986"/>
      <c r="GC48" s="982" t="s">
        <v>322</v>
      </c>
      <c r="GD48" s="986"/>
      <c r="GE48" s="989" t="s">
        <v>324</v>
      </c>
      <c r="GF48" s="681"/>
      <c r="GG48" s="652"/>
      <c r="GH48" s="652"/>
      <c r="GI48" s="652"/>
      <c r="GJ48" s="527"/>
      <c r="GK48" s="612" t="s">
        <v>509</v>
      </c>
      <c r="GL48" s="527"/>
      <c r="GM48" s="612"/>
      <c r="GN48" s="527"/>
      <c r="GO48" s="612"/>
      <c r="GP48" s="612"/>
      <c r="GQ48" s="612"/>
      <c r="GR48" s="527"/>
      <c r="GS48" s="527"/>
      <c r="GT48" s="497"/>
      <c r="GU48" s="497"/>
      <c r="GV48" s="497"/>
      <c r="GW48" s="576"/>
      <c r="GX48" s="576"/>
      <c r="GY48" s="576"/>
      <c r="GZ48" s="575"/>
      <c r="HA48" s="497"/>
      <c r="HB48" s="497"/>
      <c r="HC48" s="970"/>
      <c r="HD48" s="416"/>
    </row>
    <row r="49" spans="1:212" ht="20.100000000000001" customHeight="1">
      <c r="A49" s="990"/>
      <c r="B49" s="745" t="s">
        <v>403</v>
      </c>
      <c r="C49" s="991"/>
      <c r="D49" s="747">
        <v>68</v>
      </c>
      <c r="E49" s="748">
        <v>2</v>
      </c>
      <c r="F49" s="992" t="s">
        <v>404</v>
      </c>
      <c r="G49" s="750"/>
      <c r="H49" s="556"/>
      <c r="I49" s="751"/>
      <c r="J49" s="556"/>
      <c r="K49" s="751"/>
      <c r="L49" s="556"/>
      <c r="M49" s="751"/>
      <c r="N49" s="556"/>
      <c r="O49" s="751"/>
      <c r="P49" s="556"/>
      <c r="Q49" s="751"/>
      <c r="R49" s="556"/>
      <c r="S49" s="751"/>
      <c r="T49" s="556"/>
      <c r="U49" s="751"/>
      <c r="V49" s="556"/>
      <c r="W49" s="751">
        <v>1</v>
      </c>
      <c r="X49" s="556">
        <v>136</v>
      </c>
      <c r="Y49" s="751">
        <v>1</v>
      </c>
      <c r="Z49" s="556">
        <v>136</v>
      </c>
      <c r="AA49" s="751">
        <v>1</v>
      </c>
      <c r="AB49" s="556">
        <v>136</v>
      </c>
      <c r="AC49" s="751">
        <v>1</v>
      </c>
      <c r="AD49" s="556">
        <v>136</v>
      </c>
      <c r="AE49" s="751">
        <v>1</v>
      </c>
      <c r="AF49" s="556">
        <v>136</v>
      </c>
      <c r="AG49" s="751">
        <v>1</v>
      </c>
      <c r="AH49" s="556">
        <v>136</v>
      </c>
      <c r="AI49" s="751">
        <v>1</v>
      </c>
      <c r="AJ49" s="556">
        <v>136</v>
      </c>
      <c r="AK49" s="751">
        <v>1</v>
      </c>
      <c r="AL49" s="556">
        <v>136</v>
      </c>
      <c r="AM49" s="751">
        <v>1</v>
      </c>
      <c r="AN49" s="556">
        <v>136</v>
      </c>
      <c r="AO49" s="751">
        <v>1</v>
      </c>
      <c r="AP49" s="556">
        <v>136</v>
      </c>
      <c r="AQ49" s="751"/>
      <c r="AR49" s="556"/>
      <c r="AS49" s="751"/>
      <c r="AT49" s="556"/>
      <c r="AU49" s="751"/>
      <c r="AV49" s="556"/>
      <c r="AW49" s="751"/>
      <c r="AX49" s="556"/>
      <c r="AY49" s="993"/>
      <c r="AZ49" s="994"/>
      <c r="BA49" s="995"/>
      <c r="BB49" s="996"/>
      <c r="BC49" s="927"/>
      <c r="BD49" s="990"/>
      <c r="BE49" s="745" t="s">
        <v>403</v>
      </c>
      <c r="BF49" s="991"/>
      <c r="BG49" s="747"/>
      <c r="BH49" s="748">
        <v>2</v>
      </c>
      <c r="BI49" s="992" t="s">
        <v>404</v>
      </c>
      <c r="BJ49" s="750"/>
      <c r="BK49" s="556"/>
      <c r="BL49" s="751"/>
      <c r="BM49" s="556"/>
      <c r="BN49" s="751"/>
      <c r="BO49" s="556"/>
      <c r="BP49" s="751"/>
      <c r="BQ49" s="556"/>
      <c r="BR49" s="751"/>
      <c r="BS49" s="556"/>
      <c r="BT49" s="751"/>
      <c r="BU49" s="556"/>
      <c r="BV49" s="751"/>
      <c r="BW49" s="556"/>
      <c r="BX49" s="751"/>
      <c r="BY49" s="556"/>
      <c r="BZ49" s="751">
        <v>1</v>
      </c>
      <c r="CA49" s="556">
        <v>136</v>
      </c>
      <c r="CB49" s="751">
        <v>1</v>
      </c>
      <c r="CC49" s="556">
        <v>136</v>
      </c>
      <c r="CD49" s="751">
        <v>1</v>
      </c>
      <c r="CE49" s="556">
        <v>136</v>
      </c>
      <c r="CF49" s="751">
        <v>1</v>
      </c>
      <c r="CG49" s="556">
        <v>136</v>
      </c>
      <c r="CH49" s="751">
        <v>1</v>
      </c>
      <c r="CI49" s="556">
        <v>136</v>
      </c>
      <c r="CJ49" s="751">
        <v>1</v>
      </c>
      <c r="CK49" s="556">
        <v>136</v>
      </c>
      <c r="CL49" s="751">
        <v>1</v>
      </c>
      <c r="CM49" s="556">
        <v>136</v>
      </c>
      <c r="CN49" s="751">
        <v>1</v>
      </c>
      <c r="CO49" s="556">
        <v>136</v>
      </c>
      <c r="CP49" s="751">
        <v>1</v>
      </c>
      <c r="CQ49" s="556">
        <v>136</v>
      </c>
      <c r="CR49" s="751">
        <v>1</v>
      </c>
      <c r="CS49" s="556">
        <v>136</v>
      </c>
      <c r="CT49" s="751"/>
      <c r="CU49" s="556"/>
      <c r="CV49" s="751"/>
      <c r="CW49" s="556"/>
      <c r="CX49" s="751"/>
      <c r="CY49" s="556"/>
      <c r="CZ49" s="751"/>
      <c r="DA49" s="556"/>
      <c r="DB49" s="993"/>
      <c r="DC49" s="994"/>
      <c r="DD49" s="995"/>
      <c r="DE49" s="996"/>
      <c r="DF49" s="927"/>
      <c r="DG49" s="990"/>
      <c r="DH49" s="745" t="s">
        <v>403</v>
      </c>
      <c r="DI49" s="991"/>
      <c r="DJ49" s="747"/>
      <c r="DK49" s="748">
        <v>2</v>
      </c>
      <c r="DL49" s="992" t="s">
        <v>404</v>
      </c>
      <c r="DM49" s="750"/>
      <c r="DN49" s="556"/>
      <c r="DO49" s="751"/>
      <c r="DP49" s="556"/>
      <c r="DQ49" s="751"/>
      <c r="DR49" s="556"/>
      <c r="DS49" s="751"/>
      <c r="DT49" s="556"/>
      <c r="DU49" s="751"/>
      <c r="DV49" s="556"/>
      <c r="DW49" s="751"/>
      <c r="DX49" s="556"/>
      <c r="DY49" s="751"/>
      <c r="DZ49" s="556"/>
      <c r="EA49" s="751"/>
      <c r="EB49" s="556"/>
      <c r="EC49" s="751">
        <v>1</v>
      </c>
      <c r="ED49" s="556">
        <v>136</v>
      </c>
      <c r="EE49" s="751">
        <v>1</v>
      </c>
      <c r="EF49" s="556">
        <v>136</v>
      </c>
      <c r="EG49" s="751">
        <v>1</v>
      </c>
      <c r="EH49" s="556">
        <v>136</v>
      </c>
      <c r="EI49" s="751">
        <v>1</v>
      </c>
      <c r="EJ49" s="556">
        <v>136</v>
      </c>
      <c r="EK49" s="751">
        <v>1</v>
      </c>
      <c r="EL49" s="556">
        <v>136</v>
      </c>
      <c r="EM49" s="751">
        <v>1</v>
      </c>
      <c r="EN49" s="556">
        <v>136</v>
      </c>
      <c r="EO49" s="751">
        <v>1</v>
      </c>
      <c r="EP49" s="556">
        <v>136</v>
      </c>
      <c r="EQ49" s="751">
        <v>1</v>
      </c>
      <c r="ER49" s="556">
        <v>136</v>
      </c>
      <c r="ES49" s="751">
        <v>1</v>
      </c>
      <c r="ET49" s="556">
        <v>136</v>
      </c>
      <c r="EU49" s="751">
        <v>1</v>
      </c>
      <c r="EV49" s="556">
        <v>136</v>
      </c>
      <c r="EW49" s="751"/>
      <c r="EX49" s="556"/>
      <c r="EY49" s="751"/>
      <c r="EZ49" s="556"/>
      <c r="FA49" s="751"/>
      <c r="FB49" s="556"/>
      <c r="FC49" s="751"/>
      <c r="FD49" s="556"/>
      <c r="FE49" s="993"/>
      <c r="FF49" s="994"/>
      <c r="FG49" s="995"/>
      <c r="FH49" s="996"/>
      <c r="FI49" s="927"/>
      <c r="FJ49" s="990"/>
      <c r="FK49" s="745" t="s">
        <v>403</v>
      </c>
      <c r="FL49" s="991"/>
      <c r="FM49" s="752"/>
      <c r="FN49" s="748">
        <v>0</v>
      </c>
      <c r="FO49" s="992"/>
      <c r="FP49" s="678"/>
      <c r="FQ49" s="753"/>
      <c r="FR49" s="584">
        <v>0</v>
      </c>
      <c r="FS49" s="754"/>
      <c r="FT49" s="753"/>
      <c r="FU49" s="564">
        <v>0</v>
      </c>
      <c r="FV49" s="997" t="s">
        <v>332</v>
      </c>
      <c r="FW49" s="998"/>
      <c r="FX49" s="999" t="s">
        <v>333</v>
      </c>
      <c r="FY49" s="1000"/>
      <c r="FZ49" s="1001" t="s">
        <v>334</v>
      </c>
      <c r="GA49" s="1002"/>
      <c r="GB49" s="1003" t="s">
        <v>335</v>
      </c>
      <c r="GC49" s="1004"/>
      <c r="GD49" s="1003" t="s">
        <v>336</v>
      </c>
      <c r="GE49" s="1005"/>
      <c r="GF49" s="681"/>
      <c r="GG49" s="599"/>
      <c r="GH49" s="599"/>
      <c r="GI49" s="599"/>
      <c r="GJ49" s="577"/>
      <c r="GK49" s="414" t="s">
        <v>510</v>
      </c>
      <c r="GL49" s="577"/>
      <c r="GM49" s="414"/>
      <c r="GN49" s="577"/>
      <c r="GO49" s="414"/>
      <c r="GP49" s="414"/>
      <c r="GQ49" s="414"/>
      <c r="GR49" s="577"/>
      <c r="GS49" s="527"/>
      <c r="GT49" s="850"/>
      <c r="GU49" s="527" t="s">
        <v>488</v>
      </c>
      <c r="GV49" s="612"/>
      <c r="GW49" s="527"/>
      <c r="GX49" s="612"/>
      <c r="GY49" s="527"/>
      <c r="GZ49" s="392"/>
      <c r="HA49" s="577"/>
      <c r="HB49" s="392"/>
      <c r="HC49" s="1006"/>
      <c r="HD49" s="416"/>
    </row>
    <row r="50" spans="1:212" ht="20.100000000000001" customHeight="1">
      <c r="A50" s="990"/>
      <c r="B50" s="757" t="s">
        <v>410</v>
      </c>
      <c r="C50" s="1007"/>
      <c r="D50" s="1008">
        <v>0</v>
      </c>
      <c r="E50" s="1009">
        <v>0</v>
      </c>
      <c r="F50" s="1010"/>
      <c r="G50" s="1011"/>
      <c r="H50" s="584">
        <v>0</v>
      </c>
      <c r="I50" s="1012"/>
      <c r="J50" s="584">
        <v>0</v>
      </c>
      <c r="K50" s="1012"/>
      <c r="L50" s="584">
        <v>0</v>
      </c>
      <c r="M50" s="1012"/>
      <c r="N50" s="584">
        <v>0</v>
      </c>
      <c r="O50" s="1012"/>
      <c r="P50" s="584">
        <v>0</v>
      </c>
      <c r="Q50" s="1012"/>
      <c r="R50" s="584">
        <v>0</v>
      </c>
      <c r="S50" s="1012"/>
      <c r="T50" s="584">
        <v>0</v>
      </c>
      <c r="U50" s="1012"/>
      <c r="V50" s="584">
        <v>0</v>
      </c>
      <c r="W50" s="1012"/>
      <c r="X50" s="584">
        <v>0</v>
      </c>
      <c r="Y50" s="1012"/>
      <c r="Z50" s="584">
        <v>0</v>
      </c>
      <c r="AA50" s="1012"/>
      <c r="AB50" s="584">
        <v>0</v>
      </c>
      <c r="AC50" s="1012"/>
      <c r="AD50" s="584">
        <v>0</v>
      </c>
      <c r="AE50" s="1012"/>
      <c r="AF50" s="584">
        <v>0</v>
      </c>
      <c r="AG50" s="1012"/>
      <c r="AH50" s="584">
        <v>0</v>
      </c>
      <c r="AI50" s="1012"/>
      <c r="AJ50" s="584">
        <v>0</v>
      </c>
      <c r="AK50" s="1012"/>
      <c r="AL50" s="584">
        <v>0</v>
      </c>
      <c r="AM50" s="1012"/>
      <c r="AN50" s="584">
        <v>0</v>
      </c>
      <c r="AO50" s="1012"/>
      <c r="AP50" s="584">
        <v>0</v>
      </c>
      <c r="AQ50" s="1012"/>
      <c r="AR50" s="584">
        <v>0</v>
      </c>
      <c r="AS50" s="1012"/>
      <c r="AT50" s="584">
        <v>0</v>
      </c>
      <c r="AU50" s="1012"/>
      <c r="AV50" s="584">
        <v>0</v>
      </c>
      <c r="AW50" s="1012"/>
      <c r="AX50" s="584">
        <v>0</v>
      </c>
      <c r="AY50" s="1013"/>
      <c r="AZ50" s="1014">
        <v>0</v>
      </c>
      <c r="BA50" s="1015"/>
      <c r="BB50" s="1016">
        <v>0</v>
      </c>
      <c r="BC50" s="927"/>
      <c r="BD50" s="990"/>
      <c r="BE50" s="757" t="s">
        <v>410</v>
      </c>
      <c r="BF50" s="1007"/>
      <c r="BG50" s="1008">
        <v>0</v>
      </c>
      <c r="BH50" s="1009">
        <v>0</v>
      </c>
      <c r="BI50" s="1010"/>
      <c r="BJ50" s="1011"/>
      <c r="BK50" s="584">
        <v>0</v>
      </c>
      <c r="BL50" s="1012"/>
      <c r="BM50" s="584">
        <v>0</v>
      </c>
      <c r="BN50" s="1012"/>
      <c r="BO50" s="584">
        <v>0</v>
      </c>
      <c r="BP50" s="1012"/>
      <c r="BQ50" s="584">
        <v>0</v>
      </c>
      <c r="BR50" s="1012"/>
      <c r="BS50" s="584">
        <v>0</v>
      </c>
      <c r="BT50" s="1012"/>
      <c r="BU50" s="584">
        <v>0</v>
      </c>
      <c r="BV50" s="1012"/>
      <c r="BW50" s="584">
        <v>0</v>
      </c>
      <c r="BX50" s="1012"/>
      <c r="BY50" s="584">
        <v>0</v>
      </c>
      <c r="BZ50" s="1012"/>
      <c r="CA50" s="584">
        <v>0</v>
      </c>
      <c r="CB50" s="1012"/>
      <c r="CC50" s="584">
        <v>0</v>
      </c>
      <c r="CD50" s="1012"/>
      <c r="CE50" s="584">
        <v>0</v>
      </c>
      <c r="CF50" s="1012"/>
      <c r="CG50" s="584">
        <v>0</v>
      </c>
      <c r="CH50" s="1012"/>
      <c r="CI50" s="584">
        <v>0</v>
      </c>
      <c r="CJ50" s="1012"/>
      <c r="CK50" s="584">
        <v>0</v>
      </c>
      <c r="CL50" s="1012"/>
      <c r="CM50" s="584">
        <v>0</v>
      </c>
      <c r="CN50" s="1012"/>
      <c r="CO50" s="584">
        <v>0</v>
      </c>
      <c r="CP50" s="1012"/>
      <c r="CQ50" s="584">
        <v>0</v>
      </c>
      <c r="CR50" s="1012"/>
      <c r="CS50" s="584">
        <v>0</v>
      </c>
      <c r="CT50" s="1012"/>
      <c r="CU50" s="584">
        <v>0</v>
      </c>
      <c r="CV50" s="1012"/>
      <c r="CW50" s="584">
        <v>0</v>
      </c>
      <c r="CX50" s="1012"/>
      <c r="CY50" s="584">
        <v>0</v>
      </c>
      <c r="CZ50" s="1012"/>
      <c r="DA50" s="584">
        <v>0</v>
      </c>
      <c r="DB50" s="1013"/>
      <c r="DC50" s="1014">
        <v>0</v>
      </c>
      <c r="DD50" s="1015"/>
      <c r="DE50" s="1016">
        <v>0</v>
      </c>
      <c r="DF50" s="927"/>
      <c r="DG50" s="990"/>
      <c r="DH50" s="757" t="s">
        <v>410</v>
      </c>
      <c r="DI50" s="1007"/>
      <c r="DJ50" s="1008">
        <v>0</v>
      </c>
      <c r="DK50" s="1009">
        <v>0</v>
      </c>
      <c r="DL50" s="1010"/>
      <c r="DM50" s="1011"/>
      <c r="DN50" s="584">
        <v>0</v>
      </c>
      <c r="DO50" s="1012"/>
      <c r="DP50" s="584">
        <v>0</v>
      </c>
      <c r="DQ50" s="1012"/>
      <c r="DR50" s="584">
        <v>0</v>
      </c>
      <c r="DS50" s="1012"/>
      <c r="DT50" s="584">
        <v>0</v>
      </c>
      <c r="DU50" s="1012"/>
      <c r="DV50" s="584">
        <v>0</v>
      </c>
      <c r="DW50" s="1012"/>
      <c r="DX50" s="584">
        <v>0</v>
      </c>
      <c r="DY50" s="1012"/>
      <c r="DZ50" s="584">
        <v>0</v>
      </c>
      <c r="EA50" s="1012"/>
      <c r="EB50" s="584">
        <v>0</v>
      </c>
      <c r="EC50" s="1012"/>
      <c r="ED50" s="584">
        <v>0</v>
      </c>
      <c r="EE50" s="1012"/>
      <c r="EF50" s="584">
        <v>0</v>
      </c>
      <c r="EG50" s="1012"/>
      <c r="EH50" s="584">
        <v>0</v>
      </c>
      <c r="EI50" s="1012"/>
      <c r="EJ50" s="584">
        <v>0</v>
      </c>
      <c r="EK50" s="1012"/>
      <c r="EL50" s="584">
        <v>0</v>
      </c>
      <c r="EM50" s="1012"/>
      <c r="EN50" s="584">
        <v>0</v>
      </c>
      <c r="EO50" s="1012"/>
      <c r="EP50" s="584">
        <v>0</v>
      </c>
      <c r="EQ50" s="1012"/>
      <c r="ER50" s="584">
        <v>0</v>
      </c>
      <c r="ES50" s="1012"/>
      <c r="ET50" s="584">
        <v>0</v>
      </c>
      <c r="EU50" s="1012"/>
      <c r="EV50" s="584">
        <v>0</v>
      </c>
      <c r="EW50" s="1012"/>
      <c r="EX50" s="584">
        <v>0</v>
      </c>
      <c r="EY50" s="1012"/>
      <c r="EZ50" s="584">
        <v>0</v>
      </c>
      <c r="FA50" s="1012"/>
      <c r="FB50" s="584">
        <v>0</v>
      </c>
      <c r="FC50" s="1012"/>
      <c r="FD50" s="584">
        <v>0</v>
      </c>
      <c r="FE50" s="1013"/>
      <c r="FF50" s="1014">
        <v>0</v>
      </c>
      <c r="FG50" s="1015"/>
      <c r="FH50" s="1016">
        <v>0</v>
      </c>
      <c r="FI50" s="927"/>
      <c r="FJ50" s="990"/>
      <c r="FK50" s="757" t="s">
        <v>410</v>
      </c>
      <c r="FL50" s="1007"/>
      <c r="FM50" s="1008">
        <v>0</v>
      </c>
      <c r="FN50" s="1009">
        <v>0</v>
      </c>
      <c r="FO50" s="1010"/>
      <c r="FP50" s="689"/>
      <c r="FQ50" s="1017"/>
      <c r="FR50" s="584">
        <v>0</v>
      </c>
      <c r="FS50" s="766"/>
      <c r="FT50" s="1017"/>
      <c r="FU50" s="589">
        <v>0</v>
      </c>
      <c r="FV50" s="1018"/>
      <c r="FW50" s="1019"/>
      <c r="FX50" s="1020"/>
      <c r="FY50" s="1021"/>
      <c r="FZ50" s="1022"/>
      <c r="GA50" s="1023"/>
      <c r="GB50" s="1024"/>
      <c r="GC50" s="1025"/>
      <c r="GD50" s="1024"/>
      <c r="GE50" s="1026"/>
      <c r="GF50" s="681"/>
      <c r="GG50" s="599"/>
      <c r="GH50" s="599"/>
      <c r="GI50" s="599"/>
      <c r="GJ50" s="577"/>
      <c r="GK50" s="414" t="s">
        <v>511</v>
      </c>
      <c r="GL50" s="577"/>
      <c r="GM50" s="414"/>
      <c r="GN50" s="577"/>
      <c r="GO50" s="414"/>
      <c r="GP50" s="414"/>
      <c r="GQ50" s="414"/>
      <c r="GR50" s="577"/>
      <c r="GS50" s="942"/>
      <c r="GT50" s="926"/>
      <c r="GU50" s="577" t="s">
        <v>592</v>
      </c>
      <c r="GV50" s="577"/>
      <c r="GW50" s="577"/>
      <c r="GX50" s="577"/>
      <c r="GY50" s="612"/>
      <c r="GZ50" s="576"/>
      <c r="HA50" s="612">
        <v>29.8</v>
      </c>
      <c r="HB50" s="576" t="s">
        <v>470</v>
      </c>
      <c r="HC50" s="1027"/>
      <c r="HD50" s="416"/>
    </row>
    <row r="51" spans="1:212" ht="20.100000000000001" customHeight="1" thickBot="1">
      <c r="A51" s="1028"/>
      <c r="B51" s="463" t="s">
        <v>436</v>
      </c>
      <c r="C51" s="1029"/>
      <c r="D51" s="778"/>
      <c r="E51" s="789"/>
      <c r="F51" s="1030"/>
      <c r="G51" s="791"/>
      <c r="H51" s="792">
        <v>0</v>
      </c>
      <c r="I51" s="793"/>
      <c r="J51" s="792">
        <v>0</v>
      </c>
      <c r="K51" s="793"/>
      <c r="L51" s="792">
        <v>0</v>
      </c>
      <c r="M51" s="793"/>
      <c r="N51" s="792">
        <v>0</v>
      </c>
      <c r="O51" s="793"/>
      <c r="P51" s="792">
        <v>0</v>
      </c>
      <c r="Q51" s="793"/>
      <c r="R51" s="792">
        <v>0</v>
      </c>
      <c r="S51" s="793"/>
      <c r="T51" s="792">
        <v>0</v>
      </c>
      <c r="U51" s="793"/>
      <c r="V51" s="792">
        <v>0</v>
      </c>
      <c r="W51" s="793"/>
      <c r="X51" s="792">
        <v>0</v>
      </c>
      <c r="Y51" s="793"/>
      <c r="Z51" s="792">
        <v>0</v>
      </c>
      <c r="AA51" s="793"/>
      <c r="AB51" s="792">
        <v>0</v>
      </c>
      <c r="AC51" s="793"/>
      <c r="AD51" s="792">
        <v>0</v>
      </c>
      <c r="AE51" s="793"/>
      <c r="AF51" s="792">
        <v>0</v>
      </c>
      <c r="AG51" s="793"/>
      <c r="AH51" s="792">
        <v>0</v>
      </c>
      <c r="AI51" s="793"/>
      <c r="AJ51" s="792">
        <v>0</v>
      </c>
      <c r="AK51" s="793"/>
      <c r="AL51" s="792">
        <v>0</v>
      </c>
      <c r="AM51" s="793"/>
      <c r="AN51" s="792">
        <v>0</v>
      </c>
      <c r="AO51" s="793"/>
      <c r="AP51" s="792">
        <v>0</v>
      </c>
      <c r="AQ51" s="793"/>
      <c r="AR51" s="792">
        <v>0</v>
      </c>
      <c r="AS51" s="793"/>
      <c r="AT51" s="792">
        <v>0</v>
      </c>
      <c r="AU51" s="793"/>
      <c r="AV51" s="792">
        <v>0</v>
      </c>
      <c r="AW51" s="793"/>
      <c r="AX51" s="792">
        <v>0</v>
      </c>
      <c r="AY51" s="1031"/>
      <c r="AZ51" s="1032">
        <v>0</v>
      </c>
      <c r="BA51" s="1033"/>
      <c r="BB51" s="1034">
        <v>0</v>
      </c>
      <c r="BC51" s="927"/>
      <c r="BD51" s="1028"/>
      <c r="BE51" s="463" t="s">
        <v>436</v>
      </c>
      <c r="BF51" s="1029"/>
      <c r="BG51" s="778"/>
      <c r="BH51" s="789"/>
      <c r="BI51" s="1030"/>
      <c r="BJ51" s="791"/>
      <c r="BK51" s="792">
        <v>0</v>
      </c>
      <c r="BL51" s="793"/>
      <c r="BM51" s="792">
        <v>0</v>
      </c>
      <c r="BN51" s="793"/>
      <c r="BO51" s="792">
        <v>0</v>
      </c>
      <c r="BP51" s="793"/>
      <c r="BQ51" s="792">
        <v>0</v>
      </c>
      <c r="BR51" s="793"/>
      <c r="BS51" s="792">
        <v>0</v>
      </c>
      <c r="BT51" s="793"/>
      <c r="BU51" s="792">
        <v>0</v>
      </c>
      <c r="BV51" s="793"/>
      <c r="BW51" s="792">
        <v>0</v>
      </c>
      <c r="BX51" s="793"/>
      <c r="BY51" s="792">
        <v>0</v>
      </c>
      <c r="BZ51" s="793"/>
      <c r="CA51" s="792">
        <v>0</v>
      </c>
      <c r="CB51" s="793"/>
      <c r="CC51" s="792">
        <v>0</v>
      </c>
      <c r="CD51" s="793"/>
      <c r="CE51" s="792">
        <v>0</v>
      </c>
      <c r="CF51" s="793"/>
      <c r="CG51" s="792">
        <v>0</v>
      </c>
      <c r="CH51" s="793"/>
      <c r="CI51" s="792">
        <v>0</v>
      </c>
      <c r="CJ51" s="793"/>
      <c r="CK51" s="792">
        <v>0</v>
      </c>
      <c r="CL51" s="793"/>
      <c r="CM51" s="792">
        <v>0</v>
      </c>
      <c r="CN51" s="793"/>
      <c r="CO51" s="792">
        <v>0</v>
      </c>
      <c r="CP51" s="793"/>
      <c r="CQ51" s="792">
        <v>0</v>
      </c>
      <c r="CR51" s="793"/>
      <c r="CS51" s="792">
        <v>0</v>
      </c>
      <c r="CT51" s="793"/>
      <c r="CU51" s="792">
        <v>0</v>
      </c>
      <c r="CV51" s="793"/>
      <c r="CW51" s="792">
        <v>0</v>
      </c>
      <c r="CX51" s="793"/>
      <c r="CY51" s="792">
        <v>0</v>
      </c>
      <c r="CZ51" s="793"/>
      <c r="DA51" s="792">
        <v>0</v>
      </c>
      <c r="DB51" s="1031"/>
      <c r="DC51" s="1032">
        <v>0</v>
      </c>
      <c r="DD51" s="1033"/>
      <c r="DE51" s="1034">
        <v>0</v>
      </c>
      <c r="DF51" s="927"/>
      <c r="DG51" s="1028"/>
      <c r="DH51" s="463" t="s">
        <v>436</v>
      </c>
      <c r="DI51" s="1029"/>
      <c r="DJ51" s="778"/>
      <c r="DK51" s="789"/>
      <c r="DL51" s="1030"/>
      <c r="DM51" s="791"/>
      <c r="DN51" s="792">
        <v>0</v>
      </c>
      <c r="DO51" s="793"/>
      <c r="DP51" s="792">
        <v>0</v>
      </c>
      <c r="DQ51" s="793"/>
      <c r="DR51" s="792">
        <v>0</v>
      </c>
      <c r="DS51" s="793"/>
      <c r="DT51" s="792">
        <v>0</v>
      </c>
      <c r="DU51" s="793"/>
      <c r="DV51" s="792">
        <v>0</v>
      </c>
      <c r="DW51" s="793"/>
      <c r="DX51" s="792">
        <v>0</v>
      </c>
      <c r="DY51" s="793"/>
      <c r="DZ51" s="792">
        <v>0</v>
      </c>
      <c r="EA51" s="793"/>
      <c r="EB51" s="792">
        <v>0</v>
      </c>
      <c r="EC51" s="793"/>
      <c r="ED51" s="792">
        <v>0</v>
      </c>
      <c r="EE51" s="793"/>
      <c r="EF51" s="792">
        <v>0</v>
      </c>
      <c r="EG51" s="793"/>
      <c r="EH51" s="792">
        <v>0</v>
      </c>
      <c r="EI51" s="793"/>
      <c r="EJ51" s="792">
        <v>0</v>
      </c>
      <c r="EK51" s="793"/>
      <c r="EL51" s="792">
        <v>0</v>
      </c>
      <c r="EM51" s="793"/>
      <c r="EN51" s="792">
        <v>0</v>
      </c>
      <c r="EO51" s="793"/>
      <c r="EP51" s="792">
        <v>0</v>
      </c>
      <c r="EQ51" s="793"/>
      <c r="ER51" s="792">
        <v>0</v>
      </c>
      <c r="ES51" s="793"/>
      <c r="ET51" s="792">
        <v>0</v>
      </c>
      <c r="EU51" s="793"/>
      <c r="EV51" s="792">
        <v>0</v>
      </c>
      <c r="EW51" s="793"/>
      <c r="EX51" s="792">
        <v>0</v>
      </c>
      <c r="EY51" s="793"/>
      <c r="EZ51" s="792">
        <v>0</v>
      </c>
      <c r="FA51" s="793"/>
      <c r="FB51" s="792">
        <v>0</v>
      </c>
      <c r="FC51" s="793"/>
      <c r="FD51" s="792">
        <v>0</v>
      </c>
      <c r="FE51" s="1031"/>
      <c r="FF51" s="1032">
        <v>0</v>
      </c>
      <c r="FG51" s="1033"/>
      <c r="FH51" s="1034">
        <v>0</v>
      </c>
      <c r="FI51" s="927"/>
      <c r="FJ51" s="1028"/>
      <c r="FK51" s="463" t="s">
        <v>436</v>
      </c>
      <c r="FL51" s="1029"/>
      <c r="FM51" s="781"/>
      <c r="FN51" s="789">
        <v>0</v>
      </c>
      <c r="FO51" s="1030"/>
      <c r="FP51" s="795"/>
      <c r="FQ51" s="796"/>
      <c r="FR51" s="792">
        <v>0</v>
      </c>
      <c r="FS51" s="797"/>
      <c r="FT51" s="796"/>
      <c r="FU51" s="798">
        <v>0</v>
      </c>
      <c r="FV51" s="1018"/>
      <c r="FW51" s="1019"/>
      <c r="FX51" s="1020"/>
      <c r="FY51" s="1021"/>
      <c r="FZ51" s="1022"/>
      <c r="GA51" s="1023"/>
      <c r="GB51" s="1024"/>
      <c r="GC51" s="1025"/>
      <c r="GD51" s="1024"/>
      <c r="GE51" s="1026"/>
      <c r="GF51" s="681"/>
      <c r="GG51" s="599"/>
      <c r="GH51" s="599"/>
      <c r="GI51" s="599"/>
      <c r="GJ51" s="925"/>
      <c r="GK51" s="726"/>
      <c r="GL51" s="1035" t="s">
        <v>401</v>
      </c>
      <c r="GM51" s="1036" t="s">
        <v>513</v>
      </c>
      <c r="GN51" s="1037" t="s">
        <v>514</v>
      </c>
      <c r="GO51" s="1038" t="s">
        <v>515</v>
      </c>
      <c r="GP51" s="1038" t="s">
        <v>494</v>
      </c>
      <c r="GQ51" s="1039" t="s">
        <v>495</v>
      </c>
      <c r="GR51" s="726"/>
      <c r="GS51" s="942"/>
      <c r="GT51" s="756"/>
      <c r="GU51" s="577" t="s">
        <v>516</v>
      </c>
      <c r="GV51" s="577"/>
      <c r="GW51" s="577"/>
      <c r="GX51" s="577"/>
      <c r="GY51" s="414"/>
      <c r="GZ51" s="1040"/>
      <c r="HA51" s="612">
        <v>29.8</v>
      </c>
      <c r="HB51" s="576" t="s">
        <v>470</v>
      </c>
      <c r="HC51" s="1041"/>
      <c r="HD51" s="416"/>
    </row>
    <row r="52" spans="1:212" ht="20.100000000000001" customHeight="1" thickBot="1">
      <c r="A52" s="1042" t="s">
        <v>437</v>
      </c>
      <c r="B52" s="1043"/>
      <c r="C52" s="1044"/>
      <c r="D52" s="1044"/>
      <c r="E52" s="1045"/>
      <c r="F52" s="1044"/>
      <c r="G52" s="1046"/>
      <c r="H52" s="1047">
        <v>0</v>
      </c>
      <c r="I52" s="1048"/>
      <c r="J52" s="1047">
        <v>0</v>
      </c>
      <c r="K52" s="1048"/>
      <c r="L52" s="1047">
        <v>0</v>
      </c>
      <c r="M52" s="1048"/>
      <c r="N52" s="1047">
        <v>0</v>
      </c>
      <c r="O52" s="1048"/>
      <c r="P52" s="1047">
        <v>0</v>
      </c>
      <c r="Q52" s="1048"/>
      <c r="R52" s="1047">
        <v>0</v>
      </c>
      <c r="S52" s="1048"/>
      <c r="T52" s="1047">
        <v>0</v>
      </c>
      <c r="U52" s="1048"/>
      <c r="V52" s="1047">
        <v>0</v>
      </c>
      <c r="W52" s="1048"/>
      <c r="X52" s="1047">
        <v>136</v>
      </c>
      <c r="Y52" s="1048"/>
      <c r="Z52" s="1047">
        <v>136</v>
      </c>
      <c r="AA52" s="1048"/>
      <c r="AB52" s="1047">
        <v>136</v>
      </c>
      <c r="AC52" s="1048"/>
      <c r="AD52" s="1047">
        <v>136</v>
      </c>
      <c r="AE52" s="1048"/>
      <c r="AF52" s="1047">
        <v>136</v>
      </c>
      <c r="AG52" s="1048"/>
      <c r="AH52" s="1047">
        <v>136</v>
      </c>
      <c r="AI52" s="1048"/>
      <c r="AJ52" s="1047">
        <v>136</v>
      </c>
      <c r="AK52" s="1048"/>
      <c r="AL52" s="1047">
        <v>136</v>
      </c>
      <c r="AM52" s="1048"/>
      <c r="AN52" s="1047">
        <v>136</v>
      </c>
      <c r="AO52" s="1048"/>
      <c r="AP52" s="1047">
        <v>136</v>
      </c>
      <c r="AQ52" s="1048"/>
      <c r="AR52" s="1047">
        <v>0</v>
      </c>
      <c r="AS52" s="1048"/>
      <c r="AT52" s="1047">
        <v>0</v>
      </c>
      <c r="AU52" s="1048"/>
      <c r="AV52" s="1047">
        <v>0</v>
      </c>
      <c r="AW52" s="1048"/>
      <c r="AX52" s="1047">
        <v>0</v>
      </c>
      <c r="AY52" s="1049"/>
      <c r="AZ52" s="1050">
        <v>0</v>
      </c>
      <c r="BA52" s="1051"/>
      <c r="BB52" s="1052">
        <v>0</v>
      </c>
      <c r="BC52" s="970"/>
      <c r="BD52" s="1042" t="s">
        <v>437</v>
      </c>
      <c r="BE52" s="1043"/>
      <c r="BF52" s="1044"/>
      <c r="BG52" s="1044"/>
      <c r="BH52" s="1045"/>
      <c r="BI52" s="1044"/>
      <c r="BJ52" s="1046"/>
      <c r="BK52" s="1047">
        <v>0</v>
      </c>
      <c r="BL52" s="1048"/>
      <c r="BM52" s="1047">
        <v>0</v>
      </c>
      <c r="BN52" s="1048"/>
      <c r="BO52" s="1047">
        <v>0</v>
      </c>
      <c r="BP52" s="1048"/>
      <c r="BQ52" s="1047">
        <v>0</v>
      </c>
      <c r="BR52" s="1048"/>
      <c r="BS52" s="1047">
        <v>0</v>
      </c>
      <c r="BT52" s="1048"/>
      <c r="BU52" s="1047">
        <v>0</v>
      </c>
      <c r="BV52" s="1048"/>
      <c r="BW52" s="1047">
        <v>0</v>
      </c>
      <c r="BX52" s="1048"/>
      <c r="BY52" s="1047">
        <v>0</v>
      </c>
      <c r="BZ52" s="1048"/>
      <c r="CA52" s="1047">
        <v>136</v>
      </c>
      <c r="CB52" s="1048"/>
      <c r="CC52" s="1047">
        <v>136</v>
      </c>
      <c r="CD52" s="1048"/>
      <c r="CE52" s="1047">
        <v>136</v>
      </c>
      <c r="CF52" s="1048"/>
      <c r="CG52" s="1047">
        <v>136</v>
      </c>
      <c r="CH52" s="1048"/>
      <c r="CI52" s="1047">
        <v>136</v>
      </c>
      <c r="CJ52" s="1048"/>
      <c r="CK52" s="1047">
        <v>136</v>
      </c>
      <c r="CL52" s="1048"/>
      <c r="CM52" s="1047">
        <v>136</v>
      </c>
      <c r="CN52" s="1048"/>
      <c r="CO52" s="1047">
        <v>136</v>
      </c>
      <c r="CP52" s="1048"/>
      <c r="CQ52" s="1047">
        <v>136</v>
      </c>
      <c r="CR52" s="1048"/>
      <c r="CS52" s="1047">
        <v>136</v>
      </c>
      <c r="CT52" s="1048"/>
      <c r="CU52" s="1047">
        <v>0</v>
      </c>
      <c r="CV52" s="1048"/>
      <c r="CW52" s="1047">
        <v>0</v>
      </c>
      <c r="CX52" s="1048"/>
      <c r="CY52" s="1047">
        <v>0</v>
      </c>
      <c r="CZ52" s="1048"/>
      <c r="DA52" s="1047">
        <v>0</v>
      </c>
      <c r="DB52" s="1049"/>
      <c r="DC52" s="1050">
        <v>0</v>
      </c>
      <c r="DD52" s="1051"/>
      <c r="DE52" s="1052">
        <v>0</v>
      </c>
      <c r="DF52" s="970"/>
      <c r="DG52" s="1042" t="s">
        <v>437</v>
      </c>
      <c r="DH52" s="1043"/>
      <c r="DI52" s="1044"/>
      <c r="DJ52" s="1044"/>
      <c r="DK52" s="1045"/>
      <c r="DL52" s="1044"/>
      <c r="DM52" s="1046"/>
      <c r="DN52" s="1047">
        <v>0</v>
      </c>
      <c r="DO52" s="1048"/>
      <c r="DP52" s="1047">
        <v>0</v>
      </c>
      <c r="DQ52" s="1048"/>
      <c r="DR52" s="1047">
        <v>0</v>
      </c>
      <c r="DS52" s="1048"/>
      <c r="DT52" s="1047">
        <v>0</v>
      </c>
      <c r="DU52" s="1048"/>
      <c r="DV52" s="1047">
        <v>0</v>
      </c>
      <c r="DW52" s="1048"/>
      <c r="DX52" s="1047">
        <v>0</v>
      </c>
      <c r="DY52" s="1048"/>
      <c r="DZ52" s="1047">
        <v>0</v>
      </c>
      <c r="EA52" s="1048"/>
      <c r="EB52" s="1047">
        <v>0</v>
      </c>
      <c r="EC52" s="1048"/>
      <c r="ED52" s="1047">
        <v>136</v>
      </c>
      <c r="EE52" s="1048"/>
      <c r="EF52" s="1047">
        <v>136</v>
      </c>
      <c r="EG52" s="1048"/>
      <c r="EH52" s="1047">
        <v>136</v>
      </c>
      <c r="EI52" s="1048"/>
      <c r="EJ52" s="1047">
        <v>136</v>
      </c>
      <c r="EK52" s="1048"/>
      <c r="EL52" s="1047">
        <v>136</v>
      </c>
      <c r="EM52" s="1048"/>
      <c r="EN52" s="1047">
        <v>136</v>
      </c>
      <c r="EO52" s="1048"/>
      <c r="EP52" s="1047">
        <v>136</v>
      </c>
      <c r="EQ52" s="1048"/>
      <c r="ER52" s="1047">
        <v>136</v>
      </c>
      <c r="ES52" s="1048"/>
      <c r="ET52" s="1047">
        <v>136</v>
      </c>
      <c r="EU52" s="1048"/>
      <c r="EV52" s="1047">
        <v>136</v>
      </c>
      <c r="EW52" s="1048"/>
      <c r="EX52" s="1047">
        <v>0</v>
      </c>
      <c r="EY52" s="1048"/>
      <c r="EZ52" s="1047">
        <v>0</v>
      </c>
      <c r="FA52" s="1048"/>
      <c r="FB52" s="1047">
        <v>0</v>
      </c>
      <c r="FC52" s="1048"/>
      <c r="FD52" s="1047">
        <v>0</v>
      </c>
      <c r="FE52" s="1049"/>
      <c r="FF52" s="1050">
        <v>0</v>
      </c>
      <c r="FG52" s="1051"/>
      <c r="FH52" s="1052">
        <v>0</v>
      </c>
      <c r="FI52" s="970"/>
      <c r="FJ52" s="1042" t="s">
        <v>437</v>
      </c>
      <c r="FK52" s="1043"/>
      <c r="FL52" s="1044"/>
      <c r="FM52" s="1044"/>
      <c r="FN52" s="1045"/>
      <c r="FO52" s="1044"/>
      <c r="FP52" s="1053"/>
      <c r="FQ52" s="1054"/>
      <c r="FR52" s="1047">
        <v>0</v>
      </c>
      <c r="FS52" s="1055"/>
      <c r="FT52" s="1054"/>
      <c r="FU52" s="1056">
        <v>0</v>
      </c>
      <c r="FV52" s="1057">
        <v>9</v>
      </c>
      <c r="FW52" s="1058">
        <v>136</v>
      </c>
      <c r="FX52" s="1059">
        <v>9</v>
      </c>
      <c r="FY52" s="1058">
        <v>136</v>
      </c>
      <c r="FZ52" s="1059">
        <v>9</v>
      </c>
      <c r="GA52" s="1058">
        <v>136</v>
      </c>
      <c r="GB52" s="1060" t="s">
        <v>560</v>
      </c>
      <c r="GC52" s="1061">
        <v>136</v>
      </c>
      <c r="GD52" s="1060" t="s">
        <v>360</v>
      </c>
      <c r="GE52" s="1062">
        <v>0</v>
      </c>
      <c r="GF52" s="681"/>
      <c r="GG52" s="979"/>
      <c r="GH52" s="979"/>
      <c r="GI52" s="979"/>
      <c r="GJ52" s="925"/>
      <c r="GK52" s="726"/>
      <c r="GL52" s="1063"/>
      <c r="GM52" s="1064"/>
      <c r="GN52" s="1064"/>
      <c r="GO52" s="1065"/>
      <c r="GP52" s="1065"/>
      <c r="GQ52" s="1066"/>
      <c r="GR52" s="942"/>
      <c r="GS52" s="882"/>
      <c r="GT52" s="850"/>
      <c r="GU52" s="527" t="s">
        <v>490</v>
      </c>
      <c r="GV52" s="726"/>
      <c r="GW52" s="925"/>
      <c r="GX52" s="726"/>
      <c r="GY52" s="414"/>
      <c r="GZ52" s="1067"/>
      <c r="HA52" s="942"/>
      <c r="HB52" s="1067"/>
      <c r="HC52" s="559"/>
      <c r="HD52" s="416"/>
    </row>
    <row r="53" spans="1:212" ht="20.100000000000001" customHeight="1" thickTop="1">
      <c r="A53" s="1068" t="s">
        <v>438</v>
      </c>
      <c r="B53" s="1069"/>
      <c r="C53" s="1070"/>
      <c r="D53" s="1070"/>
      <c r="E53" s="1071"/>
      <c r="F53" s="1072"/>
      <c r="G53" s="1073"/>
      <c r="H53" s="1074">
        <v>0</v>
      </c>
      <c r="I53" s="1075"/>
      <c r="J53" s="1074">
        <v>0</v>
      </c>
      <c r="K53" s="1075"/>
      <c r="L53" s="1074">
        <v>0</v>
      </c>
      <c r="M53" s="1075"/>
      <c r="N53" s="1074">
        <v>0</v>
      </c>
      <c r="O53" s="1075"/>
      <c r="P53" s="1074">
        <v>0</v>
      </c>
      <c r="Q53" s="1075"/>
      <c r="R53" s="1074">
        <v>0</v>
      </c>
      <c r="S53" s="1075"/>
      <c r="T53" s="1074">
        <v>0</v>
      </c>
      <c r="U53" s="1075"/>
      <c r="V53" s="1074">
        <v>0</v>
      </c>
      <c r="W53" s="1075"/>
      <c r="X53" s="1074">
        <v>3701</v>
      </c>
      <c r="Y53" s="1075"/>
      <c r="Z53" s="1074">
        <v>3391</v>
      </c>
      <c r="AA53" s="1075"/>
      <c r="AB53" s="1074">
        <v>3491</v>
      </c>
      <c r="AC53" s="1075"/>
      <c r="AD53" s="1074">
        <v>3534</v>
      </c>
      <c r="AE53" s="1075"/>
      <c r="AF53" s="1074">
        <v>3545</v>
      </c>
      <c r="AG53" s="1075"/>
      <c r="AH53" s="1074">
        <v>3523</v>
      </c>
      <c r="AI53" s="1075"/>
      <c r="AJ53" s="1074">
        <v>3429</v>
      </c>
      <c r="AK53" s="1075"/>
      <c r="AL53" s="1074">
        <v>3313</v>
      </c>
      <c r="AM53" s="1075"/>
      <c r="AN53" s="1074">
        <v>3139</v>
      </c>
      <c r="AO53" s="1075"/>
      <c r="AP53" s="1074">
        <v>2956</v>
      </c>
      <c r="AQ53" s="1075"/>
      <c r="AR53" s="1074">
        <v>0</v>
      </c>
      <c r="AS53" s="1075"/>
      <c r="AT53" s="1074">
        <v>0</v>
      </c>
      <c r="AU53" s="1075"/>
      <c r="AV53" s="1074">
        <v>0</v>
      </c>
      <c r="AW53" s="1075"/>
      <c r="AX53" s="1074">
        <v>0</v>
      </c>
      <c r="AY53" s="1076"/>
      <c r="AZ53" s="1077">
        <v>0</v>
      </c>
      <c r="BA53" s="1078"/>
      <c r="BB53" s="1079">
        <v>0</v>
      </c>
      <c r="BC53" s="970"/>
      <c r="BD53" s="1068" t="s">
        <v>438</v>
      </c>
      <c r="BE53" s="1069"/>
      <c r="BF53" s="1070"/>
      <c r="BG53" s="1070"/>
      <c r="BH53" s="1071"/>
      <c r="BI53" s="1072"/>
      <c r="BJ53" s="1073"/>
      <c r="BK53" s="1074">
        <v>0</v>
      </c>
      <c r="BL53" s="1075"/>
      <c r="BM53" s="1074">
        <v>0</v>
      </c>
      <c r="BN53" s="1075"/>
      <c r="BO53" s="1074">
        <v>0</v>
      </c>
      <c r="BP53" s="1075"/>
      <c r="BQ53" s="1074">
        <v>0</v>
      </c>
      <c r="BR53" s="1075"/>
      <c r="BS53" s="1074">
        <v>0</v>
      </c>
      <c r="BT53" s="1075"/>
      <c r="BU53" s="1074">
        <v>0</v>
      </c>
      <c r="BV53" s="1075"/>
      <c r="BW53" s="1074">
        <v>0</v>
      </c>
      <c r="BX53" s="1075"/>
      <c r="BY53" s="1074">
        <v>0</v>
      </c>
      <c r="BZ53" s="1075"/>
      <c r="CA53" s="1074">
        <v>3756</v>
      </c>
      <c r="CB53" s="1075"/>
      <c r="CC53" s="1074">
        <v>3399</v>
      </c>
      <c r="CD53" s="1075"/>
      <c r="CE53" s="1074">
        <v>3474</v>
      </c>
      <c r="CF53" s="1075"/>
      <c r="CG53" s="1074">
        <v>3479</v>
      </c>
      <c r="CH53" s="1075"/>
      <c r="CI53" s="1074">
        <v>3473</v>
      </c>
      <c r="CJ53" s="1075"/>
      <c r="CK53" s="1074">
        <v>3424</v>
      </c>
      <c r="CL53" s="1075"/>
      <c r="CM53" s="1074">
        <v>3343</v>
      </c>
      <c r="CN53" s="1075"/>
      <c r="CO53" s="1074">
        <v>3252</v>
      </c>
      <c r="CP53" s="1075"/>
      <c r="CQ53" s="1074">
        <v>3121</v>
      </c>
      <c r="CR53" s="1075"/>
      <c r="CS53" s="1074">
        <v>2945</v>
      </c>
      <c r="CT53" s="1075"/>
      <c r="CU53" s="1074">
        <v>0</v>
      </c>
      <c r="CV53" s="1075"/>
      <c r="CW53" s="1074">
        <v>0</v>
      </c>
      <c r="CX53" s="1075"/>
      <c r="CY53" s="1074">
        <v>0</v>
      </c>
      <c r="CZ53" s="1075"/>
      <c r="DA53" s="1074">
        <v>0</v>
      </c>
      <c r="DB53" s="1076"/>
      <c r="DC53" s="1077">
        <v>0</v>
      </c>
      <c r="DD53" s="1078"/>
      <c r="DE53" s="1079">
        <v>0</v>
      </c>
      <c r="DF53" s="970"/>
      <c r="DG53" s="1068" t="s">
        <v>438</v>
      </c>
      <c r="DH53" s="1069"/>
      <c r="DI53" s="1070"/>
      <c r="DJ53" s="1070"/>
      <c r="DK53" s="1071"/>
      <c r="DL53" s="1072"/>
      <c r="DM53" s="1073"/>
      <c r="DN53" s="1074">
        <v>0</v>
      </c>
      <c r="DO53" s="1075"/>
      <c r="DP53" s="1074">
        <v>0</v>
      </c>
      <c r="DQ53" s="1075"/>
      <c r="DR53" s="1074">
        <v>0</v>
      </c>
      <c r="DS53" s="1075"/>
      <c r="DT53" s="1074">
        <v>0</v>
      </c>
      <c r="DU53" s="1075"/>
      <c r="DV53" s="1074">
        <v>0</v>
      </c>
      <c r="DW53" s="1075"/>
      <c r="DX53" s="1074">
        <v>0</v>
      </c>
      <c r="DY53" s="1075"/>
      <c r="DZ53" s="1074">
        <v>0</v>
      </c>
      <c r="EA53" s="1075"/>
      <c r="EB53" s="1074">
        <v>0</v>
      </c>
      <c r="EC53" s="1075"/>
      <c r="ED53" s="1074">
        <v>3471</v>
      </c>
      <c r="EE53" s="1075"/>
      <c r="EF53" s="1074">
        <v>3013</v>
      </c>
      <c r="EG53" s="1075"/>
      <c r="EH53" s="1074">
        <v>3117</v>
      </c>
      <c r="EI53" s="1075"/>
      <c r="EJ53" s="1074">
        <v>3169</v>
      </c>
      <c r="EK53" s="1075"/>
      <c r="EL53" s="1074">
        <v>3159</v>
      </c>
      <c r="EM53" s="1075"/>
      <c r="EN53" s="1074">
        <v>3109</v>
      </c>
      <c r="EO53" s="1075"/>
      <c r="EP53" s="1074">
        <v>3036</v>
      </c>
      <c r="EQ53" s="1075"/>
      <c r="ER53" s="1074">
        <v>2945</v>
      </c>
      <c r="ES53" s="1075"/>
      <c r="ET53" s="1074">
        <v>2767</v>
      </c>
      <c r="EU53" s="1075"/>
      <c r="EV53" s="1074">
        <v>2602</v>
      </c>
      <c r="EW53" s="1075"/>
      <c r="EX53" s="1074">
        <v>0</v>
      </c>
      <c r="EY53" s="1075"/>
      <c r="EZ53" s="1074">
        <v>0</v>
      </c>
      <c r="FA53" s="1075"/>
      <c r="FB53" s="1074">
        <v>0</v>
      </c>
      <c r="FC53" s="1075"/>
      <c r="FD53" s="1074">
        <v>0</v>
      </c>
      <c r="FE53" s="1076"/>
      <c r="FF53" s="1077">
        <v>0</v>
      </c>
      <c r="FG53" s="1078"/>
      <c r="FH53" s="1079">
        <v>0</v>
      </c>
      <c r="FI53" s="970"/>
      <c r="FJ53" s="1068" t="s">
        <v>438</v>
      </c>
      <c r="FK53" s="1069"/>
      <c r="FL53" s="1070"/>
      <c r="FM53" s="1070"/>
      <c r="FN53" s="1071"/>
      <c r="FO53" s="1072"/>
      <c r="FP53" s="1080"/>
      <c r="FQ53" s="1081"/>
      <c r="FR53" s="1074">
        <v>5708</v>
      </c>
      <c r="FS53" s="1082"/>
      <c r="FT53" s="1081"/>
      <c r="FU53" s="1083">
        <v>5770</v>
      </c>
      <c r="FV53" s="1084">
        <v>9</v>
      </c>
      <c r="FW53" s="1085">
        <v>3701</v>
      </c>
      <c r="FX53" s="1086">
        <v>9</v>
      </c>
      <c r="FY53" s="1085">
        <v>3756</v>
      </c>
      <c r="FZ53" s="1086">
        <v>9</v>
      </c>
      <c r="GA53" s="1085">
        <v>3471</v>
      </c>
      <c r="GB53" s="1087" t="s">
        <v>560</v>
      </c>
      <c r="GC53" s="1085">
        <v>3756</v>
      </c>
      <c r="GD53" s="1087" t="s">
        <v>360</v>
      </c>
      <c r="GE53" s="1088">
        <v>5770</v>
      </c>
      <c r="GF53" s="681"/>
      <c r="GG53" s="979"/>
      <c r="GH53" s="979"/>
      <c r="GI53" s="979"/>
      <c r="GJ53" s="942"/>
      <c r="GK53" s="414"/>
      <c r="GL53" s="1089">
        <v>10</v>
      </c>
      <c r="GM53" s="1090">
        <v>1</v>
      </c>
      <c r="GN53" s="1091">
        <v>0.92</v>
      </c>
      <c r="GO53" s="1092">
        <v>6.3</v>
      </c>
      <c r="GP53" s="1092">
        <v>10</v>
      </c>
      <c r="GQ53" s="1093">
        <v>16.3</v>
      </c>
      <c r="GR53" s="577"/>
      <c r="GS53" s="480"/>
      <c r="GT53" s="850"/>
      <c r="GU53" s="577" t="s">
        <v>593</v>
      </c>
      <c r="GV53" s="577"/>
      <c r="GW53" s="577"/>
      <c r="GX53" s="577"/>
      <c r="GY53" s="414"/>
      <c r="GZ53" s="410"/>
      <c r="HA53" s="612">
        <v>25.2</v>
      </c>
      <c r="HB53" s="576" t="s">
        <v>470</v>
      </c>
      <c r="HC53" s="792"/>
      <c r="HD53" s="416"/>
    </row>
    <row r="54" spans="1:212" ht="20.100000000000001" customHeight="1">
      <c r="A54" s="1094" t="s">
        <v>439</v>
      </c>
      <c r="B54" s="1095"/>
      <c r="C54" s="1096"/>
      <c r="D54" s="1097"/>
      <c r="E54" s="1098"/>
      <c r="F54" s="1099"/>
      <c r="G54" s="1100"/>
      <c r="H54" s="1101">
        <v>0</v>
      </c>
      <c r="I54" s="1102"/>
      <c r="J54" s="1101">
        <v>0</v>
      </c>
      <c r="K54" s="1102"/>
      <c r="L54" s="1101">
        <v>0</v>
      </c>
      <c r="M54" s="1102"/>
      <c r="N54" s="1101">
        <v>0</v>
      </c>
      <c r="O54" s="1102"/>
      <c r="P54" s="1101">
        <v>0</v>
      </c>
      <c r="Q54" s="1102"/>
      <c r="R54" s="1101">
        <v>0</v>
      </c>
      <c r="S54" s="1102"/>
      <c r="T54" s="1101">
        <v>0</v>
      </c>
      <c r="U54" s="1102"/>
      <c r="V54" s="1101">
        <v>0</v>
      </c>
      <c r="W54" s="1102"/>
      <c r="X54" s="1101">
        <v>69.400000000000006</v>
      </c>
      <c r="Y54" s="1102"/>
      <c r="Z54" s="1101">
        <v>63.6</v>
      </c>
      <c r="AA54" s="1102"/>
      <c r="AB54" s="1101">
        <v>65.5</v>
      </c>
      <c r="AC54" s="1102"/>
      <c r="AD54" s="1101">
        <v>66.3</v>
      </c>
      <c r="AE54" s="1102"/>
      <c r="AF54" s="1101">
        <v>66.5</v>
      </c>
      <c r="AG54" s="1102"/>
      <c r="AH54" s="1101">
        <v>66.099999999999994</v>
      </c>
      <c r="AI54" s="1102"/>
      <c r="AJ54" s="1101">
        <v>64.3</v>
      </c>
      <c r="AK54" s="1102"/>
      <c r="AL54" s="1101">
        <v>62.2</v>
      </c>
      <c r="AM54" s="1102"/>
      <c r="AN54" s="1101">
        <v>58.9</v>
      </c>
      <c r="AO54" s="1102"/>
      <c r="AP54" s="1101">
        <v>55.5</v>
      </c>
      <c r="AQ54" s="1102"/>
      <c r="AR54" s="1101">
        <v>0</v>
      </c>
      <c r="AS54" s="1102"/>
      <c r="AT54" s="1101">
        <v>0</v>
      </c>
      <c r="AU54" s="1102"/>
      <c r="AV54" s="1101">
        <v>0</v>
      </c>
      <c r="AW54" s="1102"/>
      <c r="AX54" s="1101">
        <v>0</v>
      </c>
      <c r="AY54" s="1102"/>
      <c r="AZ54" s="1101">
        <v>0</v>
      </c>
      <c r="BA54" s="1102"/>
      <c r="BB54" s="1103">
        <v>0</v>
      </c>
      <c r="BC54" s="1006"/>
      <c r="BD54" s="1094" t="s">
        <v>439</v>
      </c>
      <c r="BE54" s="1095"/>
      <c r="BF54" s="1096"/>
      <c r="BG54" s="1097"/>
      <c r="BH54" s="1098"/>
      <c r="BI54" s="1099"/>
      <c r="BJ54" s="1100"/>
      <c r="BK54" s="1101">
        <v>0</v>
      </c>
      <c r="BL54" s="1102"/>
      <c r="BM54" s="1101">
        <v>0</v>
      </c>
      <c r="BN54" s="1102"/>
      <c r="BO54" s="1101">
        <v>0</v>
      </c>
      <c r="BP54" s="1102"/>
      <c r="BQ54" s="1101">
        <v>0</v>
      </c>
      <c r="BR54" s="1102"/>
      <c r="BS54" s="1101">
        <v>0</v>
      </c>
      <c r="BT54" s="1102"/>
      <c r="BU54" s="1101">
        <v>0</v>
      </c>
      <c r="BV54" s="1102"/>
      <c r="BW54" s="1101">
        <v>0</v>
      </c>
      <c r="BX54" s="1102"/>
      <c r="BY54" s="1101">
        <v>0</v>
      </c>
      <c r="BZ54" s="1102"/>
      <c r="CA54" s="1101">
        <v>70.5</v>
      </c>
      <c r="CB54" s="1102"/>
      <c r="CC54" s="1101">
        <v>63.8</v>
      </c>
      <c r="CD54" s="1102"/>
      <c r="CE54" s="1101">
        <v>65.2</v>
      </c>
      <c r="CF54" s="1102"/>
      <c r="CG54" s="1101">
        <v>65.3</v>
      </c>
      <c r="CH54" s="1102"/>
      <c r="CI54" s="1101">
        <v>65.2</v>
      </c>
      <c r="CJ54" s="1102"/>
      <c r="CK54" s="1101">
        <v>64.2</v>
      </c>
      <c r="CL54" s="1102"/>
      <c r="CM54" s="1101">
        <v>62.7</v>
      </c>
      <c r="CN54" s="1102"/>
      <c r="CO54" s="1101">
        <v>61</v>
      </c>
      <c r="CP54" s="1102"/>
      <c r="CQ54" s="1101">
        <v>58.6</v>
      </c>
      <c r="CR54" s="1102"/>
      <c r="CS54" s="1101">
        <v>55.3</v>
      </c>
      <c r="CT54" s="1102"/>
      <c r="CU54" s="1101">
        <v>0</v>
      </c>
      <c r="CV54" s="1102"/>
      <c r="CW54" s="1101">
        <v>0</v>
      </c>
      <c r="CX54" s="1102"/>
      <c r="CY54" s="1101">
        <v>0</v>
      </c>
      <c r="CZ54" s="1102"/>
      <c r="DA54" s="1101">
        <v>0</v>
      </c>
      <c r="DB54" s="1102"/>
      <c r="DC54" s="1101">
        <v>0</v>
      </c>
      <c r="DD54" s="1102"/>
      <c r="DE54" s="1103">
        <v>0</v>
      </c>
      <c r="DF54" s="1006"/>
      <c r="DG54" s="1094" t="s">
        <v>439</v>
      </c>
      <c r="DH54" s="1095"/>
      <c r="DI54" s="1096"/>
      <c r="DJ54" s="1097"/>
      <c r="DK54" s="1098"/>
      <c r="DL54" s="1099"/>
      <c r="DM54" s="1100"/>
      <c r="DN54" s="1101">
        <v>0</v>
      </c>
      <c r="DO54" s="1102"/>
      <c r="DP54" s="1101">
        <v>0</v>
      </c>
      <c r="DQ54" s="1102"/>
      <c r="DR54" s="1101">
        <v>0</v>
      </c>
      <c r="DS54" s="1102"/>
      <c r="DT54" s="1101">
        <v>0</v>
      </c>
      <c r="DU54" s="1102"/>
      <c r="DV54" s="1101">
        <v>0</v>
      </c>
      <c r="DW54" s="1102"/>
      <c r="DX54" s="1101">
        <v>0</v>
      </c>
      <c r="DY54" s="1102"/>
      <c r="DZ54" s="1101">
        <v>0</v>
      </c>
      <c r="EA54" s="1102"/>
      <c r="EB54" s="1101">
        <v>0</v>
      </c>
      <c r="EC54" s="1102"/>
      <c r="ED54" s="1101">
        <v>65.099999999999994</v>
      </c>
      <c r="EE54" s="1102"/>
      <c r="EF54" s="1101">
        <v>56.5</v>
      </c>
      <c r="EG54" s="1102"/>
      <c r="EH54" s="1101">
        <v>58.5</v>
      </c>
      <c r="EI54" s="1102"/>
      <c r="EJ54" s="1101">
        <v>59.5</v>
      </c>
      <c r="EK54" s="1102"/>
      <c r="EL54" s="1101">
        <v>59.3</v>
      </c>
      <c r="EM54" s="1102"/>
      <c r="EN54" s="1101">
        <v>58.3</v>
      </c>
      <c r="EO54" s="1102"/>
      <c r="EP54" s="1101">
        <v>57</v>
      </c>
      <c r="EQ54" s="1102"/>
      <c r="ER54" s="1101">
        <v>55.3</v>
      </c>
      <c r="ES54" s="1102"/>
      <c r="ET54" s="1101">
        <v>51.9</v>
      </c>
      <c r="EU54" s="1102"/>
      <c r="EV54" s="1101">
        <v>48.8</v>
      </c>
      <c r="EW54" s="1102"/>
      <c r="EX54" s="1101">
        <v>0</v>
      </c>
      <c r="EY54" s="1102"/>
      <c r="EZ54" s="1101">
        <v>0</v>
      </c>
      <c r="FA54" s="1102"/>
      <c r="FB54" s="1101">
        <v>0</v>
      </c>
      <c r="FC54" s="1102"/>
      <c r="FD54" s="1101">
        <v>0</v>
      </c>
      <c r="FE54" s="1102"/>
      <c r="FF54" s="1101">
        <v>0</v>
      </c>
      <c r="FG54" s="1102"/>
      <c r="FH54" s="1103">
        <v>0</v>
      </c>
      <c r="FI54" s="1006"/>
      <c r="FJ54" s="1094" t="s">
        <v>439</v>
      </c>
      <c r="FK54" s="1095"/>
      <c r="FL54" s="1096"/>
      <c r="FM54" s="1097"/>
      <c r="FN54" s="1098"/>
      <c r="FO54" s="1099"/>
      <c r="FP54" s="1104"/>
      <c r="FQ54" s="1102"/>
      <c r="FR54" s="1101">
        <v>107.1</v>
      </c>
      <c r="FS54" s="1105"/>
      <c r="FT54" s="1102"/>
      <c r="FU54" s="1106">
        <v>108.3</v>
      </c>
      <c r="FV54" s="1105"/>
      <c r="FW54" s="1101">
        <f>IF(面積=0,0,ROUND(FW53/面積,1))</f>
        <v>69.400000000000006</v>
      </c>
      <c r="FX54" s="1105"/>
      <c r="FY54" s="1101">
        <f>IF(面積=0,0,ROUND(FY53/面積,1))</f>
        <v>70.5</v>
      </c>
      <c r="FZ54" s="1105"/>
      <c r="GA54" s="1101">
        <f>IF(面積=0,0,ROUND(GA53/面積,1))</f>
        <v>65.099999999999994</v>
      </c>
      <c r="GB54" s="1105"/>
      <c r="GC54" s="1101">
        <f>IF(面積=0,0,ROUND(GC53/面積,1))</f>
        <v>70.5</v>
      </c>
      <c r="GD54" s="1105"/>
      <c r="GE54" s="1103">
        <f>IF(面積=0,0,ROUND(GE53/面積,1))</f>
        <v>108.3</v>
      </c>
      <c r="GF54" s="681"/>
      <c r="GG54" s="926"/>
      <c r="GH54" s="926"/>
      <c r="GI54" s="926"/>
      <c r="GJ54" s="577"/>
      <c r="GK54" s="576"/>
      <c r="GL54" s="1089">
        <v>11</v>
      </c>
      <c r="GM54" s="1090">
        <v>2</v>
      </c>
      <c r="GN54" s="1091">
        <v>0.85</v>
      </c>
      <c r="GO54" s="1092">
        <v>5.9</v>
      </c>
      <c r="GP54" s="1092">
        <v>10</v>
      </c>
      <c r="GQ54" s="1093">
        <v>15.9</v>
      </c>
      <c r="GR54" s="527"/>
      <c r="GS54" s="577"/>
      <c r="GT54" s="850"/>
      <c r="GU54" s="1107" t="s">
        <v>518</v>
      </c>
      <c r="GV54" s="1107"/>
      <c r="GW54" s="1107"/>
      <c r="GX54" s="1107"/>
      <c r="GY54" s="768"/>
      <c r="GZ54" s="1108"/>
      <c r="HA54" s="1109">
        <v>55</v>
      </c>
      <c r="HB54" s="1110" t="s">
        <v>470</v>
      </c>
      <c r="HC54" s="526"/>
      <c r="HD54" s="416"/>
    </row>
    <row r="55" spans="1:212" ht="20.100000000000001" customHeight="1" thickBot="1">
      <c r="A55" s="387"/>
      <c r="B55" s="387"/>
      <c r="C55" s="387"/>
      <c r="D55" s="387"/>
      <c r="E55" s="388"/>
      <c r="F55" s="388"/>
      <c r="G55" s="388"/>
      <c r="H55" s="1111"/>
      <c r="I55" s="416"/>
      <c r="J55" s="416"/>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90"/>
      <c r="BD55" s="387"/>
      <c r="BE55" s="387"/>
      <c r="BF55" s="387"/>
      <c r="BG55" s="387"/>
      <c r="BH55" s="388"/>
      <c r="BI55" s="388"/>
      <c r="BJ55" s="388"/>
      <c r="BK55" s="1111"/>
      <c r="BL55" s="416"/>
      <c r="BM55" s="416"/>
      <c r="BN55" s="388"/>
      <c r="BO55" s="388"/>
      <c r="BP55" s="388"/>
      <c r="BQ55" s="388"/>
      <c r="BR55" s="388"/>
      <c r="BS55" s="388"/>
      <c r="BT55" s="388"/>
      <c r="BU55" s="388"/>
      <c r="BV55" s="388"/>
      <c r="BW55" s="388"/>
      <c r="BX55" s="388"/>
      <c r="BY55" s="388"/>
      <c r="BZ55" s="388"/>
      <c r="CA55" s="388"/>
      <c r="CB55" s="388"/>
      <c r="CC55" s="388"/>
      <c r="CD55" s="388"/>
      <c r="CE55" s="388"/>
      <c r="CF55" s="388"/>
      <c r="CG55" s="388"/>
      <c r="CH55" s="388"/>
      <c r="CI55" s="388"/>
      <c r="CJ55" s="388"/>
      <c r="CK55" s="388"/>
      <c r="CL55" s="388"/>
      <c r="CM55" s="388"/>
      <c r="CN55" s="388"/>
      <c r="CO55" s="388"/>
      <c r="CP55" s="388"/>
      <c r="CQ55" s="388"/>
      <c r="CR55" s="388"/>
      <c r="CS55" s="388"/>
      <c r="CT55" s="388"/>
      <c r="CU55" s="388"/>
      <c r="CV55" s="388"/>
      <c r="CW55" s="388"/>
      <c r="CX55" s="388"/>
      <c r="CY55" s="388"/>
      <c r="CZ55" s="388"/>
      <c r="DA55" s="388"/>
      <c r="DB55" s="388"/>
      <c r="DC55" s="388"/>
      <c r="DD55" s="388"/>
      <c r="DE55" s="388"/>
      <c r="DF55" s="390"/>
      <c r="DG55" s="387"/>
      <c r="DH55" s="387"/>
      <c r="DI55" s="387"/>
      <c r="DJ55" s="387"/>
      <c r="DK55" s="388"/>
      <c r="DL55" s="388"/>
      <c r="DM55" s="388"/>
      <c r="DN55" s="1111"/>
      <c r="DO55" s="416"/>
      <c r="DP55" s="416"/>
      <c r="DQ55" s="388"/>
      <c r="DR55" s="388"/>
      <c r="DS55" s="388"/>
      <c r="DT55" s="388"/>
      <c r="DU55" s="388"/>
      <c r="DV55" s="388"/>
      <c r="DW55" s="388"/>
      <c r="DX55" s="388"/>
      <c r="DY55" s="388"/>
      <c r="DZ55" s="388"/>
      <c r="EA55" s="388"/>
      <c r="EB55" s="388"/>
      <c r="EC55" s="388"/>
      <c r="ED55" s="388"/>
      <c r="EE55" s="388"/>
      <c r="EF55" s="388"/>
      <c r="EG55" s="388"/>
      <c r="EH55" s="388"/>
      <c r="EI55" s="388"/>
      <c r="EJ55" s="388"/>
      <c r="EK55" s="388"/>
      <c r="EL55" s="388"/>
      <c r="EM55" s="388"/>
      <c r="EN55" s="388"/>
      <c r="EO55" s="388"/>
      <c r="EP55" s="388"/>
      <c r="EQ55" s="388"/>
      <c r="ER55" s="388"/>
      <c r="ES55" s="388"/>
      <c r="ET55" s="388"/>
      <c r="EU55" s="388"/>
      <c r="EV55" s="388"/>
      <c r="EW55" s="388"/>
      <c r="EX55" s="388"/>
      <c r="EY55" s="388"/>
      <c r="EZ55" s="388"/>
      <c r="FA55" s="388"/>
      <c r="FB55" s="388"/>
      <c r="FC55" s="388"/>
      <c r="FD55" s="388"/>
      <c r="FE55" s="388"/>
      <c r="FF55" s="388"/>
      <c r="FG55" s="388"/>
      <c r="FH55" s="388"/>
      <c r="FI55" s="390"/>
      <c r="FJ55" s="387"/>
      <c r="FK55" s="387"/>
      <c r="FL55" s="387"/>
      <c r="FM55" s="387"/>
      <c r="FN55" s="388"/>
      <c r="FO55" s="388"/>
      <c r="FP55" s="388"/>
      <c r="FQ55" s="416"/>
      <c r="FR55" s="1111"/>
      <c r="FS55" s="416"/>
      <c r="FT55" s="416"/>
      <c r="FU55" s="416"/>
      <c r="FV55" s="387"/>
      <c r="FW55" s="387"/>
      <c r="FX55" s="387"/>
      <c r="FY55" s="387"/>
      <c r="FZ55" s="387"/>
      <c r="GA55" s="387"/>
      <c r="GB55" s="387"/>
      <c r="GC55" s="387"/>
      <c r="GD55" s="387"/>
      <c r="GE55" s="1112"/>
      <c r="GF55" s="681"/>
      <c r="GG55" s="392"/>
      <c r="GH55" s="392"/>
      <c r="GI55" s="392"/>
      <c r="GJ55" s="527"/>
      <c r="GK55" s="414"/>
      <c r="GL55" s="1113">
        <v>12</v>
      </c>
      <c r="GM55" s="1114">
        <v>3</v>
      </c>
      <c r="GN55" s="1091">
        <v>0.78</v>
      </c>
      <c r="GO55" s="1092">
        <v>5.4</v>
      </c>
      <c r="GP55" s="1092">
        <v>10</v>
      </c>
      <c r="GQ55" s="1093">
        <v>15.4</v>
      </c>
      <c r="GR55" s="527"/>
      <c r="GS55" s="527"/>
      <c r="GT55" s="1115"/>
      <c r="GU55" s="1116"/>
      <c r="GV55" s="576"/>
      <c r="GW55" s="527"/>
      <c r="GX55" s="576"/>
      <c r="GY55" s="392"/>
      <c r="GZ55" s="526"/>
      <c r="HA55" s="577"/>
      <c r="HB55" s="526"/>
      <c r="HC55" s="392"/>
      <c r="HD55" s="388"/>
    </row>
    <row r="56" spans="1:212" ht="20.100000000000001" customHeight="1">
      <c r="A56" s="1117" t="s">
        <v>337</v>
      </c>
      <c r="B56" s="1118"/>
      <c r="C56" s="1118"/>
      <c r="D56" s="1118"/>
      <c r="E56" s="1119"/>
      <c r="F56" s="1120"/>
      <c r="G56" s="1121">
        <v>1</v>
      </c>
      <c r="H56" s="1122"/>
      <c r="I56" s="1123">
        <v>2</v>
      </c>
      <c r="J56" s="1122"/>
      <c r="K56" s="1123">
        <v>3</v>
      </c>
      <c r="L56" s="1122"/>
      <c r="M56" s="1123">
        <v>4</v>
      </c>
      <c r="N56" s="1122"/>
      <c r="O56" s="1123">
        <v>5</v>
      </c>
      <c r="P56" s="1122"/>
      <c r="Q56" s="1123">
        <v>6</v>
      </c>
      <c r="R56" s="1122"/>
      <c r="S56" s="1123">
        <v>7</v>
      </c>
      <c r="T56" s="1122"/>
      <c r="U56" s="1123">
        <v>8</v>
      </c>
      <c r="V56" s="1122"/>
      <c r="W56" s="1123">
        <v>9</v>
      </c>
      <c r="X56" s="1122"/>
      <c r="Y56" s="1123">
        <v>10</v>
      </c>
      <c r="Z56" s="1122"/>
      <c r="AA56" s="1123">
        <v>11</v>
      </c>
      <c r="AB56" s="1122"/>
      <c r="AC56" s="1123">
        <v>12</v>
      </c>
      <c r="AD56" s="1122"/>
      <c r="AE56" s="1123">
        <v>13</v>
      </c>
      <c r="AF56" s="1122"/>
      <c r="AG56" s="1123">
        <v>14</v>
      </c>
      <c r="AH56" s="1122"/>
      <c r="AI56" s="1123">
        <v>15</v>
      </c>
      <c r="AJ56" s="1122"/>
      <c r="AK56" s="1123">
        <v>16</v>
      </c>
      <c r="AL56" s="1122"/>
      <c r="AM56" s="1123">
        <v>17</v>
      </c>
      <c r="AN56" s="1122"/>
      <c r="AO56" s="1123">
        <v>18</v>
      </c>
      <c r="AP56" s="1122"/>
      <c r="AQ56" s="1123">
        <v>19</v>
      </c>
      <c r="AR56" s="1122"/>
      <c r="AS56" s="1123">
        <v>20</v>
      </c>
      <c r="AT56" s="1122"/>
      <c r="AU56" s="1123">
        <v>21</v>
      </c>
      <c r="AV56" s="1122"/>
      <c r="AW56" s="1123">
        <v>22</v>
      </c>
      <c r="AX56" s="1122"/>
      <c r="AY56" s="1123">
        <v>23</v>
      </c>
      <c r="AZ56" s="1122"/>
      <c r="BA56" s="1123">
        <v>24</v>
      </c>
      <c r="BB56" s="1124"/>
      <c r="BC56" s="1027"/>
      <c r="BD56" s="1117" t="s">
        <v>337</v>
      </c>
      <c r="BE56" s="1118"/>
      <c r="BF56" s="1118"/>
      <c r="BG56" s="1118"/>
      <c r="BH56" s="1119"/>
      <c r="BI56" s="1120"/>
      <c r="BJ56" s="1121">
        <v>1</v>
      </c>
      <c r="BK56" s="1122"/>
      <c r="BL56" s="1123">
        <v>2</v>
      </c>
      <c r="BM56" s="1122"/>
      <c r="BN56" s="1123">
        <v>3</v>
      </c>
      <c r="BO56" s="1122"/>
      <c r="BP56" s="1123">
        <v>4</v>
      </c>
      <c r="BQ56" s="1122"/>
      <c r="BR56" s="1123">
        <v>5</v>
      </c>
      <c r="BS56" s="1122"/>
      <c r="BT56" s="1123">
        <v>6</v>
      </c>
      <c r="BU56" s="1122"/>
      <c r="BV56" s="1123">
        <v>7</v>
      </c>
      <c r="BW56" s="1122"/>
      <c r="BX56" s="1123">
        <v>8</v>
      </c>
      <c r="BY56" s="1122"/>
      <c r="BZ56" s="1123">
        <v>9</v>
      </c>
      <c r="CA56" s="1122"/>
      <c r="CB56" s="1123">
        <v>10</v>
      </c>
      <c r="CC56" s="1122"/>
      <c r="CD56" s="1123">
        <v>11</v>
      </c>
      <c r="CE56" s="1122"/>
      <c r="CF56" s="1123">
        <v>12</v>
      </c>
      <c r="CG56" s="1122"/>
      <c r="CH56" s="1123">
        <v>13</v>
      </c>
      <c r="CI56" s="1122"/>
      <c r="CJ56" s="1123">
        <v>14</v>
      </c>
      <c r="CK56" s="1122"/>
      <c r="CL56" s="1123">
        <v>15</v>
      </c>
      <c r="CM56" s="1122"/>
      <c r="CN56" s="1123">
        <v>16</v>
      </c>
      <c r="CO56" s="1122"/>
      <c r="CP56" s="1123">
        <v>17</v>
      </c>
      <c r="CQ56" s="1122"/>
      <c r="CR56" s="1123">
        <v>18</v>
      </c>
      <c r="CS56" s="1122"/>
      <c r="CT56" s="1123">
        <v>19</v>
      </c>
      <c r="CU56" s="1122"/>
      <c r="CV56" s="1123">
        <v>20</v>
      </c>
      <c r="CW56" s="1122"/>
      <c r="CX56" s="1123">
        <v>21</v>
      </c>
      <c r="CY56" s="1122"/>
      <c r="CZ56" s="1123">
        <v>22</v>
      </c>
      <c r="DA56" s="1122"/>
      <c r="DB56" s="1123">
        <v>23</v>
      </c>
      <c r="DC56" s="1122"/>
      <c r="DD56" s="1123">
        <v>24</v>
      </c>
      <c r="DE56" s="1124"/>
      <c r="DF56" s="1027"/>
      <c r="DG56" s="1117" t="s">
        <v>337</v>
      </c>
      <c r="DH56" s="1118"/>
      <c r="DI56" s="1118"/>
      <c r="DJ56" s="1118"/>
      <c r="DK56" s="1119"/>
      <c r="DL56" s="1120"/>
      <c r="DM56" s="1121">
        <v>1</v>
      </c>
      <c r="DN56" s="1122"/>
      <c r="DO56" s="1123">
        <v>2</v>
      </c>
      <c r="DP56" s="1122"/>
      <c r="DQ56" s="1123">
        <v>3</v>
      </c>
      <c r="DR56" s="1122"/>
      <c r="DS56" s="1123">
        <v>4</v>
      </c>
      <c r="DT56" s="1122"/>
      <c r="DU56" s="1123">
        <v>5</v>
      </c>
      <c r="DV56" s="1122"/>
      <c r="DW56" s="1123">
        <v>6</v>
      </c>
      <c r="DX56" s="1122"/>
      <c r="DY56" s="1123">
        <v>7</v>
      </c>
      <c r="DZ56" s="1122"/>
      <c r="EA56" s="1123">
        <v>8</v>
      </c>
      <c r="EB56" s="1122"/>
      <c r="EC56" s="1123">
        <v>9</v>
      </c>
      <c r="ED56" s="1122"/>
      <c r="EE56" s="1123">
        <v>10</v>
      </c>
      <c r="EF56" s="1122"/>
      <c r="EG56" s="1123">
        <v>11</v>
      </c>
      <c r="EH56" s="1122"/>
      <c r="EI56" s="1123">
        <v>12</v>
      </c>
      <c r="EJ56" s="1122"/>
      <c r="EK56" s="1123">
        <v>13</v>
      </c>
      <c r="EL56" s="1122"/>
      <c r="EM56" s="1123">
        <v>14</v>
      </c>
      <c r="EN56" s="1122"/>
      <c r="EO56" s="1123">
        <v>15</v>
      </c>
      <c r="EP56" s="1122"/>
      <c r="EQ56" s="1123">
        <v>16</v>
      </c>
      <c r="ER56" s="1122"/>
      <c r="ES56" s="1123">
        <v>17</v>
      </c>
      <c r="ET56" s="1122"/>
      <c r="EU56" s="1123">
        <v>18</v>
      </c>
      <c r="EV56" s="1122"/>
      <c r="EW56" s="1123">
        <v>19</v>
      </c>
      <c r="EX56" s="1122"/>
      <c r="EY56" s="1123">
        <v>20</v>
      </c>
      <c r="EZ56" s="1122"/>
      <c r="FA56" s="1123">
        <v>21</v>
      </c>
      <c r="FB56" s="1122"/>
      <c r="FC56" s="1123">
        <v>22</v>
      </c>
      <c r="FD56" s="1122"/>
      <c r="FE56" s="1123">
        <v>23</v>
      </c>
      <c r="FF56" s="1122"/>
      <c r="FG56" s="1123">
        <v>24</v>
      </c>
      <c r="FH56" s="1124"/>
      <c r="FI56" s="1027"/>
      <c r="FJ56" s="1117" t="s">
        <v>338</v>
      </c>
      <c r="FK56" s="1118"/>
      <c r="FL56" s="1118"/>
      <c r="FM56" s="1118"/>
      <c r="FN56" s="1119"/>
      <c r="FO56" s="1119"/>
      <c r="FP56" s="1125" t="s">
        <v>579</v>
      </c>
      <c r="FQ56" s="1126"/>
      <c r="FR56" s="1127"/>
      <c r="FS56" s="1128" t="s">
        <v>297</v>
      </c>
      <c r="FT56" s="1129"/>
      <c r="FU56" s="1130"/>
      <c r="FV56" s="1131" t="s">
        <v>340</v>
      </c>
      <c r="FW56" s="1132"/>
      <c r="FX56" s="1133" t="s">
        <v>341</v>
      </c>
      <c r="FY56" s="1134"/>
      <c r="FZ56" s="1135" t="s">
        <v>342</v>
      </c>
      <c r="GA56" s="1136"/>
      <c r="GB56" s="1137" t="s">
        <v>343</v>
      </c>
      <c r="GC56" s="1122"/>
      <c r="GD56" s="1137" t="s">
        <v>344</v>
      </c>
      <c r="GE56" s="1124"/>
      <c r="GF56" s="681"/>
      <c r="GG56" s="480"/>
      <c r="GH56" s="480"/>
      <c r="GI56" s="480"/>
      <c r="GJ56" s="527"/>
      <c r="GK56" s="576"/>
      <c r="GL56" s="1089">
        <v>13</v>
      </c>
      <c r="GM56" s="1090">
        <v>4</v>
      </c>
      <c r="GN56" s="1091">
        <v>0.72</v>
      </c>
      <c r="GO56" s="1092">
        <v>5</v>
      </c>
      <c r="GP56" s="1092">
        <v>10</v>
      </c>
      <c r="GQ56" s="1093">
        <v>15</v>
      </c>
      <c r="GR56" s="527"/>
      <c r="GS56" s="526"/>
      <c r="GT56" s="1253"/>
      <c r="GU56" s="575"/>
      <c r="GV56" s="576"/>
      <c r="GW56" s="575"/>
      <c r="GX56" s="576"/>
      <c r="GY56" s="576"/>
      <c r="GZ56" s="497"/>
      <c r="HA56" s="575"/>
      <c r="HB56" s="497"/>
      <c r="HC56" s="483"/>
    </row>
    <row r="57" spans="1:212" ht="20.100000000000001" customHeight="1">
      <c r="A57" s="1138"/>
      <c r="B57" s="1139"/>
      <c r="C57" s="1139"/>
      <c r="D57" s="1139"/>
      <c r="E57" s="1140"/>
      <c r="F57" s="1141"/>
      <c r="G57" s="1142" t="s">
        <v>345</v>
      </c>
      <c r="H57" s="1143" t="s">
        <v>322</v>
      </c>
      <c r="I57" s="1144" t="s">
        <v>345</v>
      </c>
      <c r="J57" s="1143" t="s">
        <v>322</v>
      </c>
      <c r="K57" s="1144" t="s">
        <v>345</v>
      </c>
      <c r="L57" s="1143" t="s">
        <v>322</v>
      </c>
      <c r="M57" s="1144" t="s">
        <v>345</v>
      </c>
      <c r="N57" s="1143" t="s">
        <v>322</v>
      </c>
      <c r="O57" s="1144" t="s">
        <v>345</v>
      </c>
      <c r="P57" s="1143" t="s">
        <v>322</v>
      </c>
      <c r="Q57" s="1144" t="s">
        <v>345</v>
      </c>
      <c r="R57" s="1143" t="s">
        <v>322</v>
      </c>
      <c r="S57" s="1144" t="s">
        <v>345</v>
      </c>
      <c r="T57" s="1143" t="s">
        <v>322</v>
      </c>
      <c r="U57" s="1144" t="s">
        <v>345</v>
      </c>
      <c r="V57" s="1143" t="s">
        <v>322</v>
      </c>
      <c r="W57" s="1144" t="s">
        <v>345</v>
      </c>
      <c r="X57" s="1143" t="s">
        <v>322</v>
      </c>
      <c r="Y57" s="1144" t="s">
        <v>345</v>
      </c>
      <c r="Z57" s="1143" t="s">
        <v>322</v>
      </c>
      <c r="AA57" s="1144" t="s">
        <v>345</v>
      </c>
      <c r="AB57" s="1143" t="s">
        <v>322</v>
      </c>
      <c r="AC57" s="1144" t="s">
        <v>345</v>
      </c>
      <c r="AD57" s="1143" t="s">
        <v>345</v>
      </c>
      <c r="AE57" s="1144" t="s">
        <v>345</v>
      </c>
      <c r="AF57" s="1143" t="s">
        <v>322</v>
      </c>
      <c r="AG57" s="1144" t="s">
        <v>345</v>
      </c>
      <c r="AH57" s="1143" t="s">
        <v>322</v>
      </c>
      <c r="AI57" s="1144" t="s">
        <v>345</v>
      </c>
      <c r="AJ57" s="1143" t="s">
        <v>322</v>
      </c>
      <c r="AK57" s="1144" t="s">
        <v>345</v>
      </c>
      <c r="AL57" s="1143" t="s">
        <v>322</v>
      </c>
      <c r="AM57" s="1144" t="s">
        <v>345</v>
      </c>
      <c r="AN57" s="1143" t="s">
        <v>322</v>
      </c>
      <c r="AO57" s="1144" t="s">
        <v>345</v>
      </c>
      <c r="AP57" s="1143" t="s">
        <v>322</v>
      </c>
      <c r="AQ57" s="1144" t="s">
        <v>345</v>
      </c>
      <c r="AR57" s="1143" t="s">
        <v>322</v>
      </c>
      <c r="AS57" s="1144" t="s">
        <v>345</v>
      </c>
      <c r="AT57" s="1143" t="s">
        <v>322</v>
      </c>
      <c r="AU57" s="1144" t="s">
        <v>345</v>
      </c>
      <c r="AV57" s="1143" t="s">
        <v>322</v>
      </c>
      <c r="AW57" s="1144" t="s">
        <v>345</v>
      </c>
      <c r="AX57" s="1143" t="s">
        <v>322</v>
      </c>
      <c r="AY57" s="1144" t="s">
        <v>345</v>
      </c>
      <c r="AZ57" s="1143" t="s">
        <v>322</v>
      </c>
      <c r="BA57" s="1145" t="s">
        <v>345</v>
      </c>
      <c r="BB57" s="1146" t="s">
        <v>322</v>
      </c>
      <c r="BC57" s="1041"/>
      <c r="BD57" s="1138"/>
      <c r="BE57" s="1139"/>
      <c r="BF57" s="1139"/>
      <c r="BG57" s="1139"/>
      <c r="BH57" s="1140"/>
      <c r="BI57" s="1141"/>
      <c r="BJ57" s="1142" t="s">
        <v>345</v>
      </c>
      <c r="BK57" s="1143" t="s">
        <v>322</v>
      </c>
      <c r="BL57" s="1144" t="s">
        <v>345</v>
      </c>
      <c r="BM57" s="1143" t="s">
        <v>322</v>
      </c>
      <c r="BN57" s="1144" t="s">
        <v>345</v>
      </c>
      <c r="BO57" s="1143" t="s">
        <v>322</v>
      </c>
      <c r="BP57" s="1144" t="s">
        <v>345</v>
      </c>
      <c r="BQ57" s="1143" t="s">
        <v>322</v>
      </c>
      <c r="BR57" s="1144" t="s">
        <v>345</v>
      </c>
      <c r="BS57" s="1143" t="s">
        <v>322</v>
      </c>
      <c r="BT57" s="1144" t="s">
        <v>345</v>
      </c>
      <c r="BU57" s="1143" t="s">
        <v>322</v>
      </c>
      <c r="BV57" s="1144" t="s">
        <v>345</v>
      </c>
      <c r="BW57" s="1143" t="s">
        <v>322</v>
      </c>
      <c r="BX57" s="1144" t="s">
        <v>345</v>
      </c>
      <c r="BY57" s="1143" t="s">
        <v>322</v>
      </c>
      <c r="BZ57" s="1144" t="s">
        <v>345</v>
      </c>
      <c r="CA57" s="1143" t="s">
        <v>322</v>
      </c>
      <c r="CB57" s="1144" t="s">
        <v>345</v>
      </c>
      <c r="CC57" s="1143" t="s">
        <v>322</v>
      </c>
      <c r="CD57" s="1144" t="s">
        <v>345</v>
      </c>
      <c r="CE57" s="1143" t="s">
        <v>322</v>
      </c>
      <c r="CF57" s="1144" t="s">
        <v>345</v>
      </c>
      <c r="CG57" s="1143" t="s">
        <v>345</v>
      </c>
      <c r="CH57" s="1144" t="s">
        <v>345</v>
      </c>
      <c r="CI57" s="1143" t="s">
        <v>322</v>
      </c>
      <c r="CJ57" s="1144" t="s">
        <v>345</v>
      </c>
      <c r="CK57" s="1143" t="s">
        <v>322</v>
      </c>
      <c r="CL57" s="1144" t="s">
        <v>345</v>
      </c>
      <c r="CM57" s="1143" t="s">
        <v>322</v>
      </c>
      <c r="CN57" s="1144" t="s">
        <v>345</v>
      </c>
      <c r="CO57" s="1143" t="s">
        <v>322</v>
      </c>
      <c r="CP57" s="1144" t="s">
        <v>345</v>
      </c>
      <c r="CQ57" s="1143" t="s">
        <v>322</v>
      </c>
      <c r="CR57" s="1144" t="s">
        <v>345</v>
      </c>
      <c r="CS57" s="1143" t="s">
        <v>322</v>
      </c>
      <c r="CT57" s="1144" t="s">
        <v>345</v>
      </c>
      <c r="CU57" s="1143" t="s">
        <v>322</v>
      </c>
      <c r="CV57" s="1144" t="s">
        <v>345</v>
      </c>
      <c r="CW57" s="1143" t="s">
        <v>322</v>
      </c>
      <c r="CX57" s="1144" t="s">
        <v>345</v>
      </c>
      <c r="CY57" s="1143" t="s">
        <v>322</v>
      </c>
      <c r="CZ57" s="1144" t="s">
        <v>345</v>
      </c>
      <c r="DA57" s="1143" t="s">
        <v>322</v>
      </c>
      <c r="DB57" s="1144" t="s">
        <v>345</v>
      </c>
      <c r="DC57" s="1143" t="s">
        <v>322</v>
      </c>
      <c r="DD57" s="1145" t="s">
        <v>345</v>
      </c>
      <c r="DE57" s="1146" t="s">
        <v>322</v>
      </c>
      <c r="DF57" s="1041"/>
      <c r="DG57" s="1138"/>
      <c r="DH57" s="1139"/>
      <c r="DI57" s="1139"/>
      <c r="DJ57" s="1139"/>
      <c r="DK57" s="1140"/>
      <c r="DL57" s="1141"/>
      <c r="DM57" s="1142" t="s">
        <v>345</v>
      </c>
      <c r="DN57" s="1143" t="s">
        <v>322</v>
      </c>
      <c r="DO57" s="1144" t="s">
        <v>345</v>
      </c>
      <c r="DP57" s="1143" t="s">
        <v>322</v>
      </c>
      <c r="DQ57" s="1144" t="s">
        <v>345</v>
      </c>
      <c r="DR57" s="1143" t="s">
        <v>322</v>
      </c>
      <c r="DS57" s="1144" t="s">
        <v>345</v>
      </c>
      <c r="DT57" s="1143" t="s">
        <v>322</v>
      </c>
      <c r="DU57" s="1144" t="s">
        <v>345</v>
      </c>
      <c r="DV57" s="1143" t="s">
        <v>322</v>
      </c>
      <c r="DW57" s="1144" t="s">
        <v>345</v>
      </c>
      <c r="DX57" s="1143" t="s">
        <v>322</v>
      </c>
      <c r="DY57" s="1144" t="s">
        <v>345</v>
      </c>
      <c r="DZ57" s="1143" t="s">
        <v>322</v>
      </c>
      <c r="EA57" s="1144" t="s">
        <v>345</v>
      </c>
      <c r="EB57" s="1143" t="s">
        <v>322</v>
      </c>
      <c r="EC57" s="1144" t="s">
        <v>345</v>
      </c>
      <c r="ED57" s="1143" t="s">
        <v>322</v>
      </c>
      <c r="EE57" s="1144" t="s">
        <v>345</v>
      </c>
      <c r="EF57" s="1143" t="s">
        <v>322</v>
      </c>
      <c r="EG57" s="1144" t="s">
        <v>345</v>
      </c>
      <c r="EH57" s="1143" t="s">
        <v>322</v>
      </c>
      <c r="EI57" s="1144" t="s">
        <v>345</v>
      </c>
      <c r="EJ57" s="1143" t="s">
        <v>345</v>
      </c>
      <c r="EK57" s="1144" t="s">
        <v>345</v>
      </c>
      <c r="EL57" s="1143" t="s">
        <v>322</v>
      </c>
      <c r="EM57" s="1144" t="s">
        <v>345</v>
      </c>
      <c r="EN57" s="1143" t="s">
        <v>322</v>
      </c>
      <c r="EO57" s="1144" t="s">
        <v>345</v>
      </c>
      <c r="EP57" s="1143" t="s">
        <v>322</v>
      </c>
      <c r="EQ57" s="1144" t="s">
        <v>345</v>
      </c>
      <c r="ER57" s="1143" t="s">
        <v>322</v>
      </c>
      <c r="ES57" s="1144" t="s">
        <v>345</v>
      </c>
      <c r="ET57" s="1143" t="s">
        <v>322</v>
      </c>
      <c r="EU57" s="1144" t="s">
        <v>345</v>
      </c>
      <c r="EV57" s="1143" t="s">
        <v>322</v>
      </c>
      <c r="EW57" s="1144" t="s">
        <v>345</v>
      </c>
      <c r="EX57" s="1143" t="s">
        <v>322</v>
      </c>
      <c r="EY57" s="1144" t="s">
        <v>345</v>
      </c>
      <c r="EZ57" s="1143" t="s">
        <v>322</v>
      </c>
      <c r="FA57" s="1144" t="s">
        <v>345</v>
      </c>
      <c r="FB57" s="1143" t="s">
        <v>322</v>
      </c>
      <c r="FC57" s="1144" t="s">
        <v>345</v>
      </c>
      <c r="FD57" s="1143" t="s">
        <v>322</v>
      </c>
      <c r="FE57" s="1144" t="s">
        <v>345</v>
      </c>
      <c r="FF57" s="1143" t="s">
        <v>322</v>
      </c>
      <c r="FG57" s="1145" t="s">
        <v>345</v>
      </c>
      <c r="FH57" s="1146" t="s">
        <v>322</v>
      </c>
      <c r="FI57" s="1041"/>
      <c r="FJ57" s="1138"/>
      <c r="FK57" s="1139"/>
      <c r="FL57" s="1139"/>
      <c r="FM57" s="1139"/>
      <c r="FN57" s="1140"/>
      <c r="FO57" s="1141"/>
      <c r="FP57" s="1147" t="s">
        <v>45</v>
      </c>
      <c r="FQ57" s="1145" t="s">
        <v>345</v>
      </c>
      <c r="FR57" s="1143" t="s">
        <v>324</v>
      </c>
      <c r="FS57" s="1148" t="s">
        <v>45</v>
      </c>
      <c r="FT57" s="1145" t="s">
        <v>345</v>
      </c>
      <c r="FU57" s="1149" t="s">
        <v>324</v>
      </c>
      <c r="FV57" s="1150" t="s">
        <v>45</v>
      </c>
      <c r="FW57" s="1143" t="s">
        <v>322</v>
      </c>
      <c r="FX57" s="1148" t="s">
        <v>45</v>
      </c>
      <c r="FY57" s="1143" t="s">
        <v>322</v>
      </c>
      <c r="FZ57" s="1148" t="s">
        <v>45</v>
      </c>
      <c r="GA57" s="1143" t="s">
        <v>322</v>
      </c>
      <c r="GB57" s="1148" t="s">
        <v>45</v>
      </c>
      <c r="GC57" s="1143" t="s">
        <v>322</v>
      </c>
      <c r="GD57" s="1148" t="s">
        <v>45</v>
      </c>
      <c r="GE57" s="1146" t="s">
        <v>324</v>
      </c>
      <c r="GF57" s="681"/>
      <c r="GG57" s="652"/>
      <c r="GH57" s="652"/>
      <c r="GI57" s="652"/>
      <c r="GJ57" s="942"/>
      <c r="GK57" s="410"/>
      <c r="GL57" s="1113">
        <v>14</v>
      </c>
      <c r="GM57" s="1114">
        <v>5</v>
      </c>
      <c r="GN57" s="1091">
        <v>0.66</v>
      </c>
      <c r="GO57" s="1092">
        <v>4.5999999999999996</v>
      </c>
      <c r="GP57" s="1092">
        <v>10</v>
      </c>
      <c r="GQ57" s="1093">
        <v>14.6</v>
      </c>
      <c r="GR57" s="942"/>
      <c r="GS57" s="526"/>
      <c r="GT57" s="1253"/>
      <c r="GU57" s="575"/>
      <c r="GV57" s="575"/>
      <c r="GW57" s="497"/>
      <c r="GX57" s="1256"/>
      <c r="GY57" s="576"/>
      <c r="GZ57" s="497"/>
      <c r="HA57" s="575"/>
      <c r="HB57" s="497"/>
      <c r="HC57" s="1041"/>
    </row>
    <row r="58" spans="1:212" ht="20.100000000000001" customHeight="1">
      <c r="A58" s="1151" t="s">
        <v>709</v>
      </c>
      <c r="B58" s="1152"/>
      <c r="C58" s="1152"/>
      <c r="D58" s="1152"/>
      <c r="E58" s="1153"/>
      <c r="F58" s="1154"/>
      <c r="G58" s="1155"/>
      <c r="H58" s="1156"/>
      <c r="I58" s="1157"/>
      <c r="J58" s="1156"/>
      <c r="K58" s="1157"/>
      <c r="L58" s="1156"/>
      <c r="M58" s="1157"/>
      <c r="N58" s="1156"/>
      <c r="O58" s="1157"/>
      <c r="P58" s="1156"/>
      <c r="Q58" s="1157"/>
      <c r="R58" s="1156"/>
      <c r="S58" s="1157"/>
      <c r="T58" s="1156"/>
      <c r="U58" s="1157"/>
      <c r="V58" s="1156"/>
      <c r="W58" s="1157"/>
      <c r="X58" s="1156">
        <v>110</v>
      </c>
      <c r="Y58" s="1157"/>
      <c r="Z58" s="1156">
        <v>110</v>
      </c>
      <c r="AA58" s="1157"/>
      <c r="AB58" s="1156">
        <v>110</v>
      </c>
      <c r="AC58" s="1157"/>
      <c r="AD58" s="1156">
        <v>110</v>
      </c>
      <c r="AE58" s="1157"/>
      <c r="AF58" s="1156">
        <v>110</v>
      </c>
      <c r="AG58" s="1157"/>
      <c r="AH58" s="1156">
        <v>110</v>
      </c>
      <c r="AI58" s="1157"/>
      <c r="AJ58" s="1156">
        <v>110</v>
      </c>
      <c r="AK58" s="1157"/>
      <c r="AL58" s="1156">
        <v>110</v>
      </c>
      <c r="AM58" s="1157"/>
      <c r="AN58" s="1156">
        <v>110</v>
      </c>
      <c r="AO58" s="1157"/>
      <c r="AP58" s="1156">
        <v>110</v>
      </c>
      <c r="AQ58" s="1157"/>
      <c r="AR58" s="1156"/>
      <c r="AS58" s="1157"/>
      <c r="AT58" s="1156"/>
      <c r="AU58" s="1157"/>
      <c r="AV58" s="1156"/>
      <c r="AW58" s="1157"/>
      <c r="AX58" s="1156"/>
      <c r="AY58" s="1157"/>
      <c r="AZ58" s="1156"/>
      <c r="BA58" s="1157"/>
      <c r="BB58" s="558"/>
      <c r="BC58" s="560"/>
      <c r="BD58" s="1151" t="s">
        <v>660</v>
      </c>
      <c r="BE58" s="1152"/>
      <c r="BF58" s="1152"/>
      <c r="BG58" s="1152"/>
      <c r="BH58" s="1153"/>
      <c r="BI58" s="1154"/>
      <c r="BJ58" s="1155"/>
      <c r="BK58" s="1156"/>
      <c r="BL58" s="1157"/>
      <c r="BM58" s="1156"/>
      <c r="BN58" s="1157"/>
      <c r="BO58" s="1156"/>
      <c r="BP58" s="1157"/>
      <c r="BQ58" s="1156"/>
      <c r="BR58" s="1157"/>
      <c r="BS58" s="1156"/>
      <c r="BT58" s="1157"/>
      <c r="BU58" s="1156"/>
      <c r="BV58" s="1157"/>
      <c r="BW58" s="1156"/>
      <c r="BX58" s="1157"/>
      <c r="BY58" s="1156"/>
      <c r="BZ58" s="1157"/>
      <c r="CA58" s="1156">
        <v>110</v>
      </c>
      <c r="CB58" s="1157"/>
      <c r="CC58" s="1156">
        <v>110</v>
      </c>
      <c r="CD58" s="1157"/>
      <c r="CE58" s="1156">
        <v>110</v>
      </c>
      <c r="CF58" s="1157"/>
      <c r="CG58" s="1156">
        <v>110</v>
      </c>
      <c r="CH58" s="1157"/>
      <c r="CI58" s="1156">
        <v>110</v>
      </c>
      <c r="CJ58" s="1157"/>
      <c r="CK58" s="1156">
        <v>110</v>
      </c>
      <c r="CL58" s="1157"/>
      <c r="CM58" s="1156">
        <v>110</v>
      </c>
      <c r="CN58" s="1157"/>
      <c r="CO58" s="1156">
        <v>110</v>
      </c>
      <c r="CP58" s="1157"/>
      <c r="CQ58" s="1156">
        <v>110</v>
      </c>
      <c r="CR58" s="1157"/>
      <c r="CS58" s="1156">
        <v>110</v>
      </c>
      <c r="CT58" s="1157"/>
      <c r="CU58" s="1156"/>
      <c r="CV58" s="1157"/>
      <c r="CW58" s="1156"/>
      <c r="CX58" s="1157"/>
      <c r="CY58" s="1156"/>
      <c r="CZ58" s="1157"/>
      <c r="DA58" s="1156"/>
      <c r="DB58" s="1157"/>
      <c r="DC58" s="1156"/>
      <c r="DD58" s="1157"/>
      <c r="DE58" s="558"/>
      <c r="DF58" s="559"/>
      <c r="DG58" s="1151" t="s">
        <v>660</v>
      </c>
      <c r="DH58" s="1152"/>
      <c r="DI58" s="1152"/>
      <c r="DJ58" s="1152"/>
      <c r="DK58" s="1153"/>
      <c r="DL58" s="1154"/>
      <c r="DM58" s="1155"/>
      <c r="DN58" s="1156"/>
      <c r="DO58" s="1157"/>
      <c r="DP58" s="1156"/>
      <c r="DQ58" s="1157"/>
      <c r="DR58" s="1156"/>
      <c r="DS58" s="1157"/>
      <c r="DT58" s="1156"/>
      <c r="DU58" s="1157"/>
      <c r="DV58" s="1156"/>
      <c r="DW58" s="1157"/>
      <c r="DX58" s="1156"/>
      <c r="DY58" s="1157"/>
      <c r="DZ58" s="1156"/>
      <c r="EA58" s="1157"/>
      <c r="EB58" s="1156"/>
      <c r="EC58" s="1157"/>
      <c r="ED58" s="1156">
        <v>110</v>
      </c>
      <c r="EE58" s="1157"/>
      <c r="EF58" s="1156">
        <v>110</v>
      </c>
      <c r="EG58" s="1157"/>
      <c r="EH58" s="1156">
        <v>110</v>
      </c>
      <c r="EI58" s="1157"/>
      <c r="EJ58" s="1156">
        <v>110</v>
      </c>
      <c r="EK58" s="1157"/>
      <c r="EL58" s="1156">
        <v>110</v>
      </c>
      <c r="EM58" s="1157"/>
      <c r="EN58" s="1156">
        <v>110</v>
      </c>
      <c r="EO58" s="1157"/>
      <c r="EP58" s="1156">
        <v>110</v>
      </c>
      <c r="EQ58" s="1157"/>
      <c r="ER58" s="1156">
        <v>110</v>
      </c>
      <c r="ES58" s="1157"/>
      <c r="ET58" s="1156">
        <v>110</v>
      </c>
      <c r="EU58" s="1157"/>
      <c r="EV58" s="1156">
        <v>110</v>
      </c>
      <c r="EW58" s="1157"/>
      <c r="EX58" s="1156"/>
      <c r="EY58" s="1157"/>
      <c r="EZ58" s="1156"/>
      <c r="FA58" s="1157"/>
      <c r="FB58" s="1156"/>
      <c r="FC58" s="1157"/>
      <c r="FD58" s="1156"/>
      <c r="FE58" s="1157"/>
      <c r="FF58" s="1156"/>
      <c r="FG58" s="1157"/>
      <c r="FH58" s="558"/>
      <c r="FI58" s="560"/>
      <c r="FJ58" s="1151" t="s">
        <v>660</v>
      </c>
      <c r="FK58" s="1152"/>
      <c r="FL58" s="1152"/>
      <c r="FM58" s="1152"/>
      <c r="FN58" s="1153"/>
      <c r="FO58" s="1154"/>
      <c r="FP58" s="1158"/>
      <c r="FQ58" s="1159"/>
      <c r="FR58" s="1156">
        <v>110</v>
      </c>
      <c r="FS58" s="1160"/>
      <c r="FT58" s="1159"/>
      <c r="FU58" s="1161">
        <v>110</v>
      </c>
      <c r="FV58" s="1162"/>
      <c r="FW58" s="1163"/>
      <c r="FX58" s="1164"/>
      <c r="FY58" s="1163"/>
      <c r="FZ58" s="1164"/>
      <c r="GA58" s="1163"/>
      <c r="GB58" s="1164"/>
      <c r="GC58" s="1163"/>
      <c r="GD58" s="1164"/>
      <c r="GE58" s="1165"/>
      <c r="GF58" s="681"/>
      <c r="GG58" s="599"/>
      <c r="GH58" s="599"/>
      <c r="GI58" s="599"/>
      <c r="GJ58" s="942"/>
      <c r="GK58" s="1166"/>
      <c r="GL58" s="1089">
        <v>15</v>
      </c>
      <c r="GM58" s="1090">
        <v>6</v>
      </c>
      <c r="GN58" s="1091">
        <v>0.61</v>
      </c>
      <c r="GO58" s="1092">
        <v>4.2</v>
      </c>
      <c r="GP58" s="1092">
        <v>10</v>
      </c>
      <c r="GQ58" s="1093">
        <v>14.2</v>
      </c>
      <c r="GR58" s="942"/>
      <c r="GS58" s="527"/>
      <c r="GT58" s="682"/>
      <c r="GU58" s="497"/>
      <c r="GV58" s="575"/>
      <c r="GW58" s="497"/>
      <c r="GX58" s="1256"/>
      <c r="GY58" s="1254"/>
      <c r="GZ58" s="576"/>
      <c r="HA58" s="575"/>
      <c r="HB58" s="497"/>
      <c r="HC58" s="559"/>
      <c r="HD58" s="1167"/>
    </row>
    <row r="59" spans="1:212" ht="20.100000000000001" customHeight="1">
      <c r="A59" s="1168" t="s">
        <v>661</v>
      </c>
      <c r="B59" s="1169"/>
      <c r="C59" s="1169"/>
      <c r="D59" s="1170" t="s">
        <v>662</v>
      </c>
      <c r="E59" s="1171"/>
      <c r="F59" s="1010"/>
      <c r="G59" s="1172">
        <v>0</v>
      </c>
      <c r="H59" s="582">
        <v>0</v>
      </c>
      <c r="I59" s="1173">
        <v>0</v>
      </c>
      <c r="J59" s="584">
        <v>0</v>
      </c>
      <c r="K59" s="1173">
        <v>0</v>
      </c>
      <c r="L59" s="584">
        <v>0</v>
      </c>
      <c r="M59" s="1173">
        <v>0</v>
      </c>
      <c r="N59" s="584">
        <v>0</v>
      </c>
      <c r="O59" s="1173">
        <v>0</v>
      </c>
      <c r="P59" s="584">
        <v>0</v>
      </c>
      <c r="Q59" s="1173">
        <v>0</v>
      </c>
      <c r="R59" s="584">
        <v>0</v>
      </c>
      <c r="S59" s="1173">
        <v>0</v>
      </c>
      <c r="T59" s="584">
        <v>0</v>
      </c>
      <c r="U59" s="1173">
        <v>0</v>
      </c>
      <c r="V59" s="584">
        <v>0</v>
      </c>
      <c r="W59" s="1173">
        <v>22.8</v>
      </c>
      <c r="X59" s="584">
        <v>836</v>
      </c>
      <c r="Y59" s="1173">
        <v>23.7</v>
      </c>
      <c r="Z59" s="584">
        <v>869</v>
      </c>
      <c r="AA59" s="1173">
        <v>24</v>
      </c>
      <c r="AB59" s="584">
        <v>880</v>
      </c>
      <c r="AC59" s="1173">
        <v>25.3</v>
      </c>
      <c r="AD59" s="584">
        <v>928</v>
      </c>
      <c r="AE59" s="1173">
        <v>24.9</v>
      </c>
      <c r="AF59" s="584">
        <v>913</v>
      </c>
      <c r="AG59" s="1173">
        <v>24.2</v>
      </c>
      <c r="AH59" s="584">
        <v>887</v>
      </c>
      <c r="AI59" s="1173">
        <v>24.2</v>
      </c>
      <c r="AJ59" s="584">
        <v>887</v>
      </c>
      <c r="AK59" s="1173">
        <v>23.9</v>
      </c>
      <c r="AL59" s="584">
        <v>876</v>
      </c>
      <c r="AM59" s="1173">
        <v>23.2</v>
      </c>
      <c r="AN59" s="584">
        <v>851</v>
      </c>
      <c r="AO59" s="1173">
        <v>22.5</v>
      </c>
      <c r="AP59" s="584">
        <v>825</v>
      </c>
      <c r="AQ59" s="1173">
        <v>0</v>
      </c>
      <c r="AR59" s="584">
        <v>0</v>
      </c>
      <c r="AS59" s="1173">
        <v>0</v>
      </c>
      <c r="AT59" s="584">
        <v>0</v>
      </c>
      <c r="AU59" s="1173">
        <v>0</v>
      </c>
      <c r="AV59" s="584">
        <v>0</v>
      </c>
      <c r="AW59" s="1173">
        <v>0</v>
      </c>
      <c r="AX59" s="584">
        <v>0</v>
      </c>
      <c r="AY59" s="1173">
        <v>0</v>
      </c>
      <c r="AZ59" s="584">
        <v>0</v>
      </c>
      <c r="BA59" s="1173">
        <v>0</v>
      </c>
      <c r="BB59" s="586">
        <v>0</v>
      </c>
      <c r="BC59" s="560"/>
      <c r="BD59" s="1168" t="s">
        <v>661</v>
      </c>
      <c r="BE59" s="1169"/>
      <c r="BF59" s="1169"/>
      <c r="BG59" s="1170" t="s">
        <v>662</v>
      </c>
      <c r="BH59" s="1171"/>
      <c r="BI59" s="1010"/>
      <c r="BJ59" s="1172">
        <v>0</v>
      </c>
      <c r="BK59" s="582">
        <v>0</v>
      </c>
      <c r="BL59" s="1173">
        <v>0</v>
      </c>
      <c r="BM59" s="584">
        <v>0</v>
      </c>
      <c r="BN59" s="1173">
        <v>0</v>
      </c>
      <c r="BO59" s="584">
        <v>0</v>
      </c>
      <c r="BP59" s="1173">
        <v>0</v>
      </c>
      <c r="BQ59" s="584">
        <v>0</v>
      </c>
      <c r="BR59" s="1173">
        <v>0</v>
      </c>
      <c r="BS59" s="584">
        <v>0</v>
      </c>
      <c r="BT59" s="1173">
        <v>0</v>
      </c>
      <c r="BU59" s="584">
        <v>0</v>
      </c>
      <c r="BV59" s="1173">
        <v>0</v>
      </c>
      <c r="BW59" s="584">
        <v>0</v>
      </c>
      <c r="BX59" s="1173">
        <v>0</v>
      </c>
      <c r="BY59" s="584">
        <v>0</v>
      </c>
      <c r="BZ59" s="1173">
        <v>17.7</v>
      </c>
      <c r="CA59" s="584">
        <v>649</v>
      </c>
      <c r="CB59" s="1173">
        <v>18.5</v>
      </c>
      <c r="CC59" s="584">
        <v>678</v>
      </c>
      <c r="CD59" s="1173">
        <v>19.399999999999999</v>
      </c>
      <c r="CE59" s="584">
        <v>711</v>
      </c>
      <c r="CF59" s="1173">
        <v>20.100000000000001</v>
      </c>
      <c r="CG59" s="584">
        <v>737</v>
      </c>
      <c r="CH59" s="1173">
        <v>20.5</v>
      </c>
      <c r="CI59" s="584">
        <v>752</v>
      </c>
      <c r="CJ59" s="1173">
        <v>19.8</v>
      </c>
      <c r="CK59" s="584">
        <v>726</v>
      </c>
      <c r="CL59" s="1173">
        <v>19.600000000000001</v>
      </c>
      <c r="CM59" s="584">
        <v>719</v>
      </c>
      <c r="CN59" s="1173">
        <v>19.399999999999999</v>
      </c>
      <c r="CO59" s="584">
        <v>711</v>
      </c>
      <c r="CP59" s="1173">
        <v>19.399999999999999</v>
      </c>
      <c r="CQ59" s="584">
        <v>711</v>
      </c>
      <c r="CR59" s="1173">
        <v>18.7</v>
      </c>
      <c r="CS59" s="584">
        <v>686</v>
      </c>
      <c r="CT59" s="1173">
        <v>0</v>
      </c>
      <c r="CU59" s="584">
        <v>0</v>
      </c>
      <c r="CV59" s="1173">
        <v>0</v>
      </c>
      <c r="CW59" s="584">
        <v>0</v>
      </c>
      <c r="CX59" s="1173">
        <v>0</v>
      </c>
      <c r="CY59" s="584">
        <v>0</v>
      </c>
      <c r="CZ59" s="1173">
        <v>0</v>
      </c>
      <c r="DA59" s="584">
        <v>0</v>
      </c>
      <c r="DB59" s="1173">
        <v>0</v>
      </c>
      <c r="DC59" s="584">
        <v>0</v>
      </c>
      <c r="DD59" s="1173">
        <v>0</v>
      </c>
      <c r="DE59" s="586">
        <v>0</v>
      </c>
      <c r="DF59" s="559"/>
      <c r="DG59" s="1168" t="s">
        <v>661</v>
      </c>
      <c r="DH59" s="1169"/>
      <c r="DI59" s="1169"/>
      <c r="DJ59" s="1170" t="s">
        <v>662</v>
      </c>
      <c r="DK59" s="1171"/>
      <c r="DL59" s="1010"/>
      <c r="DM59" s="1172">
        <v>0</v>
      </c>
      <c r="DN59" s="582">
        <v>0</v>
      </c>
      <c r="DO59" s="1173">
        <v>0</v>
      </c>
      <c r="DP59" s="584">
        <v>0</v>
      </c>
      <c r="DQ59" s="1173">
        <v>0</v>
      </c>
      <c r="DR59" s="584">
        <v>0</v>
      </c>
      <c r="DS59" s="1173">
        <v>0</v>
      </c>
      <c r="DT59" s="584">
        <v>0</v>
      </c>
      <c r="DU59" s="1173">
        <v>0</v>
      </c>
      <c r="DV59" s="584">
        <v>0</v>
      </c>
      <c r="DW59" s="1173">
        <v>0</v>
      </c>
      <c r="DX59" s="584">
        <v>0</v>
      </c>
      <c r="DY59" s="1173">
        <v>0</v>
      </c>
      <c r="DZ59" s="584">
        <v>0</v>
      </c>
      <c r="EA59" s="1173">
        <v>0</v>
      </c>
      <c r="EB59" s="584">
        <v>0</v>
      </c>
      <c r="EC59" s="1173">
        <v>8.9</v>
      </c>
      <c r="ED59" s="584">
        <v>326</v>
      </c>
      <c r="EE59" s="1173">
        <v>10</v>
      </c>
      <c r="EF59" s="584">
        <v>367</v>
      </c>
      <c r="EG59" s="1173">
        <v>10.1</v>
      </c>
      <c r="EH59" s="584">
        <v>370</v>
      </c>
      <c r="EI59" s="1173">
        <v>10.5</v>
      </c>
      <c r="EJ59" s="584">
        <v>385</v>
      </c>
      <c r="EK59" s="1173">
        <v>10.199999999999999</v>
      </c>
      <c r="EL59" s="584">
        <v>374</v>
      </c>
      <c r="EM59" s="1173">
        <v>9.6999999999999993</v>
      </c>
      <c r="EN59" s="584">
        <v>356</v>
      </c>
      <c r="EO59" s="1173">
        <v>9.5</v>
      </c>
      <c r="EP59" s="584">
        <v>348</v>
      </c>
      <c r="EQ59" s="1173">
        <v>9.6</v>
      </c>
      <c r="ER59" s="584">
        <v>352</v>
      </c>
      <c r="ES59" s="1173">
        <v>9.1</v>
      </c>
      <c r="ET59" s="584">
        <v>334</v>
      </c>
      <c r="EU59" s="1173">
        <v>9.6</v>
      </c>
      <c r="EV59" s="584">
        <v>352</v>
      </c>
      <c r="EW59" s="1173">
        <v>0</v>
      </c>
      <c r="EX59" s="584">
        <v>0</v>
      </c>
      <c r="EY59" s="1173">
        <v>0</v>
      </c>
      <c r="EZ59" s="584">
        <v>0</v>
      </c>
      <c r="FA59" s="1173">
        <v>0</v>
      </c>
      <c r="FB59" s="584">
        <v>0</v>
      </c>
      <c r="FC59" s="1173">
        <v>0</v>
      </c>
      <c r="FD59" s="584">
        <v>0</v>
      </c>
      <c r="FE59" s="1173">
        <v>0</v>
      </c>
      <c r="FF59" s="584">
        <v>0</v>
      </c>
      <c r="FG59" s="1173">
        <v>0</v>
      </c>
      <c r="FH59" s="586">
        <v>0</v>
      </c>
      <c r="FI59" s="560"/>
      <c r="FJ59" s="1168" t="s">
        <v>661</v>
      </c>
      <c r="FK59" s="1169"/>
      <c r="FL59" s="1169"/>
      <c r="FM59" s="1170" t="s">
        <v>662</v>
      </c>
      <c r="FN59" s="1171"/>
      <c r="FO59" s="1010"/>
      <c r="FP59" s="622">
        <v>9</v>
      </c>
      <c r="FQ59" s="1174">
        <v>30.8</v>
      </c>
      <c r="FR59" s="1175">
        <v>1129</v>
      </c>
      <c r="FS59" s="1176">
        <v>9</v>
      </c>
      <c r="FT59" s="1174">
        <v>27.1</v>
      </c>
      <c r="FU59" s="1177">
        <v>994</v>
      </c>
      <c r="FV59" s="1257" t="s">
        <v>663</v>
      </c>
      <c r="FW59" s="1258"/>
      <c r="FX59" s="1259" t="s">
        <v>663</v>
      </c>
      <c r="FY59" s="1258"/>
      <c r="FZ59" s="1259" t="s">
        <v>663</v>
      </c>
      <c r="GA59" s="1258"/>
      <c r="GB59" s="1259" t="s">
        <v>663</v>
      </c>
      <c r="GC59" s="1258"/>
      <c r="GD59" s="1259" t="s">
        <v>663</v>
      </c>
      <c r="GE59" s="1263"/>
      <c r="GF59" s="681"/>
      <c r="GG59" s="1182"/>
      <c r="GH59" s="1182"/>
      <c r="GI59" s="1182"/>
      <c r="GJ59" s="882"/>
      <c r="GK59" s="410"/>
      <c r="GL59" s="1113">
        <v>16</v>
      </c>
      <c r="GM59" s="1114">
        <v>7</v>
      </c>
      <c r="GN59" s="1091">
        <v>0.56000000000000005</v>
      </c>
      <c r="GO59" s="1092">
        <v>3.9</v>
      </c>
      <c r="GP59" s="1092">
        <v>10</v>
      </c>
      <c r="GQ59" s="1093">
        <v>13.9</v>
      </c>
      <c r="GR59" s="882"/>
      <c r="GS59" s="392"/>
      <c r="GT59" s="1255"/>
      <c r="GU59" s="576"/>
      <c r="GV59" s="497"/>
      <c r="GW59" s="497"/>
      <c r="GX59" s="1256"/>
      <c r="GY59" s="1254"/>
      <c r="GZ59" s="576"/>
      <c r="HA59" s="575"/>
      <c r="HB59" s="497"/>
      <c r="HC59" s="1167"/>
      <c r="HD59" s="1183"/>
    </row>
    <row r="60" spans="1:212" ht="20.100000000000001" customHeight="1">
      <c r="A60" s="1168"/>
      <c r="B60" s="1169"/>
      <c r="C60" s="1169"/>
      <c r="D60" s="1184"/>
      <c r="E60" s="1184"/>
      <c r="F60" s="1185">
        <v>0</v>
      </c>
      <c r="G60" s="581"/>
      <c r="H60" s="582"/>
      <c r="I60" s="585"/>
      <c r="J60" s="584"/>
      <c r="K60" s="585"/>
      <c r="L60" s="584"/>
      <c r="M60" s="585"/>
      <c r="N60" s="584"/>
      <c r="O60" s="585"/>
      <c r="P60" s="584"/>
      <c r="Q60" s="585"/>
      <c r="R60" s="584"/>
      <c r="S60" s="585"/>
      <c r="T60" s="584"/>
      <c r="U60" s="585"/>
      <c r="V60" s="584"/>
      <c r="W60" s="585"/>
      <c r="X60" s="584">
        <v>0</v>
      </c>
      <c r="Y60" s="585"/>
      <c r="Z60" s="584">
        <v>0</v>
      </c>
      <c r="AA60" s="585"/>
      <c r="AB60" s="584">
        <v>0</v>
      </c>
      <c r="AC60" s="585"/>
      <c r="AD60" s="584">
        <v>0</v>
      </c>
      <c r="AE60" s="585"/>
      <c r="AF60" s="584">
        <v>0</v>
      </c>
      <c r="AG60" s="585"/>
      <c r="AH60" s="584">
        <v>0</v>
      </c>
      <c r="AI60" s="585"/>
      <c r="AJ60" s="584">
        <v>0</v>
      </c>
      <c r="AK60" s="585"/>
      <c r="AL60" s="584">
        <v>0</v>
      </c>
      <c r="AM60" s="585"/>
      <c r="AN60" s="584">
        <v>0</v>
      </c>
      <c r="AO60" s="585"/>
      <c r="AP60" s="584">
        <v>0</v>
      </c>
      <c r="AQ60" s="585"/>
      <c r="AR60" s="584"/>
      <c r="AS60" s="585"/>
      <c r="AT60" s="584"/>
      <c r="AU60" s="585"/>
      <c r="AV60" s="584"/>
      <c r="AW60" s="585"/>
      <c r="AX60" s="584"/>
      <c r="AY60" s="585"/>
      <c r="AZ60" s="584"/>
      <c r="BA60" s="585"/>
      <c r="BB60" s="586"/>
      <c r="BC60" s="560"/>
      <c r="BD60" s="1168"/>
      <c r="BE60" s="1169"/>
      <c r="BF60" s="1169"/>
      <c r="BG60" s="1184"/>
      <c r="BH60" s="1184"/>
      <c r="BI60" s="1185"/>
      <c r="BJ60" s="581"/>
      <c r="BK60" s="582"/>
      <c r="BL60" s="585"/>
      <c r="BM60" s="584"/>
      <c r="BN60" s="585"/>
      <c r="BO60" s="584"/>
      <c r="BP60" s="585"/>
      <c r="BQ60" s="584"/>
      <c r="BR60" s="585"/>
      <c r="BS60" s="584"/>
      <c r="BT60" s="585"/>
      <c r="BU60" s="584"/>
      <c r="BV60" s="585"/>
      <c r="BW60" s="584"/>
      <c r="BX60" s="585"/>
      <c r="BY60" s="584"/>
      <c r="BZ60" s="585"/>
      <c r="CA60" s="584">
        <v>0</v>
      </c>
      <c r="CB60" s="585"/>
      <c r="CC60" s="584">
        <v>0</v>
      </c>
      <c r="CD60" s="585"/>
      <c r="CE60" s="584">
        <v>0</v>
      </c>
      <c r="CF60" s="585"/>
      <c r="CG60" s="584">
        <v>0</v>
      </c>
      <c r="CH60" s="585"/>
      <c r="CI60" s="584">
        <v>0</v>
      </c>
      <c r="CJ60" s="585"/>
      <c r="CK60" s="584">
        <v>0</v>
      </c>
      <c r="CL60" s="585"/>
      <c r="CM60" s="584">
        <v>0</v>
      </c>
      <c r="CN60" s="585"/>
      <c r="CO60" s="584">
        <v>0</v>
      </c>
      <c r="CP60" s="585"/>
      <c r="CQ60" s="584">
        <v>0</v>
      </c>
      <c r="CR60" s="585"/>
      <c r="CS60" s="584">
        <v>0</v>
      </c>
      <c r="CT60" s="585"/>
      <c r="CU60" s="584"/>
      <c r="CV60" s="585"/>
      <c r="CW60" s="584"/>
      <c r="CX60" s="585"/>
      <c r="CY60" s="584"/>
      <c r="CZ60" s="585"/>
      <c r="DA60" s="584"/>
      <c r="DB60" s="585"/>
      <c r="DC60" s="584"/>
      <c r="DD60" s="585"/>
      <c r="DE60" s="586"/>
      <c r="DF60" s="559"/>
      <c r="DG60" s="1168"/>
      <c r="DH60" s="1169"/>
      <c r="DI60" s="1169"/>
      <c r="DJ60" s="1184"/>
      <c r="DK60" s="1184"/>
      <c r="DL60" s="1185"/>
      <c r="DM60" s="581"/>
      <c r="DN60" s="582"/>
      <c r="DO60" s="585"/>
      <c r="DP60" s="584"/>
      <c r="DQ60" s="585"/>
      <c r="DR60" s="584"/>
      <c r="DS60" s="585"/>
      <c r="DT60" s="584"/>
      <c r="DU60" s="585"/>
      <c r="DV60" s="584"/>
      <c r="DW60" s="585"/>
      <c r="DX60" s="584"/>
      <c r="DY60" s="585"/>
      <c r="DZ60" s="584"/>
      <c r="EA60" s="585"/>
      <c r="EB60" s="584"/>
      <c r="EC60" s="585"/>
      <c r="ED60" s="584">
        <v>0</v>
      </c>
      <c r="EE60" s="585"/>
      <c r="EF60" s="584">
        <v>0</v>
      </c>
      <c r="EG60" s="585"/>
      <c r="EH60" s="584">
        <v>0</v>
      </c>
      <c r="EI60" s="585"/>
      <c r="EJ60" s="584">
        <v>0</v>
      </c>
      <c r="EK60" s="585"/>
      <c r="EL60" s="584">
        <v>0</v>
      </c>
      <c r="EM60" s="585"/>
      <c r="EN60" s="584">
        <v>0</v>
      </c>
      <c r="EO60" s="585"/>
      <c r="EP60" s="584">
        <v>0</v>
      </c>
      <c r="EQ60" s="585"/>
      <c r="ER60" s="584">
        <v>0</v>
      </c>
      <c r="ES60" s="585"/>
      <c r="ET60" s="584">
        <v>0</v>
      </c>
      <c r="EU60" s="585"/>
      <c r="EV60" s="584">
        <v>0</v>
      </c>
      <c r="EW60" s="585"/>
      <c r="EX60" s="584"/>
      <c r="EY60" s="585"/>
      <c r="EZ60" s="584"/>
      <c r="FA60" s="585"/>
      <c r="FB60" s="584"/>
      <c r="FC60" s="585"/>
      <c r="FD60" s="584"/>
      <c r="FE60" s="585"/>
      <c r="FF60" s="584"/>
      <c r="FG60" s="585"/>
      <c r="FH60" s="586"/>
      <c r="FI60" s="560"/>
      <c r="FJ60" s="1168"/>
      <c r="FK60" s="1169"/>
      <c r="FL60" s="1169"/>
      <c r="FM60" s="1186"/>
      <c r="FN60" s="1187"/>
      <c r="FO60" s="1010"/>
      <c r="FP60" s="622"/>
      <c r="FQ60" s="618"/>
      <c r="FR60" s="1175"/>
      <c r="FS60" s="1176"/>
      <c r="FT60" s="618"/>
      <c r="FU60" s="1177"/>
      <c r="FV60" s="1178"/>
      <c r="FW60" s="1179"/>
      <c r="FX60" s="1180"/>
      <c r="FY60" s="1179"/>
      <c r="FZ60" s="1180"/>
      <c r="GA60" s="1179"/>
      <c r="GB60" s="1180"/>
      <c r="GC60" s="1179"/>
      <c r="GD60" s="1180"/>
      <c r="GE60" s="1181"/>
      <c r="GF60" s="681"/>
      <c r="GG60" s="392"/>
      <c r="GH60" s="392"/>
      <c r="GI60" s="392"/>
      <c r="GJ60" s="392"/>
      <c r="GK60" s="392"/>
      <c r="GL60" s="1089">
        <v>17</v>
      </c>
      <c r="GM60" s="1090">
        <v>8</v>
      </c>
      <c r="GN60" s="1091">
        <v>0.51</v>
      </c>
      <c r="GO60" s="1092">
        <v>3.5</v>
      </c>
      <c r="GP60" s="1092">
        <v>10</v>
      </c>
      <c r="GQ60" s="1093">
        <v>13.5</v>
      </c>
      <c r="GR60" s="392"/>
      <c r="GS60" s="480"/>
      <c r="GT60" s="1255"/>
      <c r="GU60" s="497"/>
      <c r="GV60" s="576"/>
      <c r="GW60" s="497"/>
      <c r="GX60" s="576"/>
      <c r="GY60" s="497"/>
      <c r="GZ60" s="497"/>
      <c r="HA60" s="575"/>
      <c r="HB60" s="497"/>
      <c r="HC60" s="1188"/>
      <c r="HD60" s="1027"/>
    </row>
    <row r="61" spans="1:212" ht="20.100000000000001" customHeight="1">
      <c r="A61" s="1189" t="s">
        <v>664</v>
      </c>
      <c r="B61" s="1190"/>
      <c r="C61" s="1190"/>
      <c r="D61" s="1190"/>
      <c r="E61" s="1190"/>
      <c r="F61" s="1191"/>
      <c r="G61" s="1192"/>
      <c r="H61" s="1193">
        <v>0</v>
      </c>
      <c r="I61" s="1194"/>
      <c r="J61" s="1195">
        <v>0</v>
      </c>
      <c r="K61" s="1194"/>
      <c r="L61" s="1195">
        <v>0</v>
      </c>
      <c r="M61" s="1194"/>
      <c r="N61" s="1195">
        <v>0</v>
      </c>
      <c r="O61" s="1194"/>
      <c r="P61" s="1195">
        <v>0</v>
      </c>
      <c r="Q61" s="1194"/>
      <c r="R61" s="1195">
        <v>0</v>
      </c>
      <c r="S61" s="1194"/>
      <c r="T61" s="1195">
        <v>0</v>
      </c>
      <c r="U61" s="1194"/>
      <c r="V61" s="1195">
        <v>0</v>
      </c>
      <c r="W61" s="1194"/>
      <c r="X61" s="1195">
        <v>4537</v>
      </c>
      <c r="Y61" s="1194"/>
      <c r="Z61" s="1195">
        <v>4260</v>
      </c>
      <c r="AA61" s="1194"/>
      <c r="AB61" s="1195">
        <v>4371</v>
      </c>
      <c r="AC61" s="1194"/>
      <c r="AD61" s="1195">
        <v>4462</v>
      </c>
      <c r="AE61" s="1194"/>
      <c r="AF61" s="1195">
        <v>4458</v>
      </c>
      <c r="AG61" s="1194"/>
      <c r="AH61" s="1195">
        <v>4410</v>
      </c>
      <c r="AI61" s="1194"/>
      <c r="AJ61" s="1195">
        <v>4316</v>
      </c>
      <c r="AK61" s="1194"/>
      <c r="AL61" s="1195">
        <v>4189</v>
      </c>
      <c r="AM61" s="1194"/>
      <c r="AN61" s="1195">
        <v>3990</v>
      </c>
      <c r="AO61" s="1194"/>
      <c r="AP61" s="1195">
        <v>3781</v>
      </c>
      <c r="AQ61" s="1194"/>
      <c r="AR61" s="1195">
        <v>0</v>
      </c>
      <c r="AS61" s="1194"/>
      <c r="AT61" s="1195">
        <v>0</v>
      </c>
      <c r="AU61" s="1194"/>
      <c r="AV61" s="1195">
        <v>0</v>
      </c>
      <c r="AW61" s="1194"/>
      <c r="AX61" s="1195">
        <v>0</v>
      </c>
      <c r="AY61" s="1194"/>
      <c r="AZ61" s="1195">
        <v>0</v>
      </c>
      <c r="BA61" s="1194"/>
      <c r="BB61" s="1196">
        <v>0</v>
      </c>
      <c r="BC61" s="560"/>
      <c r="BD61" s="1189" t="s">
        <v>664</v>
      </c>
      <c r="BE61" s="1190"/>
      <c r="BF61" s="1190"/>
      <c r="BG61" s="1190"/>
      <c r="BH61" s="1190"/>
      <c r="BI61" s="1191"/>
      <c r="BJ61" s="1192"/>
      <c r="BK61" s="1193">
        <v>0</v>
      </c>
      <c r="BL61" s="1194"/>
      <c r="BM61" s="1195">
        <v>0</v>
      </c>
      <c r="BN61" s="1194"/>
      <c r="BO61" s="1195">
        <v>0</v>
      </c>
      <c r="BP61" s="1194"/>
      <c r="BQ61" s="1195">
        <v>0</v>
      </c>
      <c r="BR61" s="1194"/>
      <c r="BS61" s="1195">
        <v>0</v>
      </c>
      <c r="BT61" s="1194"/>
      <c r="BU61" s="1195">
        <v>0</v>
      </c>
      <c r="BV61" s="1194"/>
      <c r="BW61" s="1195">
        <v>0</v>
      </c>
      <c r="BX61" s="1194"/>
      <c r="BY61" s="1195">
        <v>0</v>
      </c>
      <c r="BZ61" s="1194"/>
      <c r="CA61" s="1195">
        <v>4405</v>
      </c>
      <c r="CB61" s="1194"/>
      <c r="CC61" s="1195">
        <v>4077</v>
      </c>
      <c r="CD61" s="1194"/>
      <c r="CE61" s="1195">
        <v>4185</v>
      </c>
      <c r="CF61" s="1194"/>
      <c r="CG61" s="1195">
        <v>4216</v>
      </c>
      <c r="CH61" s="1194"/>
      <c r="CI61" s="1195">
        <v>4225</v>
      </c>
      <c r="CJ61" s="1194"/>
      <c r="CK61" s="1195">
        <v>4150</v>
      </c>
      <c r="CL61" s="1194"/>
      <c r="CM61" s="1195">
        <v>4062</v>
      </c>
      <c r="CN61" s="1194"/>
      <c r="CO61" s="1195">
        <v>3963</v>
      </c>
      <c r="CP61" s="1194"/>
      <c r="CQ61" s="1195">
        <v>3832</v>
      </c>
      <c r="CR61" s="1194"/>
      <c r="CS61" s="1195">
        <v>3631</v>
      </c>
      <c r="CT61" s="1194"/>
      <c r="CU61" s="1195">
        <v>0</v>
      </c>
      <c r="CV61" s="1194"/>
      <c r="CW61" s="1195">
        <v>0</v>
      </c>
      <c r="CX61" s="1194"/>
      <c r="CY61" s="1195">
        <v>0</v>
      </c>
      <c r="CZ61" s="1194"/>
      <c r="DA61" s="1195">
        <v>0</v>
      </c>
      <c r="DB61" s="1194"/>
      <c r="DC61" s="1195">
        <v>0</v>
      </c>
      <c r="DD61" s="1194"/>
      <c r="DE61" s="1196">
        <v>0</v>
      </c>
      <c r="DF61" s="559"/>
      <c r="DG61" s="1189" t="s">
        <v>664</v>
      </c>
      <c r="DH61" s="1190"/>
      <c r="DI61" s="1190"/>
      <c r="DJ61" s="1190"/>
      <c r="DK61" s="1190"/>
      <c r="DL61" s="1191"/>
      <c r="DM61" s="1192"/>
      <c r="DN61" s="1193">
        <v>0</v>
      </c>
      <c r="DO61" s="1194"/>
      <c r="DP61" s="1195">
        <v>0</v>
      </c>
      <c r="DQ61" s="1194"/>
      <c r="DR61" s="1195">
        <v>0</v>
      </c>
      <c r="DS61" s="1194"/>
      <c r="DT61" s="1195">
        <v>0</v>
      </c>
      <c r="DU61" s="1194"/>
      <c r="DV61" s="1195">
        <v>0</v>
      </c>
      <c r="DW61" s="1194"/>
      <c r="DX61" s="1195">
        <v>0</v>
      </c>
      <c r="DY61" s="1194"/>
      <c r="DZ61" s="1195">
        <v>0</v>
      </c>
      <c r="EA61" s="1194"/>
      <c r="EB61" s="1195">
        <v>0</v>
      </c>
      <c r="EC61" s="1194"/>
      <c r="ED61" s="1195">
        <v>3797</v>
      </c>
      <c r="EE61" s="1194"/>
      <c r="EF61" s="1195">
        <v>3380</v>
      </c>
      <c r="EG61" s="1194"/>
      <c r="EH61" s="1195">
        <v>3487</v>
      </c>
      <c r="EI61" s="1194"/>
      <c r="EJ61" s="1195">
        <v>3554</v>
      </c>
      <c r="EK61" s="1194"/>
      <c r="EL61" s="1195">
        <v>3533</v>
      </c>
      <c r="EM61" s="1194"/>
      <c r="EN61" s="1195">
        <v>3465</v>
      </c>
      <c r="EO61" s="1194"/>
      <c r="EP61" s="1195">
        <v>3384</v>
      </c>
      <c r="EQ61" s="1194"/>
      <c r="ER61" s="1195">
        <v>3297</v>
      </c>
      <c r="ES61" s="1194"/>
      <c r="ET61" s="1195">
        <v>3101</v>
      </c>
      <c r="EU61" s="1194"/>
      <c r="EV61" s="1195">
        <v>2954</v>
      </c>
      <c r="EW61" s="1194"/>
      <c r="EX61" s="1195">
        <v>0</v>
      </c>
      <c r="EY61" s="1194"/>
      <c r="EZ61" s="1195">
        <v>0</v>
      </c>
      <c r="FA61" s="1194"/>
      <c r="FB61" s="1195">
        <v>0</v>
      </c>
      <c r="FC61" s="1194"/>
      <c r="FD61" s="1195">
        <v>0</v>
      </c>
      <c r="FE61" s="1194"/>
      <c r="FF61" s="1195">
        <v>0</v>
      </c>
      <c r="FG61" s="1194"/>
      <c r="FH61" s="1196">
        <v>0</v>
      </c>
      <c r="FI61" s="560"/>
      <c r="FJ61" s="1189" t="s">
        <v>664</v>
      </c>
      <c r="FK61" s="1190"/>
      <c r="FL61" s="1190"/>
      <c r="FM61" s="1190"/>
      <c r="FN61" s="1190"/>
      <c r="FO61" s="1190"/>
      <c r="FP61" s="1197"/>
      <c r="FQ61" s="1198"/>
      <c r="FR61" s="1199">
        <v>6837</v>
      </c>
      <c r="FS61" s="1200"/>
      <c r="FT61" s="1198"/>
      <c r="FU61" s="1201">
        <v>6764</v>
      </c>
      <c r="FV61" s="1260" t="s">
        <v>663</v>
      </c>
      <c r="FW61" s="1261"/>
      <c r="FX61" s="1262" t="s">
        <v>663</v>
      </c>
      <c r="FY61" s="1261"/>
      <c r="FZ61" s="1262" t="s">
        <v>663</v>
      </c>
      <c r="GA61" s="1261"/>
      <c r="GB61" s="1262" t="s">
        <v>663</v>
      </c>
      <c r="GC61" s="1261"/>
      <c r="GD61" s="1262" t="s">
        <v>663</v>
      </c>
      <c r="GE61" s="1264"/>
      <c r="GF61" s="681"/>
      <c r="GG61" s="480"/>
      <c r="GH61" s="480"/>
      <c r="GI61" s="480"/>
      <c r="GJ61" s="480"/>
      <c r="GK61" s="483"/>
      <c r="GL61" s="1113">
        <v>18</v>
      </c>
      <c r="GM61" s="1202">
        <v>9</v>
      </c>
      <c r="GN61" s="1091">
        <v>0.47</v>
      </c>
      <c r="GO61" s="1092">
        <v>3.2</v>
      </c>
      <c r="GP61" s="1092">
        <v>10</v>
      </c>
      <c r="GQ61" s="1093">
        <v>13.2</v>
      </c>
      <c r="GR61" s="480"/>
      <c r="GS61" s="577"/>
      <c r="GT61" s="1255"/>
      <c r="GU61" s="682"/>
      <c r="GV61" s="682"/>
      <c r="GW61" s="682"/>
      <c r="GX61" s="682"/>
      <c r="GY61" s="576"/>
      <c r="GZ61" s="497"/>
      <c r="HA61" s="576"/>
      <c r="HB61" s="497"/>
    </row>
    <row r="62" spans="1:212" ht="20.100000000000001" customHeight="1" thickBot="1">
      <c r="A62" s="1204"/>
      <c r="B62" s="1204"/>
      <c r="C62" s="1204"/>
      <c r="D62" s="1204"/>
      <c r="E62" s="1204"/>
      <c r="F62" s="1204"/>
      <c r="G62" s="1204"/>
      <c r="H62" s="1204"/>
      <c r="I62" s="1204"/>
      <c r="J62" s="1204"/>
      <c r="K62" s="1204"/>
      <c r="L62" s="1204"/>
      <c r="M62" s="1204"/>
      <c r="N62" s="1204"/>
      <c r="O62" s="1204"/>
      <c r="P62" s="1204"/>
      <c r="Q62" s="1204"/>
      <c r="R62" s="1204"/>
      <c r="S62" s="1204"/>
      <c r="T62" s="1204"/>
      <c r="U62" s="1204"/>
      <c r="V62" s="1204"/>
      <c r="W62" s="1204"/>
      <c r="X62" s="1204"/>
      <c r="Y62" s="1204"/>
      <c r="Z62" s="1204"/>
      <c r="AA62" s="1204"/>
      <c r="AB62" s="1204"/>
      <c r="AC62" s="1204"/>
      <c r="AD62" s="1204"/>
      <c r="AE62" s="1204"/>
      <c r="AF62" s="1204"/>
      <c r="AG62" s="1204"/>
      <c r="AH62" s="1204"/>
      <c r="AI62" s="1204"/>
      <c r="AJ62" s="1204"/>
      <c r="AK62" s="1204"/>
      <c r="AL62" s="1204"/>
      <c r="AM62" s="1204"/>
      <c r="AN62" s="1204"/>
      <c r="AO62" s="1204"/>
      <c r="AP62" s="1204"/>
      <c r="AQ62" s="1204"/>
      <c r="AR62" s="1204"/>
      <c r="AS62" s="1204"/>
      <c r="AT62" s="1204"/>
      <c r="AU62" s="1204"/>
      <c r="AV62" s="1204"/>
      <c r="AW62" s="1204"/>
      <c r="AX62" s="1204"/>
      <c r="AY62" s="1204"/>
      <c r="AZ62" s="1204"/>
      <c r="BA62" s="1204"/>
      <c r="BB62" s="1204"/>
      <c r="BC62" s="390"/>
      <c r="BD62" s="1204"/>
      <c r="BE62" s="1204"/>
      <c r="BF62" s="1204"/>
      <c r="BG62" s="1204"/>
      <c r="BH62" s="1204"/>
      <c r="BI62" s="1204"/>
      <c r="BJ62" s="1204"/>
      <c r="BK62" s="1204"/>
      <c r="BL62" s="1204"/>
      <c r="BM62" s="1204"/>
      <c r="BN62" s="1204"/>
      <c r="BO62" s="1204"/>
      <c r="BP62" s="1204"/>
      <c r="BQ62" s="1204"/>
      <c r="BR62" s="1204"/>
      <c r="BS62" s="1204"/>
      <c r="BT62" s="1204"/>
      <c r="BU62" s="1204"/>
      <c r="BV62" s="1204"/>
      <c r="BW62" s="1204"/>
      <c r="BX62" s="1204"/>
      <c r="BY62" s="1204"/>
      <c r="BZ62" s="1204"/>
      <c r="CA62" s="1204"/>
      <c r="CB62" s="1204"/>
      <c r="CC62" s="1204"/>
      <c r="CD62" s="1204"/>
      <c r="CE62" s="1204"/>
      <c r="CF62" s="1204"/>
      <c r="CG62" s="1204"/>
      <c r="CH62" s="1204"/>
      <c r="CI62" s="1204"/>
      <c r="CJ62" s="1204"/>
      <c r="CK62" s="1204"/>
      <c r="CL62" s="1204"/>
      <c r="CM62" s="1204"/>
      <c r="CN62" s="1204"/>
      <c r="CO62" s="1204"/>
      <c r="CP62" s="1204"/>
      <c r="CQ62" s="1204"/>
      <c r="CR62" s="1204"/>
      <c r="CS62" s="1204"/>
      <c r="CT62" s="1204"/>
      <c r="CU62" s="1204"/>
      <c r="CV62" s="1204"/>
      <c r="CW62" s="1204"/>
      <c r="CX62" s="1204"/>
      <c r="CY62" s="1204"/>
      <c r="CZ62" s="1204"/>
      <c r="DA62" s="1204"/>
      <c r="DB62" s="1204"/>
      <c r="DC62" s="1204"/>
      <c r="DD62" s="1204"/>
      <c r="DE62" s="1204"/>
      <c r="DF62" s="390"/>
      <c r="DG62" s="1204"/>
      <c r="DH62" s="1204"/>
      <c r="DI62" s="1204"/>
      <c r="DJ62" s="1204"/>
      <c r="DK62" s="1204"/>
      <c r="DL62" s="1204"/>
      <c r="DM62" s="1204"/>
      <c r="DN62" s="1204"/>
      <c r="DO62" s="1204"/>
      <c r="DP62" s="1204"/>
      <c r="DQ62" s="1204"/>
      <c r="DR62" s="1204"/>
      <c r="DS62" s="1204"/>
      <c r="DT62" s="1204"/>
      <c r="DU62" s="1204"/>
      <c r="DV62" s="1204"/>
      <c r="DW62" s="1204"/>
      <c r="DX62" s="1204"/>
      <c r="DY62" s="1204"/>
      <c r="DZ62" s="1204"/>
      <c r="EA62" s="1204"/>
      <c r="EB62" s="1204"/>
      <c r="EC62" s="1204"/>
      <c r="ED62" s="1204"/>
      <c r="EE62" s="1204"/>
      <c r="EF62" s="1204"/>
      <c r="EG62" s="1204"/>
      <c r="EH62" s="1204"/>
      <c r="EI62" s="1204"/>
      <c r="EJ62" s="1204"/>
      <c r="EK62" s="1204"/>
      <c r="EL62" s="1204"/>
      <c r="EM62" s="1204"/>
      <c r="EN62" s="1204"/>
      <c r="EO62" s="1204"/>
      <c r="EP62" s="1204"/>
      <c r="EQ62" s="1204"/>
      <c r="ER62" s="1204"/>
      <c r="ES62" s="1204"/>
      <c r="ET62" s="1204"/>
      <c r="EU62" s="1204"/>
      <c r="EV62" s="1204"/>
      <c r="EW62" s="1204"/>
      <c r="EX62" s="1204"/>
      <c r="EY62" s="1204"/>
      <c r="EZ62" s="1204"/>
      <c r="FA62" s="1204"/>
      <c r="FB62" s="1204"/>
      <c r="FC62" s="1204"/>
      <c r="FD62" s="1204"/>
      <c r="FE62" s="1204"/>
      <c r="FF62" s="1204"/>
      <c r="FG62" s="1204"/>
      <c r="FH62" s="1204"/>
      <c r="FI62" s="390"/>
      <c r="FJ62" s="1204"/>
      <c r="FK62" s="1204"/>
      <c r="FL62" s="1204"/>
      <c r="FM62" s="1204"/>
      <c r="FN62" s="1204"/>
      <c r="FO62" s="1204"/>
      <c r="FP62" s="1204"/>
      <c r="FQ62" s="1204"/>
      <c r="FR62" s="1204"/>
      <c r="FS62" s="1204"/>
      <c r="FT62" s="1204"/>
      <c r="FU62" s="1204"/>
      <c r="FV62" s="1204"/>
      <c r="FW62" s="1204"/>
      <c r="FX62" s="1204"/>
      <c r="FY62" s="1204"/>
      <c r="FZ62" s="1204"/>
      <c r="GA62" s="1204"/>
      <c r="GB62" s="1204"/>
      <c r="GC62" s="1204"/>
      <c r="GD62" s="1204"/>
      <c r="GE62" s="1205"/>
      <c r="GF62" s="681"/>
      <c r="GG62" s="652"/>
      <c r="GH62" s="652"/>
      <c r="GI62" s="652"/>
      <c r="GJ62" s="577"/>
      <c r="GK62" s="483"/>
      <c r="GL62" s="480"/>
      <c r="GM62" s="483"/>
      <c r="GN62" s="480"/>
      <c r="GO62" s="483"/>
      <c r="GP62" s="483"/>
      <c r="GQ62" s="483"/>
      <c r="GR62" s="480"/>
      <c r="GS62" s="527"/>
      <c r="GT62" s="576"/>
      <c r="GU62" s="682"/>
      <c r="GV62" s="682"/>
      <c r="GW62" s="682"/>
      <c r="GX62" s="682"/>
      <c r="GY62" s="576"/>
      <c r="GZ62" s="497"/>
      <c r="HA62" s="576"/>
      <c r="HB62" s="497"/>
      <c r="HC62" s="1027"/>
    </row>
    <row r="63" spans="1:212" ht="20.100000000000001" customHeight="1">
      <c r="A63" s="1206" t="s">
        <v>346</v>
      </c>
      <c r="B63" s="1119"/>
      <c r="C63" s="1119"/>
      <c r="D63" s="1119"/>
      <c r="E63" s="1119"/>
      <c r="F63" s="1120"/>
      <c r="G63" s="1121">
        <v>1</v>
      </c>
      <c r="H63" s="1122"/>
      <c r="I63" s="1123">
        <v>2</v>
      </c>
      <c r="J63" s="1122"/>
      <c r="K63" s="1123">
        <v>3</v>
      </c>
      <c r="L63" s="1122"/>
      <c r="M63" s="1123">
        <v>4</v>
      </c>
      <c r="N63" s="1122"/>
      <c r="O63" s="1123">
        <v>5</v>
      </c>
      <c r="P63" s="1122"/>
      <c r="Q63" s="1123">
        <v>6</v>
      </c>
      <c r="R63" s="1122"/>
      <c r="S63" s="1123">
        <v>7</v>
      </c>
      <c r="T63" s="1122"/>
      <c r="U63" s="1123">
        <v>8</v>
      </c>
      <c r="V63" s="1122"/>
      <c r="W63" s="1123">
        <v>9</v>
      </c>
      <c r="X63" s="1122"/>
      <c r="Y63" s="1123">
        <v>10</v>
      </c>
      <c r="Z63" s="1122"/>
      <c r="AA63" s="1123">
        <v>11</v>
      </c>
      <c r="AB63" s="1122"/>
      <c r="AC63" s="1123">
        <v>12</v>
      </c>
      <c r="AD63" s="1122"/>
      <c r="AE63" s="1123">
        <v>13</v>
      </c>
      <c r="AF63" s="1122"/>
      <c r="AG63" s="1123">
        <v>14</v>
      </c>
      <c r="AH63" s="1122"/>
      <c r="AI63" s="1123">
        <v>15</v>
      </c>
      <c r="AJ63" s="1122"/>
      <c r="AK63" s="1123">
        <v>16</v>
      </c>
      <c r="AL63" s="1122"/>
      <c r="AM63" s="1123">
        <v>17</v>
      </c>
      <c r="AN63" s="1122"/>
      <c r="AO63" s="1123">
        <v>18</v>
      </c>
      <c r="AP63" s="1122"/>
      <c r="AQ63" s="1123">
        <v>19</v>
      </c>
      <c r="AR63" s="1122"/>
      <c r="AS63" s="1123">
        <v>20</v>
      </c>
      <c r="AT63" s="1122"/>
      <c r="AU63" s="1123">
        <v>21</v>
      </c>
      <c r="AV63" s="1122"/>
      <c r="AW63" s="1123">
        <v>22</v>
      </c>
      <c r="AX63" s="1122"/>
      <c r="AY63" s="1123">
        <v>23</v>
      </c>
      <c r="AZ63" s="1122"/>
      <c r="BA63" s="1123">
        <v>24</v>
      </c>
      <c r="BB63" s="1124"/>
      <c r="BC63" s="1027"/>
      <c r="BD63" s="1207" t="s">
        <v>347</v>
      </c>
      <c r="BE63" s="1208"/>
      <c r="BF63" s="1208"/>
      <c r="BG63" s="1208"/>
      <c r="BH63" s="1119"/>
      <c r="BI63" s="1120"/>
      <c r="BJ63" s="1121">
        <v>1</v>
      </c>
      <c r="BK63" s="1122"/>
      <c r="BL63" s="1123">
        <v>2</v>
      </c>
      <c r="BM63" s="1122"/>
      <c r="BN63" s="1123">
        <v>3</v>
      </c>
      <c r="BO63" s="1122"/>
      <c r="BP63" s="1123">
        <v>4</v>
      </c>
      <c r="BQ63" s="1122"/>
      <c r="BR63" s="1123">
        <v>5</v>
      </c>
      <c r="BS63" s="1122"/>
      <c r="BT63" s="1123">
        <v>6</v>
      </c>
      <c r="BU63" s="1122"/>
      <c r="BV63" s="1123">
        <v>7</v>
      </c>
      <c r="BW63" s="1122"/>
      <c r="BX63" s="1123">
        <v>8</v>
      </c>
      <c r="BY63" s="1122"/>
      <c r="BZ63" s="1123">
        <v>9</v>
      </c>
      <c r="CA63" s="1122"/>
      <c r="CB63" s="1123">
        <v>10</v>
      </c>
      <c r="CC63" s="1122"/>
      <c r="CD63" s="1123">
        <v>11</v>
      </c>
      <c r="CE63" s="1122"/>
      <c r="CF63" s="1123">
        <v>12</v>
      </c>
      <c r="CG63" s="1122"/>
      <c r="CH63" s="1123">
        <v>13</v>
      </c>
      <c r="CI63" s="1122"/>
      <c r="CJ63" s="1123">
        <v>14</v>
      </c>
      <c r="CK63" s="1122"/>
      <c r="CL63" s="1123">
        <v>15</v>
      </c>
      <c r="CM63" s="1122"/>
      <c r="CN63" s="1123">
        <v>16</v>
      </c>
      <c r="CO63" s="1122"/>
      <c r="CP63" s="1123">
        <v>17</v>
      </c>
      <c r="CQ63" s="1122"/>
      <c r="CR63" s="1123">
        <v>18</v>
      </c>
      <c r="CS63" s="1122"/>
      <c r="CT63" s="1123">
        <v>19</v>
      </c>
      <c r="CU63" s="1122"/>
      <c r="CV63" s="1123">
        <v>20</v>
      </c>
      <c r="CW63" s="1122"/>
      <c r="CX63" s="1123">
        <v>21</v>
      </c>
      <c r="CY63" s="1122"/>
      <c r="CZ63" s="1123">
        <v>22</v>
      </c>
      <c r="DA63" s="1122"/>
      <c r="DB63" s="1123">
        <v>23</v>
      </c>
      <c r="DC63" s="1122"/>
      <c r="DD63" s="1123">
        <v>24</v>
      </c>
      <c r="DE63" s="1124"/>
      <c r="DF63" s="1027"/>
      <c r="DG63" s="1206" t="s">
        <v>346</v>
      </c>
      <c r="DH63" s="1119"/>
      <c r="DI63" s="1119"/>
      <c r="DJ63" s="1119"/>
      <c r="DK63" s="1119"/>
      <c r="DL63" s="1120"/>
      <c r="DM63" s="1121">
        <v>1</v>
      </c>
      <c r="DN63" s="1122"/>
      <c r="DO63" s="1123">
        <v>2</v>
      </c>
      <c r="DP63" s="1122"/>
      <c r="DQ63" s="1123">
        <v>3</v>
      </c>
      <c r="DR63" s="1122"/>
      <c r="DS63" s="1123">
        <v>4</v>
      </c>
      <c r="DT63" s="1122"/>
      <c r="DU63" s="1123">
        <v>5</v>
      </c>
      <c r="DV63" s="1122"/>
      <c r="DW63" s="1123">
        <v>6</v>
      </c>
      <c r="DX63" s="1122"/>
      <c r="DY63" s="1123">
        <v>7</v>
      </c>
      <c r="DZ63" s="1122"/>
      <c r="EA63" s="1123">
        <v>8</v>
      </c>
      <c r="EB63" s="1122"/>
      <c r="EC63" s="1123">
        <v>9</v>
      </c>
      <c r="ED63" s="1122"/>
      <c r="EE63" s="1123">
        <v>10</v>
      </c>
      <c r="EF63" s="1122"/>
      <c r="EG63" s="1123">
        <v>11</v>
      </c>
      <c r="EH63" s="1122"/>
      <c r="EI63" s="1123">
        <v>12</v>
      </c>
      <c r="EJ63" s="1122"/>
      <c r="EK63" s="1123">
        <v>13</v>
      </c>
      <c r="EL63" s="1122"/>
      <c r="EM63" s="1123">
        <v>14</v>
      </c>
      <c r="EN63" s="1122"/>
      <c r="EO63" s="1123">
        <v>15</v>
      </c>
      <c r="EP63" s="1122"/>
      <c r="EQ63" s="1123">
        <v>16</v>
      </c>
      <c r="ER63" s="1122"/>
      <c r="ES63" s="1123">
        <v>17</v>
      </c>
      <c r="ET63" s="1122"/>
      <c r="EU63" s="1123">
        <v>18</v>
      </c>
      <c r="EV63" s="1122"/>
      <c r="EW63" s="1123">
        <v>19</v>
      </c>
      <c r="EX63" s="1122"/>
      <c r="EY63" s="1123">
        <v>20</v>
      </c>
      <c r="EZ63" s="1122"/>
      <c r="FA63" s="1123">
        <v>21</v>
      </c>
      <c r="FB63" s="1122"/>
      <c r="FC63" s="1123">
        <v>22</v>
      </c>
      <c r="FD63" s="1122"/>
      <c r="FE63" s="1123">
        <v>23</v>
      </c>
      <c r="FF63" s="1122"/>
      <c r="FG63" s="1123">
        <v>24</v>
      </c>
      <c r="FH63" s="1124"/>
      <c r="FI63" s="1027"/>
      <c r="FJ63" s="1206" t="s">
        <v>346</v>
      </c>
      <c r="FK63" s="1119"/>
      <c r="FL63" s="1119"/>
      <c r="FM63" s="1119"/>
      <c r="FN63" s="1119"/>
      <c r="FO63" s="1120"/>
      <c r="FP63" s="1125" t="s">
        <v>533</v>
      </c>
      <c r="FQ63" s="1126"/>
      <c r="FR63" s="1127"/>
      <c r="FS63" s="1128" t="s">
        <v>297</v>
      </c>
      <c r="FT63" s="1129"/>
      <c r="FU63" s="1130"/>
      <c r="FV63" s="1131" t="s">
        <v>340</v>
      </c>
      <c r="FW63" s="1132"/>
      <c r="FX63" s="1133" t="s">
        <v>341</v>
      </c>
      <c r="FY63" s="1134"/>
      <c r="FZ63" s="1135" t="s">
        <v>342</v>
      </c>
      <c r="GA63" s="1136"/>
      <c r="GB63" s="1137" t="s">
        <v>343</v>
      </c>
      <c r="GC63" s="1122"/>
      <c r="GD63" s="1137" t="s">
        <v>344</v>
      </c>
      <c r="GE63" s="1124"/>
      <c r="GF63" s="681"/>
      <c r="GG63" s="599"/>
      <c r="GH63" s="599"/>
      <c r="GI63" s="599"/>
      <c r="GJ63" s="1253"/>
      <c r="GK63" s="1253"/>
      <c r="GL63" s="575"/>
      <c r="GM63" s="497"/>
      <c r="GN63" s="575"/>
      <c r="GO63" s="497"/>
      <c r="GP63" s="497"/>
      <c r="GQ63" s="497"/>
      <c r="GR63" s="575"/>
      <c r="GS63" s="527"/>
      <c r="GT63" s="576"/>
      <c r="GU63" s="575"/>
      <c r="GV63" s="497"/>
      <c r="GW63" s="575"/>
      <c r="GX63" s="497"/>
      <c r="GY63" s="497"/>
      <c r="GZ63" s="497"/>
      <c r="HA63" s="576"/>
      <c r="HB63" s="497"/>
      <c r="HC63" s="1041"/>
    </row>
    <row r="64" spans="1:212" ht="20.100000000000001" customHeight="1">
      <c r="A64" s="1209"/>
      <c r="B64" s="1140"/>
      <c r="C64" s="1140"/>
      <c r="D64" s="1140"/>
      <c r="E64" s="1140"/>
      <c r="F64" s="1141"/>
      <c r="G64" s="1142"/>
      <c r="H64" s="1143" t="s">
        <v>348</v>
      </c>
      <c r="I64" s="1144"/>
      <c r="J64" s="1143" t="s">
        <v>348</v>
      </c>
      <c r="K64" s="1144"/>
      <c r="L64" s="1143" t="s">
        <v>348</v>
      </c>
      <c r="M64" s="1144"/>
      <c r="N64" s="1143" t="s">
        <v>348</v>
      </c>
      <c r="O64" s="1144"/>
      <c r="P64" s="1143" t="s">
        <v>348</v>
      </c>
      <c r="Q64" s="1144"/>
      <c r="R64" s="1143" t="s">
        <v>348</v>
      </c>
      <c r="S64" s="1144"/>
      <c r="T64" s="1143" t="s">
        <v>348</v>
      </c>
      <c r="U64" s="1144"/>
      <c r="V64" s="1143" t="s">
        <v>348</v>
      </c>
      <c r="W64" s="1144"/>
      <c r="X64" s="1143" t="s">
        <v>348</v>
      </c>
      <c r="Y64" s="1144"/>
      <c r="Z64" s="1143" t="s">
        <v>348</v>
      </c>
      <c r="AA64" s="1144"/>
      <c r="AB64" s="1143" t="s">
        <v>348</v>
      </c>
      <c r="AC64" s="1144"/>
      <c r="AD64" s="1143" t="s">
        <v>348</v>
      </c>
      <c r="AE64" s="1144"/>
      <c r="AF64" s="1143" t="s">
        <v>348</v>
      </c>
      <c r="AG64" s="1144"/>
      <c r="AH64" s="1143" t="s">
        <v>348</v>
      </c>
      <c r="AI64" s="1144"/>
      <c r="AJ64" s="1143" t="s">
        <v>348</v>
      </c>
      <c r="AK64" s="1144"/>
      <c r="AL64" s="1143" t="s">
        <v>348</v>
      </c>
      <c r="AM64" s="1144"/>
      <c r="AN64" s="1143" t="s">
        <v>348</v>
      </c>
      <c r="AO64" s="1144"/>
      <c r="AP64" s="1143" t="s">
        <v>348</v>
      </c>
      <c r="AQ64" s="1144"/>
      <c r="AR64" s="1143" t="s">
        <v>348</v>
      </c>
      <c r="AS64" s="1144"/>
      <c r="AT64" s="1143" t="s">
        <v>348</v>
      </c>
      <c r="AU64" s="1144"/>
      <c r="AV64" s="1143" t="s">
        <v>348</v>
      </c>
      <c r="AW64" s="1144"/>
      <c r="AX64" s="1143" t="s">
        <v>348</v>
      </c>
      <c r="AY64" s="1144"/>
      <c r="AZ64" s="1143" t="s">
        <v>348</v>
      </c>
      <c r="BA64" s="1144"/>
      <c r="BB64" s="1146" t="s">
        <v>348</v>
      </c>
      <c r="BC64" s="1041"/>
      <c r="BD64" s="1210"/>
      <c r="BE64" s="1211"/>
      <c r="BF64" s="1211"/>
      <c r="BG64" s="1211"/>
      <c r="BH64" s="1140"/>
      <c r="BI64" s="1141"/>
      <c r="BJ64" s="1142"/>
      <c r="BK64" s="1143" t="s">
        <v>348</v>
      </c>
      <c r="BL64" s="1144"/>
      <c r="BM64" s="1143" t="s">
        <v>348</v>
      </c>
      <c r="BN64" s="1144"/>
      <c r="BO64" s="1143" t="s">
        <v>348</v>
      </c>
      <c r="BP64" s="1144"/>
      <c r="BQ64" s="1143" t="s">
        <v>348</v>
      </c>
      <c r="BR64" s="1144"/>
      <c r="BS64" s="1143" t="s">
        <v>348</v>
      </c>
      <c r="BT64" s="1144"/>
      <c r="BU64" s="1143" t="s">
        <v>348</v>
      </c>
      <c r="BV64" s="1144"/>
      <c r="BW64" s="1143" t="s">
        <v>348</v>
      </c>
      <c r="BX64" s="1144"/>
      <c r="BY64" s="1143" t="s">
        <v>348</v>
      </c>
      <c r="BZ64" s="1144"/>
      <c r="CA64" s="1143" t="s">
        <v>348</v>
      </c>
      <c r="CB64" s="1144"/>
      <c r="CC64" s="1143" t="s">
        <v>348</v>
      </c>
      <c r="CD64" s="1144"/>
      <c r="CE64" s="1143" t="s">
        <v>348</v>
      </c>
      <c r="CF64" s="1144"/>
      <c r="CG64" s="1143" t="s">
        <v>348</v>
      </c>
      <c r="CH64" s="1144"/>
      <c r="CI64" s="1143" t="s">
        <v>348</v>
      </c>
      <c r="CJ64" s="1144"/>
      <c r="CK64" s="1143" t="s">
        <v>348</v>
      </c>
      <c r="CL64" s="1144"/>
      <c r="CM64" s="1143" t="s">
        <v>348</v>
      </c>
      <c r="CN64" s="1144"/>
      <c r="CO64" s="1143" t="s">
        <v>348</v>
      </c>
      <c r="CP64" s="1144"/>
      <c r="CQ64" s="1143" t="s">
        <v>348</v>
      </c>
      <c r="CR64" s="1144"/>
      <c r="CS64" s="1143" t="s">
        <v>348</v>
      </c>
      <c r="CT64" s="1144"/>
      <c r="CU64" s="1143" t="s">
        <v>348</v>
      </c>
      <c r="CV64" s="1144"/>
      <c r="CW64" s="1143" t="s">
        <v>348</v>
      </c>
      <c r="CX64" s="1144"/>
      <c r="CY64" s="1143" t="s">
        <v>348</v>
      </c>
      <c r="CZ64" s="1144"/>
      <c r="DA64" s="1143" t="s">
        <v>348</v>
      </c>
      <c r="DB64" s="1144"/>
      <c r="DC64" s="1143" t="s">
        <v>348</v>
      </c>
      <c r="DD64" s="1144"/>
      <c r="DE64" s="1146" t="s">
        <v>348</v>
      </c>
      <c r="DF64" s="1041"/>
      <c r="DG64" s="1209"/>
      <c r="DH64" s="1140"/>
      <c r="DI64" s="1140"/>
      <c r="DJ64" s="1140"/>
      <c r="DK64" s="1140"/>
      <c r="DL64" s="1141"/>
      <c r="DM64" s="1142"/>
      <c r="DN64" s="1143" t="s">
        <v>348</v>
      </c>
      <c r="DO64" s="1144"/>
      <c r="DP64" s="1143" t="s">
        <v>348</v>
      </c>
      <c r="DQ64" s="1144"/>
      <c r="DR64" s="1143" t="s">
        <v>348</v>
      </c>
      <c r="DS64" s="1144"/>
      <c r="DT64" s="1143" t="s">
        <v>348</v>
      </c>
      <c r="DU64" s="1144"/>
      <c r="DV64" s="1143" t="s">
        <v>348</v>
      </c>
      <c r="DW64" s="1144"/>
      <c r="DX64" s="1143" t="s">
        <v>348</v>
      </c>
      <c r="DY64" s="1144"/>
      <c r="DZ64" s="1143" t="s">
        <v>348</v>
      </c>
      <c r="EA64" s="1144"/>
      <c r="EB64" s="1143" t="s">
        <v>348</v>
      </c>
      <c r="EC64" s="1144"/>
      <c r="ED64" s="1143" t="s">
        <v>348</v>
      </c>
      <c r="EE64" s="1144"/>
      <c r="EF64" s="1143" t="s">
        <v>348</v>
      </c>
      <c r="EG64" s="1144"/>
      <c r="EH64" s="1143" t="s">
        <v>348</v>
      </c>
      <c r="EI64" s="1144"/>
      <c r="EJ64" s="1143" t="s">
        <v>348</v>
      </c>
      <c r="EK64" s="1144"/>
      <c r="EL64" s="1143" t="s">
        <v>348</v>
      </c>
      <c r="EM64" s="1144"/>
      <c r="EN64" s="1143" t="s">
        <v>348</v>
      </c>
      <c r="EO64" s="1144"/>
      <c r="EP64" s="1143" t="s">
        <v>348</v>
      </c>
      <c r="EQ64" s="1144"/>
      <c r="ER64" s="1143" t="s">
        <v>348</v>
      </c>
      <c r="ES64" s="1144"/>
      <c r="ET64" s="1143" t="s">
        <v>348</v>
      </c>
      <c r="EU64" s="1144"/>
      <c r="EV64" s="1143" t="s">
        <v>348</v>
      </c>
      <c r="EW64" s="1144"/>
      <c r="EX64" s="1143" t="s">
        <v>348</v>
      </c>
      <c r="EY64" s="1144"/>
      <c r="EZ64" s="1143" t="s">
        <v>348</v>
      </c>
      <c r="FA64" s="1144"/>
      <c r="FB64" s="1143" t="s">
        <v>348</v>
      </c>
      <c r="FC64" s="1144"/>
      <c r="FD64" s="1143" t="s">
        <v>348</v>
      </c>
      <c r="FE64" s="1144"/>
      <c r="FF64" s="1143" t="s">
        <v>348</v>
      </c>
      <c r="FG64" s="1144"/>
      <c r="FH64" s="1146" t="s">
        <v>348</v>
      </c>
      <c r="FI64" s="1041"/>
      <c r="FJ64" s="1209"/>
      <c r="FK64" s="1140"/>
      <c r="FL64" s="1140"/>
      <c r="FM64" s="1140"/>
      <c r="FN64" s="1140"/>
      <c r="FO64" s="1141"/>
      <c r="FP64" s="1147" t="s">
        <v>45</v>
      </c>
      <c r="FQ64" s="1145" t="s">
        <v>349</v>
      </c>
      <c r="FR64" s="1143" t="s">
        <v>348</v>
      </c>
      <c r="FS64" s="1148" t="s">
        <v>45</v>
      </c>
      <c r="FT64" s="1145" t="s">
        <v>349</v>
      </c>
      <c r="FU64" s="1149" t="s">
        <v>348</v>
      </c>
      <c r="FV64" s="1150" t="s">
        <v>45</v>
      </c>
      <c r="FW64" s="1143" t="s">
        <v>348</v>
      </c>
      <c r="FX64" s="1148" t="s">
        <v>45</v>
      </c>
      <c r="FY64" s="1143" t="s">
        <v>348</v>
      </c>
      <c r="FZ64" s="1148" t="s">
        <v>45</v>
      </c>
      <c r="GA64" s="1143" t="s">
        <v>348</v>
      </c>
      <c r="GB64" s="1148" t="s">
        <v>45</v>
      </c>
      <c r="GC64" s="1143" t="s">
        <v>348</v>
      </c>
      <c r="GD64" s="1148" t="s">
        <v>45</v>
      </c>
      <c r="GE64" s="1146" t="s">
        <v>348</v>
      </c>
      <c r="GF64" s="681"/>
      <c r="GG64" s="1182"/>
      <c r="GH64" s="1182"/>
      <c r="GI64" s="1182"/>
      <c r="GJ64" s="497"/>
      <c r="GK64" s="497"/>
      <c r="GL64" s="575"/>
      <c r="GM64" s="497"/>
      <c r="GN64" s="575"/>
      <c r="GO64" s="497"/>
      <c r="GP64" s="497"/>
      <c r="GQ64" s="497"/>
      <c r="GR64" s="575"/>
      <c r="GS64" s="410"/>
      <c r="GT64" s="1255"/>
      <c r="GU64" s="575"/>
      <c r="GV64" s="497"/>
      <c r="GW64" s="575"/>
      <c r="GX64" s="497"/>
      <c r="GY64" s="497"/>
      <c r="GZ64" s="576"/>
      <c r="HA64" s="576"/>
      <c r="HB64" s="576"/>
      <c r="HC64" s="559"/>
    </row>
    <row r="65" spans="1:211" ht="20.100000000000001" customHeight="1">
      <c r="A65" s="1151"/>
      <c r="B65" s="1152"/>
      <c r="C65" s="1152"/>
      <c r="D65" s="1212"/>
      <c r="E65" s="1213"/>
      <c r="F65" s="1214"/>
      <c r="G65" s="1215"/>
      <c r="H65" s="1156"/>
      <c r="I65" s="1216"/>
      <c r="J65" s="1217"/>
      <c r="K65" s="1218"/>
      <c r="L65" s="1217"/>
      <c r="M65" s="1218"/>
      <c r="N65" s="1217"/>
      <c r="O65" s="1218"/>
      <c r="P65" s="1217"/>
      <c r="Q65" s="1218"/>
      <c r="R65" s="1217"/>
      <c r="S65" s="1218"/>
      <c r="T65" s="1217"/>
      <c r="U65" s="1218"/>
      <c r="V65" s="1217"/>
      <c r="W65" s="1218"/>
      <c r="X65" s="1217">
        <v>0</v>
      </c>
      <c r="Y65" s="1218"/>
      <c r="Z65" s="1217">
        <v>0</v>
      </c>
      <c r="AA65" s="1218"/>
      <c r="AB65" s="1217">
        <v>0</v>
      </c>
      <c r="AC65" s="1218"/>
      <c r="AD65" s="1217">
        <v>0</v>
      </c>
      <c r="AE65" s="1218"/>
      <c r="AF65" s="1217">
        <v>0</v>
      </c>
      <c r="AG65" s="1218"/>
      <c r="AH65" s="1217">
        <v>0</v>
      </c>
      <c r="AI65" s="1218"/>
      <c r="AJ65" s="1217">
        <v>0</v>
      </c>
      <c r="AK65" s="1218"/>
      <c r="AL65" s="1217">
        <v>0</v>
      </c>
      <c r="AM65" s="1218"/>
      <c r="AN65" s="1217">
        <v>0</v>
      </c>
      <c r="AO65" s="1218"/>
      <c r="AP65" s="1217">
        <v>0</v>
      </c>
      <c r="AQ65" s="1218"/>
      <c r="AR65" s="1217"/>
      <c r="AS65" s="1218"/>
      <c r="AT65" s="1217"/>
      <c r="AU65" s="1218"/>
      <c r="AV65" s="1217"/>
      <c r="AW65" s="1218"/>
      <c r="AX65" s="1217"/>
      <c r="AY65" s="1218"/>
      <c r="AZ65" s="1217"/>
      <c r="BA65" s="1218"/>
      <c r="BB65" s="558"/>
      <c r="BC65" s="560"/>
      <c r="BD65" s="1151"/>
      <c r="BE65" s="1152"/>
      <c r="BF65" s="1152"/>
      <c r="BG65" s="1212"/>
      <c r="BH65" s="1213"/>
      <c r="BI65" s="1214"/>
      <c r="BJ65" s="1215"/>
      <c r="BK65" s="1156"/>
      <c r="BL65" s="1216"/>
      <c r="BM65" s="1217"/>
      <c r="BN65" s="1218"/>
      <c r="BO65" s="1217"/>
      <c r="BP65" s="1218"/>
      <c r="BQ65" s="1217"/>
      <c r="BR65" s="1218"/>
      <c r="BS65" s="1217"/>
      <c r="BT65" s="1218"/>
      <c r="BU65" s="1217"/>
      <c r="BV65" s="1218"/>
      <c r="BW65" s="1217"/>
      <c r="BX65" s="1218"/>
      <c r="BY65" s="1217"/>
      <c r="BZ65" s="1218"/>
      <c r="CA65" s="1217">
        <v>0</v>
      </c>
      <c r="CB65" s="1218"/>
      <c r="CC65" s="1217">
        <v>0</v>
      </c>
      <c r="CD65" s="1218"/>
      <c r="CE65" s="1217">
        <v>0</v>
      </c>
      <c r="CF65" s="1218"/>
      <c r="CG65" s="1217">
        <v>0</v>
      </c>
      <c r="CH65" s="1218"/>
      <c r="CI65" s="1217">
        <v>0</v>
      </c>
      <c r="CJ65" s="1218"/>
      <c r="CK65" s="1217">
        <v>0</v>
      </c>
      <c r="CL65" s="1218"/>
      <c r="CM65" s="1217">
        <v>0</v>
      </c>
      <c r="CN65" s="1218"/>
      <c r="CO65" s="1217">
        <v>0</v>
      </c>
      <c r="CP65" s="1218"/>
      <c r="CQ65" s="1217">
        <v>0</v>
      </c>
      <c r="CR65" s="1218"/>
      <c r="CS65" s="1217">
        <v>0</v>
      </c>
      <c r="CT65" s="1218"/>
      <c r="CU65" s="1217"/>
      <c r="CV65" s="1218"/>
      <c r="CW65" s="1217"/>
      <c r="CX65" s="1218"/>
      <c r="CY65" s="1217"/>
      <c r="CZ65" s="1218"/>
      <c r="DA65" s="1217"/>
      <c r="DB65" s="1218"/>
      <c r="DC65" s="1217"/>
      <c r="DD65" s="1218"/>
      <c r="DE65" s="558"/>
      <c r="DF65" s="559"/>
      <c r="DG65" s="1151"/>
      <c r="DH65" s="1152"/>
      <c r="DI65" s="1152"/>
      <c r="DJ65" s="1212"/>
      <c r="DK65" s="1213"/>
      <c r="DL65" s="1214"/>
      <c r="DM65" s="1215"/>
      <c r="DN65" s="1156"/>
      <c r="DO65" s="1216"/>
      <c r="DP65" s="1217"/>
      <c r="DQ65" s="1218"/>
      <c r="DR65" s="1217"/>
      <c r="DS65" s="1218"/>
      <c r="DT65" s="1217"/>
      <c r="DU65" s="1218"/>
      <c r="DV65" s="1217"/>
      <c r="DW65" s="1218"/>
      <c r="DX65" s="1217"/>
      <c r="DY65" s="1218"/>
      <c r="DZ65" s="1217"/>
      <c r="EA65" s="1218"/>
      <c r="EB65" s="1217"/>
      <c r="EC65" s="1218"/>
      <c r="ED65" s="1217">
        <v>0</v>
      </c>
      <c r="EE65" s="1218"/>
      <c r="EF65" s="1217">
        <v>0</v>
      </c>
      <c r="EG65" s="1218"/>
      <c r="EH65" s="1217">
        <v>0</v>
      </c>
      <c r="EI65" s="1218"/>
      <c r="EJ65" s="1217">
        <v>0</v>
      </c>
      <c r="EK65" s="1218"/>
      <c r="EL65" s="1217">
        <v>0</v>
      </c>
      <c r="EM65" s="1218"/>
      <c r="EN65" s="1217">
        <v>0</v>
      </c>
      <c r="EO65" s="1218"/>
      <c r="EP65" s="1217">
        <v>0</v>
      </c>
      <c r="EQ65" s="1218"/>
      <c r="ER65" s="1217">
        <v>0</v>
      </c>
      <c r="ES65" s="1218"/>
      <c r="ET65" s="1217">
        <v>0</v>
      </c>
      <c r="EU65" s="1218"/>
      <c r="EV65" s="1217">
        <v>0</v>
      </c>
      <c r="EW65" s="1218"/>
      <c r="EX65" s="1217"/>
      <c r="EY65" s="1218"/>
      <c r="EZ65" s="1217"/>
      <c r="FA65" s="1218"/>
      <c r="FB65" s="1217"/>
      <c r="FC65" s="1218"/>
      <c r="FD65" s="1217"/>
      <c r="FE65" s="1218"/>
      <c r="FF65" s="1217"/>
      <c r="FG65" s="1218"/>
      <c r="FH65" s="558"/>
      <c r="FI65" s="560"/>
      <c r="FJ65" s="1151"/>
      <c r="FK65" s="1152"/>
      <c r="FL65" s="1219"/>
      <c r="FM65" s="1219"/>
      <c r="FN65" s="1219"/>
      <c r="FO65" s="1214"/>
      <c r="FP65" s="1158"/>
      <c r="FQ65" s="1216"/>
      <c r="FR65" s="1156">
        <v>0</v>
      </c>
      <c r="FS65" s="1220"/>
      <c r="FT65" s="1216"/>
      <c r="FU65" s="1161">
        <v>0</v>
      </c>
      <c r="FV65" s="1220"/>
      <c r="FW65" s="1221">
        <v>0</v>
      </c>
      <c r="FX65" s="1160"/>
      <c r="FY65" s="1221">
        <v>0</v>
      </c>
      <c r="FZ65" s="1160"/>
      <c r="GA65" s="1221">
        <v>0</v>
      </c>
      <c r="GB65" s="1160"/>
      <c r="GC65" s="1221">
        <v>0</v>
      </c>
      <c r="GD65" s="1222"/>
      <c r="GE65" s="1223"/>
      <c r="GF65" s="681"/>
      <c r="GG65" s="599"/>
      <c r="GH65" s="599"/>
      <c r="GI65" s="599"/>
      <c r="GJ65" s="392"/>
      <c r="GK65" s="526"/>
      <c r="GL65" s="526"/>
      <c r="GM65" s="526"/>
      <c r="GN65" s="526"/>
      <c r="GO65" s="526"/>
      <c r="GP65" s="526"/>
      <c r="GQ65" s="526"/>
      <c r="GR65" s="526"/>
      <c r="GS65" s="410"/>
      <c r="GT65" s="1255"/>
      <c r="GU65" s="497"/>
      <c r="GV65" s="497"/>
      <c r="GW65" s="497"/>
      <c r="GX65" s="497"/>
      <c r="GY65" s="497"/>
      <c r="GZ65" s="576"/>
      <c r="HA65" s="576"/>
      <c r="HB65" s="576"/>
      <c r="HC65" s="559"/>
    </row>
    <row r="66" spans="1:211" ht="20.100000000000001" customHeight="1">
      <c r="A66" s="1189"/>
      <c r="B66" s="1190"/>
      <c r="C66" s="1190"/>
      <c r="D66" s="1190"/>
      <c r="E66" s="1190"/>
      <c r="F66" s="1191"/>
      <c r="G66" s="1224"/>
      <c r="H66" s="1225"/>
      <c r="I66" s="1198"/>
      <c r="J66" s="1226"/>
      <c r="K66" s="1227"/>
      <c r="L66" s="1226"/>
      <c r="M66" s="1227"/>
      <c r="N66" s="1226"/>
      <c r="O66" s="1227"/>
      <c r="P66" s="1226"/>
      <c r="Q66" s="1227"/>
      <c r="R66" s="1226"/>
      <c r="S66" s="1227"/>
      <c r="T66" s="1226"/>
      <c r="U66" s="1227"/>
      <c r="V66" s="1226"/>
      <c r="W66" s="1227"/>
      <c r="X66" s="1226"/>
      <c r="Y66" s="1227"/>
      <c r="Z66" s="1226"/>
      <c r="AA66" s="1227"/>
      <c r="AB66" s="1226"/>
      <c r="AC66" s="1227"/>
      <c r="AD66" s="1226"/>
      <c r="AE66" s="1227"/>
      <c r="AF66" s="1226"/>
      <c r="AG66" s="1227"/>
      <c r="AH66" s="1226"/>
      <c r="AI66" s="1227"/>
      <c r="AJ66" s="1226"/>
      <c r="AK66" s="1227"/>
      <c r="AL66" s="1226"/>
      <c r="AM66" s="1227"/>
      <c r="AN66" s="1226"/>
      <c r="AO66" s="1227"/>
      <c r="AP66" s="1226"/>
      <c r="AQ66" s="1227"/>
      <c r="AR66" s="1226"/>
      <c r="AS66" s="1227"/>
      <c r="AT66" s="1226"/>
      <c r="AU66" s="1227"/>
      <c r="AV66" s="1226"/>
      <c r="AW66" s="1227"/>
      <c r="AX66" s="1226"/>
      <c r="AY66" s="1227"/>
      <c r="AZ66" s="1226"/>
      <c r="BA66" s="1227"/>
      <c r="BB66" s="1228"/>
      <c r="BC66" s="560"/>
      <c r="BD66" s="1189"/>
      <c r="BE66" s="1190"/>
      <c r="BF66" s="1190"/>
      <c r="BG66" s="1190"/>
      <c r="BH66" s="1190"/>
      <c r="BI66" s="1191"/>
      <c r="BJ66" s="1224"/>
      <c r="BK66" s="1225"/>
      <c r="BL66" s="1198"/>
      <c r="BM66" s="1226"/>
      <c r="BN66" s="1227"/>
      <c r="BO66" s="1226"/>
      <c r="BP66" s="1227"/>
      <c r="BQ66" s="1226"/>
      <c r="BR66" s="1227"/>
      <c r="BS66" s="1226"/>
      <c r="BT66" s="1227"/>
      <c r="BU66" s="1226"/>
      <c r="BV66" s="1227"/>
      <c r="BW66" s="1226"/>
      <c r="BX66" s="1227"/>
      <c r="BY66" s="1226"/>
      <c r="BZ66" s="1227"/>
      <c r="CA66" s="1226"/>
      <c r="CB66" s="1227"/>
      <c r="CC66" s="1226"/>
      <c r="CD66" s="1227"/>
      <c r="CE66" s="1226"/>
      <c r="CF66" s="1227"/>
      <c r="CG66" s="1226"/>
      <c r="CH66" s="1227"/>
      <c r="CI66" s="1226"/>
      <c r="CJ66" s="1227"/>
      <c r="CK66" s="1226"/>
      <c r="CL66" s="1227"/>
      <c r="CM66" s="1226"/>
      <c r="CN66" s="1227"/>
      <c r="CO66" s="1226"/>
      <c r="CP66" s="1227"/>
      <c r="CQ66" s="1226"/>
      <c r="CR66" s="1227"/>
      <c r="CS66" s="1226"/>
      <c r="CT66" s="1227"/>
      <c r="CU66" s="1226"/>
      <c r="CV66" s="1227"/>
      <c r="CW66" s="1226"/>
      <c r="CX66" s="1227"/>
      <c r="CY66" s="1226"/>
      <c r="CZ66" s="1227"/>
      <c r="DA66" s="1226"/>
      <c r="DB66" s="1227"/>
      <c r="DC66" s="1226"/>
      <c r="DD66" s="1227"/>
      <c r="DE66" s="1228"/>
      <c r="DF66" s="559"/>
      <c r="DG66" s="1189"/>
      <c r="DH66" s="1190"/>
      <c r="DI66" s="1190"/>
      <c r="DJ66" s="1190"/>
      <c r="DK66" s="1190"/>
      <c r="DL66" s="1191"/>
      <c r="DM66" s="1224"/>
      <c r="DN66" s="1225"/>
      <c r="DO66" s="1198"/>
      <c r="DP66" s="1226"/>
      <c r="DQ66" s="1227"/>
      <c r="DR66" s="1226"/>
      <c r="DS66" s="1227"/>
      <c r="DT66" s="1226"/>
      <c r="DU66" s="1227"/>
      <c r="DV66" s="1226"/>
      <c r="DW66" s="1227"/>
      <c r="DX66" s="1226"/>
      <c r="DY66" s="1227"/>
      <c r="DZ66" s="1226"/>
      <c r="EA66" s="1227"/>
      <c r="EB66" s="1226"/>
      <c r="EC66" s="1227"/>
      <c r="ED66" s="1226"/>
      <c r="EE66" s="1227"/>
      <c r="EF66" s="1226"/>
      <c r="EG66" s="1227"/>
      <c r="EH66" s="1226"/>
      <c r="EI66" s="1227"/>
      <c r="EJ66" s="1226"/>
      <c r="EK66" s="1227"/>
      <c r="EL66" s="1226"/>
      <c r="EM66" s="1227"/>
      <c r="EN66" s="1226"/>
      <c r="EO66" s="1227"/>
      <c r="EP66" s="1226"/>
      <c r="EQ66" s="1227"/>
      <c r="ER66" s="1226"/>
      <c r="ES66" s="1227"/>
      <c r="ET66" s="1226"/>
      <c r="EU66" s="1227"/>
      <c r="EV66" s="1226"/>
      <c r="EW66" s="1227"/>
      <c r="EX66" s="1226"/>
      <c r="EY66" s="1227"/>
      <c r="EZ66" s="1226"/>
      <c r="FA66" s="1227"/>
      <c r="FB66" s="1226"/>
      <c r="FC66" s="1227"/>
      <c r="FD66" s="1226"/>
      <c r="FE66" s="1227"/>
      <c r="FF66" s="1226"/>
      <c r="FG66" s="1227"/>
      <c r="FH66" s="1228"/>
      <c r="FI66" s="560"/>
      <c r="FJ66" s="1189" t="s">
        <v>665</v>
      </c>
      <c r="FK66" s="1190"/>
      <c r="FL66" s="1229"/>
      <c r="FM66" s="1230" t="s">
        <v>666</v>
      </c>
      <c r="FN66" s="1231"/>
      <c r="FO66" s="1191"/>
      <c r="FP66" s="1197">
        <v>9</v>
      </c>
      <c r="FQ66" s="1232">
        <v>5.2</v>
      </c>
      <c r="FR66" s="1233">
        <v>0.7</v>
      </c>
      <c r="FS66" s="1200">
        <v>9</v>
      </c>
      <c r="FT66" s="1232">
        <v>3.5</v>
      </c>
      <c r="FU66" s="1234">
        <v>0.5</v>
      </c>
      <c r="FV66" s="1235"/>
      <c r="FW66" s="1236"/>
      <c r="FX66" s="1236"/>
      <c r="FY66" s="1236"/>
      <c r="FZ66" s="1236"/>
      <c r="GA66" s="1236"/>
      <c r="GB66" s="1236"/>
      <c r="GC66" s="1237"/>
      <c r="GD66" s="1200"/>
      <c r="GE66" s="1238">
        <v>0.7</v>
      </c>
      <c r="GF66" s="681"/>
      <c r="GG66" s="392"/>
      <c r="GH66" s="392"/>
      <c r="GI66" s="392"/>
      <c r="GJ66" s="480"/>
      <c r="GK66" s="526"/>
      <c r="GL66" s="527"/>
      <c r="GM66" s="526"/>
      <c r="GN66" s="527"/>
      <c r="GO66" s="526"/>
      <c r="GP66" s="526"/>
      <c r="GQ66" s="526"/>
      <c r="GR66" s="527"/>
      <c r="GT66" s="1255"/>
      <c r="GU66" s="576"/>
      <c r="GV66" s="576"/>
      <c r="GW66" s="576"/>
      <c r="GX66" s="576"/>
      <c r="GY66" s="576"/>
      <c r="GZ66" s="497"/>
      <c r="HA66" s="497"/>
      <c r="HB66" s="497"/>
      <c r="HC66" s="407"/>
    </row>
    <row r="67" spans="1:211" ht="20.100000000000001" customHeight="1" thickBot="1">
      <c r="BC67" s="390"/>
      <c r="DF67" s="390"/>
      <c r="FI67" s="390"/>
      <c r="GD67" s="681"/>
      <c r="GE67" s="792"/>
      <c r="GF67" s="681"/>
      <c r="GG67" s="480"/>
      <c r="GH67" s="480"/>
      <c r="GI67" s="480"/>
      <c r="GJ67" s="392"/>
      <c r="GT67" s="682"/>
      <c r="GU67" s="497"/>
      <c r="GV67" s="497"/>
      <c r="GW67" s="497"/>
      <c r="GX67" s="497"/>
      <c r="GY67" s="497"/>
      <c r="GZ67" s="576"/>
      <c r="HA67" s="575"/>
      <c r="HB67" s="576"/>
      <c r="HC67" s="407"/>
    </row>
    <row r="68" spans="1:211" ht="20.100000000000001" customHeight="1">
      <c r="A68" s="1240" t="s">
        <v>350</v>
      </c>
      <c r="B68" s="1241"/>
      <c r="C68" s="1241"/>
      <c r="D68" s="1241"/>
      <c r="E68" s="814"/>
      <c r="F68" s="814"/>
      <c r="G68" s="1242" t="s">
        <v>355</v>
      </c>
      <c r="H68" s="1243"/>
      <c r="I68" s="1243"/>
      <c r="J68" s="1243"/>
      <c r="K68" s="1243"/>
      <c r="L68" s="1243"/>
      <c r="M68" s="1243"/>
      <c r="N68" s="1243"/>
      <c r="O68" s="1243"/>
      <c r="P68" s="1243"/>
      <c r="Q68" s="1243"/>
      <c r="R68" s="1243"/>
      <c r="S68" s="1243"/>
      <c r="T68" s="1243"/>
      <c r="U68" s="1243"/>
      <c r="V68" s="1243"/>
      <c r="W68" s="1243"/>
      <c r="X68" s="1243"/>
      <c r="Y68" s="1243"/>
      <c r="Z68" s="1243"/>
      <c r="AA68" s="1243"/>
      <c r="AB68" s="1243"/>
      <c r="AC68" s="1243"/>
      <c r="AD68" s="1243"/>
      <c r="AE68" s="1243"/>
      <c r="AF68" s="1243"/>
      <c r="AG68" s="1243"/>
      <c r="AH68" s="1243"/>
      <c r="AI68" s="1243"/>
      <c r="AJ68" s="1243"/>
      <c r="AK68" s="1243"/>
      <c r="AL68" s="1243"/>
      <c r="AM68" s="1243"/>
      <c r="AN68" s="1243"/>
      <c r="AO68" s="1243"/>
      <c r="AP68" s="1243"/>
      <c r="AQ68" s="1243"/>
      <c r="AR68" s="1243"/>
      <c r="AS68" s="1243"/>
      <c r="AT68" s="1243"/>
      <c r="AU68" s="1243"/>
      <c r="AV68" s="1243"/>
      <c r="AW68" s="1243"/>
      <c r="AX68" s="1243"/>
      <c r="AY68" s="1243"/>
      <c r="AZ68" s="1243"/>
      <c r="BA68" s="1243"/>
      <c r="BB68" s="1244"/>
      <c r="BC68" s="1245"/>
      <c r="BD68" s="1240" t="s">
        <v>350</v>
      </c>
      <c r="BE68" s="1241"/>
      <c r="BF68" s="1241"/>
      <c r="BG68" s="1241"/>
      <c r="BH68" s="814"/>
      <c r="BI68" s="814"/>
      <c r="BJ68" s="1246" t="str">
        <f>$G68</f>
        <v>(C)室内全熱負荷以降の外気負荷等は、熱源容量計算用の基準別、時刻別の値です。外気負荷を含めた空調機の容量の計算等は別紙「AC-2系統 空調機容量の計算」をご参照ください。</v>
      </c>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7"/>
      <c r="DD68" s="1247"/>
      <c r="DE68" s="1248"/>
      <c r="DF68" s="1245"/>
      <c r="DG68" s="1240" t="s">
        <v>350</v>
      </c>
      <c r="DH68" s="1241"/>
      <c r="DI68" s="1241"/>
      <c r="DJ68" s="1241"/>
      <c r="DK68" s="814"/>
      <c r="DL68" s="814"/>
      <c r="DM68" s="1246" t="str">
        <f>$G68</f>
        <v>(C)室内全熱負荷以降の外気負荷等は、熱源容量計算用の基準別、時刻別の値です。外気負荷を含めた空調機の容量の計算等は別紙「AC-2系統 空調機容量の計算」をご参照ください。</v>
      </c>
      <c r="DN68" s="1247"/>
      <c r="DO68" s="1247"/>
      <c r="DP68" s="1247"/>
      <c r="DQ68" s="1247"/>
      <c r="DR68" s="1247"/>
      <c r="DS68" s="1247"/>
      <c r="DT68" s="1247"/>
      <c r="DU68" s="1247"/>
      <c r="DV68" s="1247"/>
      <c r="DW68" s="1247"/>
      <c r="DX68" s="1247"/>
      <c r="DY68" s="1247"/>
      <c r="DZ68" s="1247"/>
      <c r="EA68" s="1247"/>
      <c r="EB68" s="1247"/>
      <c r="EC68" s="1247"/>
      <c r="ED68" s="1247"/>
      <c r="EE68" s="1247"/>
      <c r="EF68" s="1247"/>
      <c r="EG68" s="1247"/>
      <c r="EH68" s="1247"/>
      <c r="EI68" s="1247"/>
      <c r="EJ68" s="1247"/>
      <c r="EK68" s="1247"/>
      <c r="EL68" s="1247"/>
      <c r="EM68" s="1247"/>
      <c r="EN68" s="1247"/>
      <c r="EO68" s="1247"/>
      <c r="EP68" s="1247"/>
      <c r="EQ68" s="1247"/>
      <c r="ER68" s="1247"/>
      <c r="ES68" s="1247"/>
      <c r="ET68" s="1247"/>
      <c r="EU68" s="1247"/>
      <c r="EV68" s="1247"/>
      <c r="EW68" s="1247"/>
      <c r="EX68" s="1247"/>
      <c r="EY68" s="1247"/>
      <c r="EZ68" s="1247"/>
      <c r="FA68" s="1247"/>
      <c r="FB68" s="1247"/>
      <c r="FC68" s="1247"/>
      <c r="FD68" s="1247"/>
      <c r="FE68" s="1247"/>
      <c r="FF68" s="1247"/>
      <c r="FG68" s="1247"/>
      <c r="FH68" s="1248"/>
      <c r="FI68" s="1245"/>
      <c r="FJ68" s="1240" t="s">
        <v>350</v>
      </c>
      <c r="FK68" s="1241"/>
      <c r="FL68" s="1241"/>
      <c r="FM68" s="1241"/>
      <c r="FN68" s="814"/>
      <c r="FO68" s="814"/>
      <c r="FP68" s="1242"/>
      <c r="FQ68" s="1243"/>
      <c r="FR68" s="1243"/>
      <c r="FS68" s="1243"/>
      <c r="FT68" s="1243"/>
      <c r="FU68" s="1249"/>
      <c r="FV68" s="1250"/>
      <c r="FW68" s="1243"/>
      <c r="FX68" s="1243"/>
      <c r="FY68" s="1243"/>
      <c r="FZ68" s="1243"/>
      <c r="GA68" s="1243"/>
      <c r="GB68" s="1243"/>
      <c r="GC68" s="1251"/>
      <c r="GD68" s="1243"/>
      <c r="GE68" s="1244"/>
      <c r="GF68" s="681"/>
      <c r="GG68" s="599"/>
      <c r="GH68" s="599"/>
      <c r="GI68" s="599"/>
      <c r="GJ68" s="480"/>
      <c r="GK68" s="526"/>
      <c r="GL68" s="527"/>
      <c r="GM68" s="526"/>
      <c r="GN68" s="527"/>
      <c r="GO68" s="526"/>
      <c r="GP68" s="526"/>
      <c r="GQ68" s="526"/>
      <c r="GR68" s="527"/>
      <c r="GT68" s="576"/>
      <c r="GU68" s="1253"/>
      <c r="GV68" s="1253"/>
      <c r="GW68" s="1253"/>
      <c r="GX68" s="1253"/>
      <c r="GY68" s="1110"/>
      <c r="GZ68" s="1254"/>
      <c r="HA68" s="1254"/>
      <c r="HB68" s="1254"/>
    </row>
    <row r="69" spans="1:211" ht="20.100000000000001" customHeight="1">
      <c r="BC69" s="390"/>
      <c r="DF69" s="390"/>
      <c r="FI69" s="390"/>
      <c r="GF69" s="496"/>
      <c r="GG69" s="599"/>
      <c r="GH69" s="599"/>
      <c r="GI69" s="599"/>
      <c r="GJ69" s="527"/>
      <c r="GT69" s="1182"/>
      <c r="GU69" s="527"/>
      <c r="GV69" s="526"/>
      <c r="GW69" s="527"/>
      <c r="GX69" s="526"/>
      <c r="GY69" s="526"/>
      <c r="HA69" s="392"/>
    </row>
    <row r="70" spans="1:211" ht="20.100000000000001" customHeight="1">
      <c r="BC70" s="390"/>
      <c r="DF70" s="390"/>
      <c r="FI70" s="390"/>
      <c r="GJ70" s="392"/>
      <c r="GT70" s="682"/>
      <c r="GU70" s="526"/>
      <c r="GV70" s="526"/>
      <c r="GW70" s="526"/>
      <c r="GX70" s="526"/>
      <c r="GY70" s="526"/>
      <c r="HA70" s="527"/>
    </row>
    <row r="71" spans="1:211" ht="20.100000000000001" customHeight="1">
      <c r="BC71" s="390"/>
      <c r="DF71" s="390"/>
      <c r="FI71" s="390"/>
      <c r="GJ71" s="577"/>
      <c r="GS71" s="392"/>
      <c r="GT71" s="1252"/>
      <c r="GU71" s="527"/>
      <c r="GV71" s="392"/>
      <c r="GW71" s="527"/>
      <c r="GX71" s="392"/>
      <c r="GY71" s="576"/>
      <c r="GZ71" s="414"/>
      <c r="HA71" s="527"/>
      <c r="HB71" s="414"/>
    </row>
    <row r="72" spans="1:211" ht="20.100000000000001" customHeight="1">
      <c r="BC72" s="390"/>
      <c r="DF72" s="390"/>
      <c r="FI72" s="390"/>
      <c r="GJ72" s="527"/>
      <c r="GT72" s="1182"/>
      <c r="GU72" s="527"/>
      <c r="GV72" s="526"/>
      <c r="GW72" s="527"/>
      <c r="GX72" s="526"/>
      <c r="GY72" s="526"/>
      <c r="HA72" s="392"/>
    </row>
    <row r="73" spans="1:211" ht="20.100000000000001" customHeight="1">
      <c r="BC73" s="390"/>
      <c r="DF73" s="390"/>
      <c r="FI73" s="390"/>
      <c r="GJ73" s="527"/>
      <c r="GT73" s="1182"/>
      <c r="GU73" s="392"/>
      <c r="GV73" s="392"/>
      <c r="GW73" s="392"/>
      <c r="GX73" s="392"/>
      <c r="GY73" s="526"/>
      <c r="HA73" s="480"/>
    </row>
    <row r="74" spans="1:211" ht="20.100000000000001" customHeight="1">
      <c r="BC74" s="390"/>
      <c r="DF74" s="390"/>
      <c r="FI74" s="390"/>
      <c r="GT74" s="1182"/>
      <c r="GU74" s="480"/>
      <c r="GV74" s="483"/>
      <c r="GW74" s="480"/>
      <c r="GX74" s="483"/>
      <c r="GY74" s="392"/>
      <c r="HA74" s="577"/>
    </row>
    <row r="75" spans="1:211" ht="20.100000000000001" customHeight="1">
      <c r="BC75" s="390"/>
      <c r="DF75" s="390"/>
      <c r="FI75" s="390"/>
      <c r="GT75" s="392"/>
      <c r="GU75" s="577"/>
      <c r="GV75" s="414"/>
      <c r="GW75" s="577"/>
      <c r="GX75" s="414"/>
      <c r="GY75" s="483"/>
      <c r="HA75" s="527"/>
    </row>
    <row r="76" spans="1:211" ht="20.100000000000001" customHeight="1">
      <c r="BC76" s="390"/>
      <c r="DF76" s="390"/>
      <c r="FI76" s="390"/>
      <c r="GT76" s="483"/>
      <c r="GU76" s="527"/>
      <c r="GV76" s="526"/>
      <c r="GW76" s="527"/>
      <c r="GX76" s="526"/>
      <c r="GY76" s="414"/>
      <c r="HA76" s="527"/>
    </row>
    <row r="77" spans="1:211" ht="20.100000000000001" customHeight="1">
      <c r="BC77" s="390"/>
      <c r="DF77" s="390"/>
      <c r="FI77" s="390"/>
      <c r="GT77" s="850"/>
      <c r="GU77" s="527"/>
      <c r="GV77" s="526"/>
      <c r="GW77" s="527"/>
      <c r="GX77" s="526"/>
      <c r="GZ77" s="526"/>
    </row>
    <row r="78" spans="1:211" ht="20.100000000000001" customHeight="1">
      <c r="BC78" s="390"/>
      <c r="DF78" s="390"/>
      <c r="FI78" s="390"/>
      <c r="GT78" s="1182"/>
      <c r="GZ78" s="526"/>
    </row>
    <row r="79" spans="1:211" ht="20.100000000000001" customHeight="1">
      <c r="BC79" s="390"/>
      <c r="DF79" s="390"/>
      <c r="FI79" s="390"/>
      <c r="GT79" s="1182"/>
    </row>
    <row r="80" spans="1:211" ht="20.100000000000001" customHeight="1">
      <c r="BC80" s="390"/>
      <c r="DF80" s="390"/>
      <c r="FI80" s="390"/>
    </row>
    <row r="81" spans="55:165" ht="20.100000000000001" customHeight="1">
      <c r="BC81" s="390"/>
      <c r="DF81" s="390"/>
      <c r="FI81" s="390"/>
    </row>
    <row r="82" spans="55:165" ht="20.100000000000001" customHeight="1">
      <c r="BC82" s="390"/>
      <c r="DF82" s="390"/>
      <c r="FI82" s="390"/>
    </row>
    <row r="83" spans="55:165" ht="20.100000000000001" customHeight="1">
      <c r="BC83" s="390"/>
      <c r="DF83" s="390"/>
      <c r="FI83" s="390"/>
    </row>
    <row r="84" spans="55:165" ht="20.100000000000001" customHeight="1">
      <c r="BC84" s="390"/>
      <c r="DF84" s="390"/>
      <c r="FI84" s="390"/>
    </row>
    <row r="85" spans="55:165" ht="20.100000000000001" customHeight="1">
      <c r="BC85" s="390"/>
      <c r="DF85" s="390"/>
      <c r="FI85" s="390"/>
    </row>
    <row r="86" spans="55:165" ht="20.100000000000001" customHeight="1">
      <c r="BC86" s="390"/>
      <c r="DF86" s="390"/>
    </row>
    <row r="87" spans="55:165" ht="20.100000000000001" customHeight="1">
      <c r="BC87" s="390"/>
      <c r="DF87" s="390"/>
    </row>
    <row r="88" spans="55:165" ht="20.100000000000001" customHeight="1">
      <c r="BC88" s="390"/>
      <c r="DF88" s="390"/>
    </row>
    <row r="89" spans="55:165" ht="20.100000000000001" customHeight="1">
      <c r="BC89" s="390"/>
      <c r="DF89" s="390"/>
    </row>
  </sheetData>
  <dataConsolidate/>
  <mergeCells count="329">
    <mergeCell ref="GB59:GC59"/>
    <mergeCell ref="GB61:GC61"/>
    <mergeCell ref="GD59:GE59"/>
    <mergeCell ref="GD61:GE61"/>
    <mergeCell ref="FV59:FW59"/>
    <mergeCell ref="FX59:FY59"/>
    <mergeCell ref="FZ59:GA59"/>
    <mergeCell ref="FV61:FW61"/>
    <mergeCell ref="FX61:FY61"/>
    <mergeCell ref="FZ61:GA61"/>
    <mergeCell ref="DM68:FH68"/>
    <mergeCell ref="FJ68:FM68"/>
    <mergeCell ref="FP68:FU68"/>
    <mergeCell ref="FV68:GC68"/>
    <mergeCell ref="GD68:GE68"/>
    <mergeCell ref="DK63:DL64"/>
    <mergeCell ref="FJ63:FM64"/>
    <mergeCell ref="FN63:FO64"/>
    <mergeCell ref="GD65:GE65"/>
    <mergeCell ref="FV66:GC66"/>
    <mergeCell ref="A68:D68"/>
    <mergeCell ref="G68:BB68"/>
    <mergeCell ref="BD68:BG68"/>
    <mergeCell ref="BJ68:DE68"/>
    <mergeCell ref="DG68:DJ68"/>
    <mergeCell ref="DK56:DL57"/>
    <mergeCell ref="FJ56:FM57"/>
    <mergeCell ref="FN56:FO57"/>
    <mergeCell ref="A63:D64"/>
    <mergeCell ref="E63:F64"/>
    <mergeCell ref="BD63:BG64"/>
    <mergeCell ref="BH63:BI64"/>
    <mergeCell ref="DG63:DJ64"/>
    <mergeCell ref="GN51:GN52"/>
    <mergeCell ref="GO51:GO52"/>
    <mergeCell ref="GP51:GP52"/>
    <mergeCell ref="GQ51:GQ52"/>
    <mergeCell ref="GU54:GX54"/>
    <mergeCell ref="A56:D57"/>
    <mergeCell ref="E56:F57"/>
    <mergeCell ref="BD56:BG57"/>
    <mergeCell ref="BH56:BI57"/>
    <mergeCell ref="DG56:DJ57"/>
    <mergeCell ref="FX49:FY51"/>
    <mergeCell ref="FZ49:GA51"/>
    <mergeCell ref="GB49:GC51"/>
    <mergeCell ref="GD49:GE51"/>
    <mergeCell ref="GL51:GL52"/>
    <mergeCell ref="GM51:GM52"/>
    <mergeCell ref="GQ44:GR44"/>
    <mergeCell ref="BA46:BB46"/>
    <mergeCell ref="DD46:DE46"/>
    <mergeCell ref="FG46:FH46"/>
    <mergeCell ref="FT46:FU46"/>
    <mergeCell ref="A48:A51"/>
    <mergeCell ref="BD48:BD51"/>
    <mergeCell ref="DG48:DG51"/>
    <mergeCell ref="FJ48:FJ51"/>
    <mergeCell ref="FV49:FW51"/>
    <mergeCell ref="FV44:FW46"/>
    <mergeCell ref="FX44:FY46"/>
    <mergeCell ref="FZ44:GA46"/>
    <mergeCell ref="GB44:GC46"/>
    <mergeCell ref="GD44:GE46"/>
    <mergeCell ref="GM44:GN44"/>
    <mergeCell ref="GO41:GP41"/>
    <mergeCell ref="GQ41:GR41"/>
    <mergeCell ref="GM42:GN42"/>
    <mergeCell ref="GO42:GP42"/>
    <mergeCell ref="GQ42:GR42"/>
    <mergeCell ref="GK43:GL44"/>
    <mergeCell ref="GM43:GN43"/>
    <mergeCell ref="GO43:GP43"/>
    <mergeCell ref="GQ43:GR43"/>
    <mergeCell ref="GO44:GP44"/>
    <mergeCell ref="GK39:GL40"/>
    <mergeCell ref="GM39:GN40"/>
    <mergeCell ref="GO39:GP40"/>
    <mergeCell ref="GQ39:GR40"/>
    <mergeCell ref="A41:A44"/>
    <mergeCell ref="BD41:BD44"/>
    <mergeCell ref="DG41:DG44"/>
    <mergeCell ref="FJ41:FJ44"/>
    <mergeCell ref="GK41:GL42"/>
    <mergeCell ref="GM41:GN41"/>
    <mergeCell ref="GU37:GV37"/>
    <mergeCell ref="C38:D38"/>
    <mergeCell ref="E38:F38"/>
    <mergeCell ref="BF38:BG38"/>
    <mergeCell ref="BH38:BI38"/>
    <mergeCell ref="DI38:DJ38"/>
    <mergeCell ref="DK38:DL38"/>
    <mergeCell ref="FL38:FM38"/>
    <mergeCell ref="FN38:FO38"/>
    <mergeCell ref="GU38:GZ38"/>
    <mergeCell ref="DG37:DG40"/>
    <mergeCell ref="DI37:DJ37"/>
    <mergeCell ref="DK37:DL37"/>
    <mergeCell ref="FJ37:FJ40"/>
    <mergeCell ref="FL37:FM37"/>
    <mergeCell ref="FN37:FO37"/>
    <mergeCell ref="DI39:DJ39"/>
    <mergeCell ref="DK39:DL39"/>
    <mergeCell ref="FL39:FM39"/>
    <mergeCell ref="FN39:FO39"/>
    <mergeCell ref="A37:A40"/>
    <mergeCell ref="C37:D37"/>
    <mergeCell ref="E37:F37"/>
    <mergeCell ref="BD37:BD40"/>
    <mergeCell ref="BF37:BG37"/>
    <mergeCell ref="BH37:BI37"/>
    <mergeCell ref="C39:D39"/>
    <mergeCell ref="E39:F39"/>
    <mergeCell ref="BF39:BG39"/>
    <mergeCell ref="BH39:BI39"/>
    <mergeCell ref="GU33:GV33"/>
    <mergeCell ref="A34:A36"/>
    <mergeCell ref="BD34:BD36"/>
    <mergeCell ref="DG34:DG36"/>
    <mergeCell ref="FJ34:FJ36"/>
    <mergeCell ref="GK34:GP34"/>
    <mergeCell ref="GU34:GV34"/>
    <mergeCell ref="GU35:GV35"/>
    <mergeCell ref="GK36:GP36"/>
    <mergeCell ref="GU36:GV36"/>
    <mergeCell ref="GY31:GY32"/>
    <mergeCell ref="GZ31:GZ32"/>
    <mergeCell ref="HA31:HA32"/>
    <mergeCell ref="B32:C32"/>
    <mergeCell ref="BE32:BF32"/>
    <mergeCell ref="DH32:DI32"/>
    <mergeCell ref="FK32:FL32"/>
    <mergeCell ref="B31:C31"/>
    <mergeCell ref="BE31:BF31"/>
    <mergeCell ref="DH31:DI31"/>
    <mergeCell ref="FK31:FL31"/>
    <mergeCell ref="GW31:GW32"/>
    <mergeCell ref="GX31:GX32"/>
    <mergeCell ref="GK22:GN22"/>
    <mergeCell ref="GU22:GY22"/>
    <mergeCell ref="HA22:HB22"/>
    <mergeCell ref="A27:A33"/>
    <mergeCell ref="BD27:BD33"/>
    <mergeCell ref="DG27:DG33"/>
    <mergeCell ref="FJ27:FJ33"/>
    <mergeCell ref="GU30:GV32"/>
    <mergeCell ref="GW30:HA30"/>
    <mergeCell ref="HB30:HB32"/>
    <mergeCell ref="GK20:GL20"/>
    <mergeCell ref="GU20:GV20"/>
    <mergeCell ref="GX20:GY20"/>
    <mergeCell ref="HA20:HB20"/>
    <mergeCell ref="GK21:GM21"/>
    <mergeCell ref="GU21:GW21"/>
    <mergeCell ref="GX21:GY21"/>
    <mergeCell ref="HA21:HB21"/>
    <mergeCell ref="GK18:GL18"/>
    <mergeCell ref="GU18:GV18"/>
    <mergeCell ref="GX18:GY18"/>
    <mergeCell ref="HA18:HB18"/>
    <mergeCell ref="GK19:GL19"/>
    <mergeCell ref="GU19:GV19"/>
    <mergeCell ref="GX19:GY19"/>
    <mergeCell ref="HA19:HB19"/>
    <mergeCell ref="HA15:HB15"/>
    <mergeCell ref="GK16:GL16"/>
    <mergeCell ref="GU16:GV16"/>
    <mergeCell ref="GX16:GY16"/>
    <mergeCell ref="HA16:HB16"/>
    <mergeCell ref="GK17:GL17"/>
    <mergeCell ref="GU17:GV17"/>
    <mergeCell ref="GX17:GY17"/>
    <mergeCell ref="HA17:HB17"/>
    <mergeCell ref="GU14:GV14"/>
    <mergeCell ref="GX14:GY14"/>
    <mergeCell ref="HA14:HB14"/>
    <mergeCell ref="A15:A26"/>
    <mergeCell ref="BD15:BD26"/>
    <mergeCell ref="DG15:DG26"/>
    <mergeCell ref="FJ15:FJ26"/>
    <mergeCell ref="GK15:GL15"/>
    <mergeCell ref="GU15:GV15"/>
    <mergeCell ref="GX15:GY15"/>
    <mergeCell ref="GD10:GE43"/>
    <mergeCell ref="GK12:GL12"/>
    <mergeCell ref="GU12:GV12"/>
    <mergeCell ref="GX12:GY12"/>
    <mergeCell ref="HA12:HB12"/>
    <mergeCell ref="GK13:GL13"/>
    <mergeCell ref="GU13:GV13"/>
    <mergeCell ref="GX13:GY13"/>
    <mergeCell ref="HA13:HB13"/>
    <mergeCell ref="GK14:GL14"/>
    <mergeCell ref="FJ7:FO8"/>
    <mergeCell ref="FV7:GE9"/>
    <mergeCell ref="A9:A14"/>
    <mergeCell ref="BD9:BD14"/>
    <mergeCell ref="DG9:DG14"/>
    <mergeCell ref="FJ9:FJ14"/>
    <mergeCell ref="FV10:FW43"/>
    <mergeCell ref="FX10:FY43"/>
    <mergeCell ref="FZ10:GA43"/>
    <mergeCell ref="GB10:GC43"/>
    <mergeCell ref="GA6:GB6"/>
    <mergeCell ref="GE6:GF6"/>
    <mergeCell ref="GK6:GM6"/>
    <mergeCell ref="GU6:GW6"/>
    <mergeCell ref="A7:F8"/>
    <mergeCell ref="G7:BB7"/>
    <mergeCell ref="BD7:BI8"/>
    <mergeCell ref="BJ7:DE7"/>
    <mergeCell ref="DG7:DL8"/>
    <mergeCell ref="DM7:FH7"/>
    <mergeCell ref="DX6:DY6"/>
    <mergeCell ref="EB6:EC6"/>
    <mergeCell ref="FL6:FN6"/>
    <mergeCell ref="FO6:FP6"/>
    <mergeCell ref="FQ6:FU6"/>
    <mergeCell ref="FV6:FW6"/>
    <mergeCell ref="BY6:BZ6"/>
    <mergeCell ref="CE6:CF6"/>
    <mergeCell ref="DI6:DK6"/>
    <mergeCell ref="DL6:DM6"/>
    <mergeCell ref="DN6:DR6"/>
    <mergeCell ref="DS6:DT6"/>
    <mergeCell ref="AB6:AC6"/>
    <mergeCell ref="BF6:BH6"/>
    <mergeCell ref="BI6:BJ6"/>
    <mergeCell ref="BK6:BO6"/>
    <mergeCell ref="BP6:BQ6"/>
    <mergeCell ref="BU6:BV6"/>
    <mergeCell ref="C6:E6"/>
    <mergeCell ref="F6:G6"/>
    <mergeCell ref="H6:L6"/>
    <mergeCell ref="M6:N6"/>
    <mergeCell ref="R6:S6"/>
    <mergeCell ref="V6:W6"/>
    <mergeCell ref="FX5:FY5"/>
    <mergeCell ref="FZ5:GA5"/>
    <mergeCell ref="GB5:GC5"/>
    <mergeCell ref="GD5:GE5"/>
    <mergeCell ref="GK5:GM5"/>
    <mergeCell ref="GU5:GW5"/>
    <mergeCell ref="DQ5:DR5"/>
    <mergeCell ref="DS5:DT5"/>
    <mergeCell ref="DU5:DV5"/>
    <mergeCell ref="DW5:DX5"/>
    <mergeCell ref="DY5:DZ5"/>
    <mergeCell ref="EA5:EB5"/>
    <mergeCell ref="BR5:BS5"/>
    <mergeCell ref="BT5:BU5"/>
    <mergeCell ref="BV5:BW5"/>
    <mergeCell ref="BX5:BY5"/>
    <mergeCell ref="DM5:DN5"/>
    <mergeCell ref="DO5:DP5"/>
    <mergeCell ref="S5:T5"/>
    <mergeCell ref="U5:V5"/>
    <mergeCell ref="BJ5:BK5"/>
    <mergeCell ref="BL5:BM5"/>
    <mergeCell ref="BN5:BO5"/>
    <mergeCell ref="BP5:BQ5"/>
    <mergeCell ref="G5:H5"/>
    <mergeCell ref="I5:J5"/>
    <mergeCell ref="K5:L5"/>
    <mergeCell ref="M5:N5"/>
    <mergeCell ref="O5:P5"/>
    <mergeCell ref="Q5:R5"/>
    <mergeCell ref="EC4:EE5"/>
    <mergeCell ref="FX4:FY4"/>
    <mergeCell ref="FZ4:GA4"/>
    <mergeCell ref="GB4:GC4"/>
    <mergeCell ref="GD4:GE4"/>
    <mergeCell ref="GF4:GH5"/>
    <mergeCell ref="FP5:FQ5"/>
    <mergeCell ref="FR5:FS5"/>
    <mergeCell ref="FT5:FU5"/>
    <mergeCell ref="FV5:FW5"/>
    <mergeCell ref="FX3:GE3"/>
    <mergeCell ref="GF3:GH3"/>
    <mergeCell ref="GJ3:GR3"/>
    <mergeCell ref="GT3:HB3"/>
    <mergeCell ref="O4:P4"/>
    <mergeCell ref="Q4:R4"/>
    <mergeCell ref="S4:T4"/>
    <mergeCell ref="U4:V4"/>
    <mergeCell ref="W4:Y5"/>
    <mergeCell ref="BR4:BS4"/>
    <mergeCell ref="FJ3:FJ4"/>
    <mergeCell ref="FK3:FK4"/>
    <mergeCell ref="FL3:FL4"/>
    <mergeCell ref="FM3:FS4"/>
    <mergeCell ref="FT3:FU4"/>
    <mergeCell ref="FV3:FW4"/>
    <mergeCell ref="DI3:DI4"/>
    <mergeCell ref="DJ3:DP4"/>
    <mergeCell ref="DQ3:DR4"/>
    <mergeCell ref="DS3:DT4"/>
    <mergeCell ref="DU3:EB3"/>
    <mergeCell ref="EC3:EE3"/>
    <mergeCell ref="DU4:DV4"/>
    <mergeCell ref="DW4:DX4"/>
    <mergeCell ref="DY4:DZ4"/>
    <mergeCell ref="EA4:EB4"/>
    <mergeCell ref="BN3:BO4"/>
    <mergeCell ref="BP3:BQ4"/>
    <mergeCell ref="BR3:BY3"/>
    <mergeCell ref="BZ3:CB3"/>
    <mergeCell ref="DG3:DG4"/>
    <mergeCell ref="DH3:DH4"/>
    <mergeCell ref="BT4:BU4"/>
    <mergeCell ref="BV4:BW4"/>
    <mergeCell ref="BX4:BY4"/>
    <mergeCell ref="BZ4:CB5"/>
    <mergeCell ref="O3:V3"/>
    <mergeCell ref="W3:Y3"/>
    <mergeCell ref="BD3:BD4"/>
    <mergeCell ref="BE3:BE4"/>
    <mergeCell ref="BF3:BF4"/>
    <mergeCell ref="BG3:BM4"/>
    <mergeCell ref="H1:I1"/>
    <mergeCell ref="BK1:BL1"/>
    <mergeCell ref="DN1:DO1"/>
    <mergeCell ref="FQ1:FR1"/>
    <mergeCell ref="A3:A4"/>
    <mergeCell ref="B3:B4"/>
    <mergeCell ref="C3:C4"/>
    <mergeCell ref="D3:J4"/>
    <mergeCell ref="K3:L4"/>
    <mergeCell ref="M3:N4"/>
  </mergeCells>
  <phoneticPr fontId="3"/>
  <printOptions horizontalCentered="1" gridLinesSet="0"/>
  <pageMargins left="0.39370078740157483" right="0.19685039370078741" top="0.62992125984251968" bottom="0.47244094488188981" header="0.15748031496062992" footer="0.31496062992125984"/>
  <pageSetup paperSize="9" scale="38" fitToWidth="0" orientation="landscape" horizontalDpi="4294967292" verticalDpi="400" r:id="rId1"/>
  <headerFooter scaleWithDoc="0">
    <oddFooter>&amp;C&amp;"ＭＳ Ｐゴシック,標準"&amp;9( &amp;P / &amp;N )</oddFooter>
  </headerFooter>
  <rowBreaks count="1" manualBreakCount="1">
    <brk id="1" max="210" man="1"/>
  </rowBreaks>
  <colBreaks count="3" manualBreakCount="3">
    <brk id="55" max="68" man="1"/>
    <brk id="110" max="68" man="1"/>
    <brk id="165" max="68"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594</v>
      </c>
    </row>
    <row r="6" spans="1:5" ht="30" customHeight="1">
      <c r="A6" s="6"/>
    </row>
    <row r="7" spans="1:5" ht="30" customHeight="1">
      <c r="A7" s="6" t="s">
        <v>595</v>
      </c>
    </row>
    <row r="8" spans="1:5" ht="30" customHeight="1">
      <c r="A8" s="6"/>
    </row>
    <row r="9" spans="1:5" ht="30" customHeight="1">
      <c r="A9" s="6"/>
    </row>
    <row r="10" spans="1:5" ht="30" customHeight="1">
      <c r="A10" s="6"/>
    </row>
    <row r="11" spans="1:5" ht="30" customHeight="1">
      <c r="A11" s="6"/>
    </row>
    <row r="12" spans="1:5" ht="30" customHeight="1">
      <c r="A12" s="6"/>
    </row>
    <row r="13" spans="1:5" ht="30" customHeight="1">
      <c r="A13" s="6"/>
    </row>
  </sheetData>
  <sheetProtection insertRows="0" deleteRows="0" sort="0" autoFilter="0"/>
  <phoneticPr fontId="3"/>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oddFooter>&amp;C&amp;"ＭＳ Ｐゴシック,標準"&amp;9( &amp;P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1</v>
      </c>
    </row>
    <row r="6" spans="1:5" ht="30" customHeight="1">
      <c r="A6" s="6"/>
    </row>
    <row r="7" spans="1:5" ht="30" customHeight="1">
      <c r="A7" s="6" t="s">
        <v>2</v>
      </c>
    </row>
    <row r="8" spans="1:5" ht="30" customHeight="1">
      <c r="A8" s="6" t="s">
        <v>25</v>
      </c>
    </row>
    <row r="9" spans="1:5" ht="30" customHeight="1">
      <c r="A9" s="6" t="s">
        <v>108</v>
      </c>
    </row>
    <row r="10" spans="1:5" ht="30" customHeight="1">
      <c r="A10" s="6" t="s">
        <v>109</v>
      </c>
    </row>
    <row r="11" spans="1:5" ht="30" customHeight="1">
      <c r="A11" s="6" t="s">
        <v>197</v>
      </c>
    </row>
    <row r="12" spans="1:5" ht="30" customHeight="1">
      <c r="A12" s="6"/>
    </row>
    <row r="13" spans="1:5" ht="30" customHeight="1">
      <c r="A13" s="6"/>
    </row>
  </sheetData>
  <sheetProtection insertRows="0" deleteRows="0" sort="0" autoFilter="0"/>
  <phoneticPr fontId="3"/>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oddFooter>&amp;C&amp;"ＭＳ Ｐゴシック,標準"&amp;9( &amp;P / &amp;N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AT59"/>
  <sheetViews>
    <sheetView showGridLines="0" zoomScale="80" zoomScaleNormal="80" workbookViewId="0">
      <pane xSplit="6" ySplit="6" topLeftCell="G7" activePane="bottomRight" state="frozenSplit"/>
      <selection pane="topRight" activeCell="Q1" sqref="Q1"/>
      <selection pane="bottomLeft" activeCell="A16" sqref="A16"/>
      <selection pane="bottomRight"/>
    </sheetView>
  </sheetViews>
  <sheetFormatPr defaultColWidth="9.140625" defaultRowHeight="13.5" customHeight="1"/>
  <cols>
    <col min="1" max="1" width="5.42578125" style="1276" customWidth="1"/>
    <col min="2" max="2" width="7.5703125" style="1276" customWidth="1"/>
    <col min="3" max="3" width="26.28515625" style="1276" customWidth="1"/>
    <col min="4" max="6" width="7.7109375" style="1276" customWidth="1"/>
    <col min="7" max="7" width="7.7109375" style="1276" hidden="1" customWidth="1"/>
    <col min="8" max="8" width="7.7109375" style="1276" customWidth="1"/>
    <col min="9" max="10" width="7.7109375" style="1276" hidden="1" customWidth="1"/>
    <col min="11" max="14" width="7.7109375" style="1276" customWidth="1"/>
    <col min="15" max="16" width="7.7109375" style="1276" hidden="1" customWidth="1"/>
    <col min="17" max="25" width="7.7109375" style="1276" customWidth="1"/>
    <col min="26" max="27" width="9.140625" style="1272"/>
    <col min="28" max="43" width="9.140625" style="1275"/>
    <col min="44" max="44" width="9.140625" style="1274"/>
    <col min="45" max="46" width="9.140625" style="1273"/>
    <col min="47" max="16384" width="9.140625" style="1272"/>
  </cols>
  <sheetData>
    <row r="1" spans="1:46" s="1392" customFormat="1" ht="24" customHeight="1" thickBot="1">
      <c r="A1" s="1404" t="s">
        <v>636</v>
      </c>
      <c r="B1" s="1403"/>
      <c r="C1" s="1402"/>
      <c r="D1" s="1401"/>
      <c r="E1" s="1400"/>
      <c r="F1" s="1399"/>
      <c r="G1" s="1399"/>
      <c r="H1" s="1400"/>
      <c r="I1" s="1400"/>
      <c r="J1" s="1400"/>
      <c r="K1" s="1399"/>
      <c r="L1" s="1399"/>
      <c r="M1" s="1398"/>
      <c r="N1" s="1399"/>
      <c r="O1" s="1400"/>
      <c r="P1" s="1400"/>
      <c r="Q1" s="1399"/>
      <c r="R1" s="1399"/>
      <c r="S1" s="1398"/>
      <c r="T1" s="1398"/>
      <c r="U1" s="1398"/>
      <c r="V1" s="1398"/>
      <c r="W1" s="1398"/>
      <c r="X1" s="1398"/>
      <c r="Y1" s="1397"/>
      <c r="AB1" s="1396" t="s">
        <v>635</v>
      </c>
      <c r="AC1" s="1395"/>
      <c r="AD1" s="1395"/>
      <c r="AE1" s="1395"/>
      <c r="AF1" s="1395"/>
      <c r="AG1" s="1395"/>
      <c r="AH1" s="1395"/>
      <c r="AI1" s="1395"/>
      <c r="AJ1" s="1395"/>
      <c r="AK1" s="1395"/>
      <c r="AL1" s="1395"/>
      <c r="AM1" s="1395"/>
      <c r="AN1" s="1395"/>
      <c r="AO1" s="1395"/>
      <c r="AP1" s="1395"/>
      <c r="AQ1" s="1395"/>
      <c r="AR1" s="1394"/>
      <c r="AS1" s="1393"/>
      <c r="AT1" s="1393"/>
    </row>
    <row r="2" spans="1:46" ht="13.5" customHeight="1">
      <c r="AB2" s="1391" t="s">
        <v>634</v>
      </c>
      <c r="AC2" s="1390"/>
      <c r="AD2" s="1390"/>
      <c r="AE2" s="1390"/>
      <c r="AF2" s="1390"/>
      <c r="AG2" s="1390"/>
      <c r="AH2" s="1390"/>
      <c r="AI2" s="1389"/>
      <c r="AJ2" s="1388" t="s">
        <v>633</v>
      </c>
      <c r="AK2" s="1388"/>
      <c r="AL2" s="1388"/>
      <c r="AM2" s="1388"/>
      <c r="AN2" s="1388"/>
      <c r="AO2" s="1388"/>
      <c r="AP2" s="1388"/>
      <c r="AQ2" s="1387"/>
      <c r="AS2" s="1386" t="s">
        <v>632</v>
      </c>
      <c r="AT2" s="1385"/>
    </row>
    <row r="3" spans="1:46" ht="13.5" customHeight="1">
      <c r="H3" s="1276" t="s">
        <v>639</v>
      </c>
      <c r="Y3" s="1384" t="s">
        <v>640</v>
      </c>
      <c r="AB3" s="1383"/>
      <c r="AC3" s="1382"/>
      <c r="AD3" s="1382"/>
      <c r="AE3" s="1382"/>
      <c r="AF3" s="1382"/>
      <c r="AG3" s="1382"/>
      <c r="AH3" s="1382"/>
      <c r="AI3" s="1381"/>
      <c r="AJ3" s="1380"/>
      <c r="AK3" s="1380"/>
      <c r="AL3" s="1380"/>
      <c r="AM3" s="1380"/>
      <c r="AN3" s="1380"/>
      <c r="AO3" s="1380"/>
      <c r="AP3" s="1380"/>
      <c r="AQ3" s="1379"/>
      <c r="AS3" s="1378"/>
      <c r="AT3" s="1377"/>
    </row>
    <row r="4" spans="1:46" ht="13.5" customHeight="1" thickBot="1">
      <c r="A4" s="1376" t="s">
        <v>377</v>
      </c>
      <c r="B4" s="1375" t="s">
        <v>362</v>
      </c>
      <c r="C4" s="1375" t="s">
        <v>631</v>
      </c>
      <c r="D4" s="1374" t="s">
        <v>630</v>
      </c>
      <c r="E4" s="1374" t="s">
        <v>629</v>
      </c>
      <c r="F4" s="1373" t="s">
        <v>628</v>
      </c>
      <c r="G4" s="1372"/>
      <c r="H4" s="1367" t="s">
        <v>627</v>
      </c>
      <c r="I4" s="1366"/>
      <c r="J4" s="1366"/>
      <c r="K4" s="1366"/>
      <c r="L4" s="1370"/>
      <c r="M4" s="1371" t="s">
        <v>626</v>
      </c>
      <c r="N4" s="1367" t="s">
        <v>625</v>
      </c>
      <c r="O4" s="1366"/>
      <c r="P4" s="1366"/>
      <c r="Q4" s="1366"/>
      <c r="R4" s="1370"/>
      <c r="S4" s="1369" t="s">
        <v>624</v>
      </c>
      <c r="T4" s="1368"/>
      <c r="U4" s="1367" t="s">
        <v>623</v>
      </c>
      <c r="V4" s="1366"/>
      <c r="W4" s="1366"/>
      <c r="X4" s="1365"/>
      <c r="Y4" s="1364" t="s">
        <v>622</v>
      </c>
      <c r="AB4" s="1363" t="s">
        <v>621</v>
      </c>
      <c r="AC4" s="1363"/>
      <c r="AD4" s="1363"/>
      <c r="AE4" s="1363"/>
      <c r="AF4" s="1362" t="s">
        <v>620</v>
      </c>
      <c r="AG4" s="1362"/>
      <c r="AH4" s="1362"/>
      <c r="AI4" s="1362"/>
      <c r="AJ4" s="1363" t="s">
        <v>621</v>
      </c>
      <c r="AK4" s="1363"/>
      <c r="AL4" s="1363"/>
      <c r="AM4" s="1363"/>
      <c r="AN4" s="1362" t="s">
        <v>620</v>
      </c>
      <c r="AO4" s="1362"/>
      <c r="AP4" s="1362"/>
      <c r="AQ4" s="1362"/>
      <c r="AS4" s="1361"/>
      <c r="AT4" s="1360"/>
    </row>
    <row r="5" spans="1:46" ht="22.5" customHeight="1">
      <c r="A5" s="1344"/>
      <c r="B5" s="1343"/>
      <c r="C5" s="1343"/>
      <c r="D5" s="1342"/>
      <c r="E5" s="1342"/>
      <c r="F5" s="1341"/>
      <c r="G5" s="1359"/>
      <c r="H5" s="1437" t="s">
        <v>638</v>
      </c>
      <c r="I5" s="1434"/>
      <c r="J5" s="1435"/>
      <c r="K5" s="1356" t="s">
        <v>619</v>
      </c>
      <c r="L5" s="1358" t="s">
        <v>618</v>
      </c>
      <c r="M5" s="1357"/>
      <c r="N5" s="1437" t="s">
        <v>638</v>
      </c>
      <c r="O5" s="1434"/>
      <c r="P5" s="1435"/>
      <c r="Q5" s="1356" t="s">
        <v>619</v>
      </c>
      <c r="R5" s="1355" t="s">
        <v>618</v>
      </c>
      <c r="S5" s="1354"/>
      <c r="T5" s="1353"/>
      <c r="U5" s="1331" t="s">
        <v>617</v>
      </c>
      <c r="V5" s="1330" t="s">
        <v>616</v>
      </c>
      <c r="W5" s="1330" t="s">
        <v>615</v>
      </c>
      <c r="X5" s="1352" t="s">
        <v>614</v>
      </c>
      <c r="Y5" s="1328"/>
      <c r="AB5" s="1349" t="s">
        <v>613</v>
      </c>
      <c r="AC5" s="1348" t="s">
        <v>612</v>
      </c>
      <c r="AD5" s="1348" t="s">
        <v>611</v>
      </c>
      <c r="AE5" s="1347" t="s">
        <v>610</v>
      </c>
      <c r="AF5" s="1351" t="s">
        <v>613</v>
      </c>
      <c r="AG5" s="1348" t="s">
        <v>612</v>
      </c>
      <c r="AH5" s="1348" t="s">
        <v>611</v>
      </c>
      <c r="AI5" s="1347" t="s">
        <v>610</v>
      </c>
      <c r="AJ5" s="1351" t="s">
        <v>613</v>
      </c>
      <c r="AK5" s="1348" t="s">
        <v>612</v>
      </c>
      <c r="AL5" s="1348" t="s">
        <v>611</v>
      </c>
      <c r="AM5" s="1350" t="s">
        <v>610</v>
      </c>
      <c r="AN5" s="1349" t="s">
        <v>613</v>
      </c>
      <c r="AO5" s="1348" t="s">
        <v>612</v>
      </c>
      <c r="AP5" s="1348" t="s">
        <v>611</v>
      </c>
      <c r="AQ5" s="1347" t="s">
        <v>610</v>
      </c>
      <c r="AS5" s="1346" t="s">
        <v>609</v>
      </c>
      <c r="AT5" s="1345" t="s">
        <v>608</v>
      </c>
    </row>
    <row r="6" spans="1:46" ht="13.5" customHeight="1">
      <c r="A6" s="1344"/>
      <c r="B6" s="1343"/>
      <c r="C6" s="1343"/>
      <c r="D6" s="1342"/>
      <c r="E6" s="1342"/>
      <c r="F6" s="1341"/>
      <c r="G6" s="1340"/>
      <c r="H6" s="1436"/>
      <c r="I6" s="1337" t="s">
        <v>607</v>
      </c>
      <c r="J6" s="1336" t="s">
        <v>606</v>
      </c>
      <c r="K6" s="1335"/>
      <c r="L6" s="1339"/>
      <c r="M6" s="1338"/>
      <c r="N6" s="1436"/>
      <c r="O6" s="1337" t="s">
        <v>607</v>
      </c>
      <c r="P6" s="1336" t="s">
        <v>606</v>
      </c>
      <c r="Q6" s="1335"/>
      <c r="R6" s="1334"/>
      <c r="S6" s="1333" t="s">
        <v>605</v>
      </c>
      <c r="T6" s="1332" t="s">
        <v>604</v>
      </c>
      <c r="U6" s="1331"/>
      <c r="V6" s="1330"/>
      <c r="W6" s="1330"/>
      <c r="X6" s="1329"/>
      <c r="Y6" s="1328"/>
      <c r="AB6" s="1325" t="s">
        <v>603</v>
      </c>
      <c r="AC6" s="1324" t="s">
        <v>602</v>
      </c>
      <c r="AD6" s="1324" t="s">
        <v>601</v>
      </c>
      <c r="AE6" s="1323" t="s">
        <v>600</v>
      </c>
      <c r="AF6" s="1327" t="s">
        <v>603</v>
      </c>
      <c r="AG6" s="1324" t="s">
        <v>602</v>
      </c>
      <c r="AH6" s="1324" t="s">
        <v>601</v>
      </c>
      <c r="AI6" s="1323" t="s">
        <v>600</v>
      </c>
      <c r="AJ6" s="1327" t="s">
        <v>603</v>
      </c>
      <c r="AK6" s="1324" t="s">
        <v>602</v>
      </c>
      <c r="AL6" s="1324" t="s">
        <v>601</v>
      </c>
      <c r="AM6" s="1326" t="s">
        <v>600</v>
      </c>
      <c r="AN6" s="1325" t="s">
        <v>599</v>
      </c>
      <c r="AO6" s="1324" t="s">
        <v>598</v>
      </c>
      <c r="AP6" s="1324" t="s">
        <v>597</v>
      </c>
      <c r="AQ6" s="1323" t="s">
        <v>596</v>
      </c>
      <c r="AS6" s="1322"/>
      <c r="AT6" s="1321"/>
    </row>
    <row r="7" spans="1:46" ht="13.5" customHeight="1">
      <c r="A7" s="1320">
        <v>2</v>
      </c>
      <c r="B7" s="1319">
        <v>201</v>
      </c>
      <c r="C7" s="1318" t="s">
        <v>351</v>
      </c>
      <c r="D7" s="1317">
        <v>54.8</v>
      </c>
      <c r="E7" s="1316">
        <v>2.8</v>
      </c>
      <c r="F7" s="1315">
        <v>153.5</v>
      </c>
      <c r="G7" s="1314"/>
      <c r="H7" s="1307">
        <v>6263</v>
      </c>
      <c r="I7" s="1306"/>
      <c r="J7" s="1304">
        <v>6263</v>
      </c>
      <c r="K7" s="1306">
        <v>318</v>
      </c>
      <c r="L7" s="1313">
        <v>6581</v>
      </c>
      <c r="M7" s="1312"/>
      <c r="N7" s="1306">
        <v>6289</v>
      </c>
      <c r="O7" s="1306"/>
      <c r="P7" s="1304">
        <v>6289</v>
      </c>
      <c r="Q7" s="1311">
        <v>0</v>
      </c>
      <c r="R7" s="1310">
        <v>6289</v>
      </c>
      <c r="S7" s="1309">
        <v>8.0799999999999983</v>
      </c>
      <c r="T7" s="1308">
        <v>10.64</v>
      </c>
      <c r="U7" s="1307">
        <v>180</v>
      </c>
      <c r="V7" s="1306">
        <v>2320</v>
      </c>
      <c r="W7" s="1305">
        <v>2310</v>
      </c>
      <c r="X7" s="1304">
        <v>2320</v>
      </c>
      <c r="Y7" s="1303">
        <v>15.1</v>
      </c>
      <c r="AB7" s="1275">
        <v>26</v>
      </c>
      <c r="AC7" s="1275">
        <v>50</v>
      </c>
      <c r="AD7" s="1275">
        <v>53</v>
      </c>
      <c r="AE7" s="1275">
        <v>10.5</v>
      </c>
      <c r="AF7" s="1275">
        <v>22</v>
      </c>
      <c r="AG7" s="1275">
        <v>40</v>
      </c>
      <c r="AH7" s="1275">
        <v>38.9</v>
      </c>
      <c r="AI7" s="1275">
        <v>6.6</v>
      </c>
      <c r="AJ7" s="1275">
        <v>26</v>
      </c>
      <c r="AK7" s="1275">
        <v>56</v>
      </c>
      <c r="AL7" s="1275">
        <v>56.4</v>
      </c>
      <c r="AM7" s="1275">
        <v>11.9</v>
      </c>
      <c r="AN7" s="1275">
        <v>24.6</v>
      </c>
      <c r="AO7" s="1275">
        <v>34</v>
      </c>
      <c r="AP7" s="1275">
        <v>41.5</v>
      </c>
      <c r="AQ7" s="1275">
        <v>6.6</v>
      </c>
      <c r="AS7" s="1273">
        <v>2311.5</v>
      </c>
      <c r="AT7" s="1273">
        <v>2311.5</v>
      </c>
    </row>
    <row r="8" spans="1:46" ht="13.5" customHeight="1">
      <c r="A8" s="1302">
        <v>2</v>
      </c>
      <c r="B8" s="1301">
        <v>204</v>
      </c>
      <c r="C8" s="1300" t="s">
        <v>534</v>
      </c>
      <c r="D8" s="1299">
        <v>13.2</v>
      </c>
      <c r="E8" s="1298">
        <v>2.8</v>
      </c>
      <c r="F8" s="1297">
        <v>37</v>
      </c>
      <c r="G8" s="1296"/>
      <c r="H8" s="1289">
        <v>980</v>
      </c>
      <c r="I8" s="1288"/>
      <c r="J8" s="1286">
        <v>980</v>
      </c>
      <c r="K8" s="1288">
        <v>212</v>
      </c>
      <c r="L8" s="1295">
        <v>1192</v>
      </c>
      <c r="M8" s="1294"/>
      <c r="N8" s="1288">
        <v>1850</v>
      </c>
      <c r="O8" s="1288"/>
      <c r="P8" s="1286">
        <v>1850</v>
      </c>
      <c r="Q8" s="1293">
        <v>0</v>
      </c>
      <c r="R8" s="1292">
        <v>1850</v>
      </c>
      <c r="S8" s="1291">
        <v>8.0799999999999983</v>
      </c>
      <c r="T8" s="1290">
        <v>10.64</v>
      </c>
      <c r="U8" s="1289">
        <v>120</v>
      </c>
      <c r="V8" s="1288">
        <v>370</v>
      </c>
      <c r="W8" s="1287"/>
      <c r="X8" s="1286">
        <v>370</v>
      </c>
      <c r="Y8" s="1285">
        <v>10</v>
      </c>
      <c r="AB8" s="1275">
        <v>26</v>
      </c>
      <c r="AC8" s="1275">
        <v>50</v>
      </c>
      <c r="AD8" s="1275">
        <v>53</v>
      </c>
      <c r="AE8" s="1275">
        <v>10.5</v>
      </c>
      <c r="AF8" s="1275">
        <v>22</v>
      </c>
      <c r="AG8" s="1275">
        <v>40</v>
      </c>
      <c r="AH8" s="1275">
        <v>38.9</v>
      </c>
      <c r="AI8" s="1275">
        <v>6.6</v>
      </c>
      <c r="AJ8" s="1275">
        <v>26</v>
      </c>
      <c r="AK8" s="1275">
        <v>59</v>
      </c>
      <c r="AL8" s="1275">
        <v>57.7</v>
      </c>
      <c r="AM8" s="1275">
        <v>12.4</v>
      </c>
      <c r="AN8" s="1275">
        <v>17.7</v>
      </c>
      <c r="AO8" s="1275">
        <v>52</v>
      </c>
      <c r="AP8" s="1275">
        <v>34.5</v>
      </c>
      <c r="AQ8" s="1275">
        <v>6.6</v>
      </c>
      <c r="AS8" s="1273">
        <v>361.69</v>
      </c>
      <c r="AT8" s="1273">
        <v>361.69</v>
      </c>
    </row>
    <row r="9" spans="1:46" ht="13.5" customHeight="1">
      <c r="A9" s="1302">
        <v>2</v>
      </c>
      <c r="B9" s="1301">
        <v>205</v>
      </c>
      <c r="C9" s="1300" t="s">
        <v>558</v>
      </c>
      <c r="D9" s="1299">
        <v>13.2</v>
      </c>
      <c r="E9" s="1298">
        <v>2.8</v>
      </c>
      <c r="F9" s="1297">
        <v>37</v>
      </c>
      <c r="G9" s="1296"/>
      <c r="H9" s="1289">
        <v>1157</v>
      </c>
      <c r="I9" s="1288"/>
      <c r="J9" s="1286">
        <v>1157</v>
      </c>
      <c r="K9" s="1288">
        <v>212</v>
      </c>
      <c r="L9" s="1295">
        <v>1369</v>
      </c>
      <c r="M9" s="1294"/>
      <c r="N9" s="1288">
        <v>2006</v>
      </c>
      <c r="O9" s="1288"/>
      <c r="P9" s="1286">
        <v>2006</v>
      </c>
      <c r="Q9" s="1293">
        <v>0</v>
      </c>
      <c r="R9" s="1292">
        <v>2006</v>
      </c>
      <c r="S9" s="1291">
        <v>8.0799999999999983</v>
      </c>
      <c r="T9" s="1290">
        <v>10.64</v>
      </c>
      <c r="U9" s="1289">
        <v>120</v>
      </c>
      <c r="V9" s="1288">
        <v>430</v>
      </c>
      <c r="W9" s="1287"/>
      <c r="X9" s="1286">
        <v>430</v>
      </c>
      <c r="Y9" s="1285">
        <v>11.6</v>
      </c>
      <c r="AB9" s="1275">
        <v>26</v>
      </c>
      <c r="AC9" s="1275">
        <v>50</v>
      </c>
      <c r="AD9" s="1275">
        <v>53</v>
      </c>
      <c r="AE9" s="1275">
        <v>10.5</v>
      </c>
      <c r="AF9" s="1275">
        <v>22</v>
      </c>
      <c r="AG9" s="1275">
        <v>40</v>
      </c>
      <c r="AH9" s="1275">
        <v>38.9</v>
      </c>
      <c r="AI9" s="1275">
        <v>6.6</v>
      </c>
      <c r="AJ9" s="1275">
        <v>26</v>
      </c>
      <c r="AK9" s="1275">
        <v>58</v>
      </c>
      <c r="AL9" s="1275">
        <v>57.5</v>
      </c>
      <c r="AM9" s="1275">
        <v>12.3</v>
      </c>
      <c r="AN9" s="1275">
        <v>18.7</v>
      </c>
      <c r="AO9" s="1275">
        <v>49</v>
      </c>
      <c r="AP9" s="1275">
        <v>35.6</v>
      </c>
      <c r="AQ9" s="1275">
        <v>6.6</v>
      </c>
      <c r="AS9" s="1273">
        <v>427.02</v>
      </c>
      <c r="AT9" s="1273">
        <v>427.02</v>
      </c>
    </row>
    <row r="10" spans="1:46" ht="13.5" customHeight="1">
      <c r="A10" s="1302">
        <v>2</v>
      </c>
      <c r="B10" s="1301">
        <v>208</v>
      </c>
      <c r="C10" s="1300" t="s">
        <v>580</v>
      </c>
      <c r="D10" s="1299">
        <v>53.3</v>
      </c>
      <c r="E10" s="1298">
        <v>2.8</v>
      </c>
      <c r="F10" s="1297">
        <v>149.30000000000001</v>
      </c>
      <c r="G10" s="1296"/>
      <c r="H10" s="1289">
        <v>3620</v>
      </c>
      <c r="I10" s="1288"/>
      <c r="J10" s="1286">
        <v>3620</v>
      </c>
      <c r="K10" s="1288">
        <v>136</v>
      </c>
      <c r="L10" s="1295">
        <v>3756</v>
      </c>
      <c r="M10" s="1294"/>
      <c r="N10" s="1288">
        <v>5770</v>
      </c>
      <c r="O10" s="1288"/>
      <c r="P10" s="1286">
        <v>5770</v>
      </c>
      <c r="Q10" s="1293">
        <v>0</v>
      </c>
      <c r="R10" s="1292">
        <v>5770</v>
      </c>
      <c r="S10" s="1291">
        <v>8.0799999999999983</v>
      </c>
      <c r="T10" s="1290">
        <v>10.64</v>
      </c>
      <c r="U10" s="1289">
        <v>110</v>
      </c>
      <c r="V10" s="1288">
        <v>1340</v>
      </c>
      <c r="W10" s="1287"/>
      <c r="X10" s="1286">
        <v>1340</v>
      </c>
      <c r="Y10" s="1285">
        <v>9</v>
      </c>
      <c r="AB10" s="1275">
        <v>26</v>
      </c>
      <c r="AC10" s="1275">
        <v>50</v>
      </c>
      <c r="AD10" s="1275">
        <v>53</v>
      </c>
      <c r="AE10" s="1275">
        <v>10.5</v>
      </c>
      <c r="AF10" s="1275">
        <v>22</v>
      </c>
      <c r="AG10" s="1275">
        <v>40</v>
      </c>
      <c r="AH10" s="1275">
        <v>38.9</v>
      </c>
      <c r="AI10" s="1275">
        <v>6.6</v>
      </c>
      <c r="AJ10" s="1275">
        <v>26</v>
      </c>
      <c r="AK10" s="1275">
        <v>56</v>
      </c>
      <c r="AL10" s="1275">
        <v>56.3</v>
      </c>
      <c r="AM10" s="1275">
        <v>11.8</v>
      </c>
      <c r="AN10" s="1275">
        <v>19.8</v>
      </c>
      <c r="AO10" s="1275">
        <v>46</v>
      </c>
      <c r="AP10" s="1275">
        <v>36.6</v>
      </c>
      <c r="AQ10" s="1275">
        <v>6.6</v>
      </c>
      <c r="AS10" s="1273">
        <v>1336.04</v>
      </c>
      <c r="AT10" s="1273">
        <v>1336.04</v>
      </c>
    </row>
    <row r="11" spans="1:46" ht="13.5" customHeight="1">
      <c r="A11" s="1302"/>
      <c r="B11" s="1301"/>
      <c r="C11" s="1300"/>
      <c r="D11" s="1299"/>
      <c r="E11" s="1298"/>
      <c r="F11" s="1297"/>
      <c r="G11" s="1296"/>
      <c r="H11" s="1289"/>
      <c r="I11" s="1288"/>
      <c r="J11" s="1286"/>
      <c r="K11" s="1288"/>
      <c r="L11" s="1295"/>
      <c r="M11" s="1294"/>
      <c r="N11" s="1288"/>
      <c r="O11" s="1288"/>
      <c r="P11" s="1286"/>
      <c r="Q11" s="1293"/>
      <c r="R11" s="1292"/>
      <c r="S11" s="1291"/>
      <c r="T11" s="1290"/>
      <c r="U11" s="1289"/>
      <c r="V11" s="1288"/>
      <c r="W11" s="1287"/>
      <c r="X11" s="1286"/>
      <c r="Y11" s="1285"/>
    </row>
    <row r="12" spans="1:46" ht="13.5" customHeight="1">
      <c r="A12" s="1302"/>
      <c r="B12" s="1301"/>
      <c r="C12" s="1300"/>
      <c r="D12" s="1299"/>
      <c r="E12" s="1298"/>
      <c r="F12" s="1297"/>
      <c r="G12" s="1296"/>
      <c r="H12" s="1289"/>
      <c r="I12" s="1288"/>
      <c r="J12" s="1286"/>
      <c r="K12" s="1288"/>
      <c r="L12" s="1295"/>
      <c r="M12" s="1294"/>
      <c r="N12" s="1288"/>
      <c r="O12" s="1288"/>
      <c r="P12" s="1286"/>
      <c r="Q12" s="1293"/>
      <c r="R12" s="1292"/>
      <c r="S12" s="1291"/>
      <c r="T12" s="1290"/>
      <c r="U12" s="1289"/>
      <c r="V12" s="1288"/>
      <c r="W12" s="1287"/>
      <c r="X12" s="1286"/>
      <c r="Y12" s="1285"/>
    </row>
    <row r="13" spans="1:46" ht="13.5" customHeight="1">
      <c r="A13" s="1302"/>
      <c r="B13" s="1301"/>
      <c r="C13" s="1300"/>
      <c r="D13" s="1299"/>
      <c r="E13" s="1298"/>
      <c r="F13" s="1297"/>
      <c r="G13" s="1296"/>
      <c r="H13" s="1289"/>
      <c r="I13" s="1288"/>
      <c r="J13" s="1286"/>
      <c r="K13" s="1288"/>
      <c r="L13" s="1295"/>
      <c r="M13" s="1294"/>
      <c r="N13" s="1288"/>
      <c r="O13" s="1288"/>
      <c r="P13" s="1286"/>
      <c r="Q13" s="1293"/>
      <c r="R13" s="1292"/>
      <c r="S13" s="1291"/>
      <c r="T13" s="1290"/>
      <c r="U13" s="1289"/>
      <c r="V13" s="1288"/>
      <c r="W13" s="1287"/>
      <c r="X13" s="1286"/>
      <c r="Y13" s="1285"/>
    </row>
    <row r="14" spans="1:46" ht="13.5" customHeight="1">
      <c r="A14" s="1302"/>
      <c r="B14" s="1301"/>
      <c r="C14" s="1300"/>
      <c r="D14" s="1299"/>
      <c r="E14" s="1298"/>
      <c r="F14" s="1297"/>
      <c r="G14" s="1296"/>
      <c r="H14" s="1289"/>
      <c r="I14" s="1288"/>
      <c r="J14" s="1286"/>
      <c r="K14" s="1288"/>
      <c r="L14" s="1295"/>
      <c r="M14" s="1294"/>
      <c r="N14" s="1288"/>
      <c r="O14" s="1288"/>
      <c r="P14" s="1286"/>
      <c r="Q14" s="1293"/>
      <c r="R14" s="1292"/>
      <c r="S14" s="1291"/>
      <c r="T14" s="1290"/>
      <c r="U14" s="1289"/>
      <c r="V14" s="1288"/>
      <c r="W14" s="1287"/>
      <c r="X14" s="1286"/>
      <c r="Y14" s="1285"/>
    </row>
    <row r="15" spans="1:46" ht="13.5" customHeight="1">
      <c r="A15" s="1302"/>
      <c r="B15" s="1301"/>
      <c r="C15" s="1300"/>
      <c r="D15" s="1299"/>
      <c r="E15" s="1298"/>
      <c r="F15" s="1297"/>
      <c r="G15" s="1296"/>
      <c r="H15" s="1289"/>
      <c r="I15" s="1288"/>
      <c r="J15" s="1286"/>
      <c r="K15" s="1288"/>
      <c r="L15" s="1295"/>
      <c r="M15" s="1294"/>
      <c r="N15" s="1288"/>
      <c r="O15" s="1288"/>
      <c r="P15" s="1286"/>
      <c r="Q15" s="1293"/>
      <c r="R15" s="1292"/>
      <c r="S15" s="1291"/>
      <c r="T15" s="1290"/>
      <c r="U15" s="1289"/>
      <c r="V15" s="1288"/>
      <c r="W15" s="1287"/>
      <c r="X15" s="1286"/>
      <c r="Y15" s="1285"/>
    </row>
    <row r="16" spans="1:46" ht="13.5" customHeight="1">
      <c r="A16" s="1302"/>
      <c r="B16" s="1301"/>
      <c r="C16" s="1300"/>
      <c r="D16" s="1299"/>
      <c r="E16" s="1298"/>
      <c r="F16" s="1297"/>
      <c r="G16" s="1296"/>
      <c r="H16" s="1289"/>
      <c r="I16" s="1288"/>
      <c r="J16" s="1286"/>
      <c r="K16" s="1288"/>
      <c r="L16" s="1295"/>
      <c r="M16" s="1294"/>
      <c r="N16" s="1288"/>
      <c r="O16" s="1288"/>
      <c r="P16" s="1286"/>
      <c r="Q16" s="1293"/>
      <c r="R16" s="1292"/>
      <c r="S16" s="1291"/>
      <c r="T16" s="1290"/>
      <c r="U16" s="1289"/>
      <c r="V16" s="1288"/>
      <c r="W16" s="1287"/>
      <c r="X16" s="1286"/>
      <c r="Y16" s="1285"/>
    </row>
    <row r="17" spans="1:25" ht="13.5" customHeight="1">
      <c r="A17" s="1302"/>
      <c r="B17" s="1301"/>
      <c r="C17" s="1300"/>
      <c r="D17" s="1299"/>
      <c r="E17" s="1298"/>
      <c r="F17" s="1297"/>
      <c r="G17" s="1296"/>
      <c r="H17" s="1289"/>
      <c r="I17" s="1288"/>
      <c r="J17" s="1286"/>
      <c r="K17" s="1288"/>
      <c r="L17" s="1295"/>
      <c r="M17" s="1294"/>
      <c r="N17" s="1288"/>
      <c r="O17" s="1288"/>
      <c r="P17" s="1286"/>
      <c r="Q17" s="1293"/>
      <c r="R17" s="1292"/>
      <c r="S17" s="1291"/>
      <c r="T17" s="1290"/>
      <c r="U17" s="1289"/>
      <c r="V17" s="1288"/>
      <c r="W17" s="1287"/>
      <c r="X17" s="1286"/>
      <c r="Y17" s="1285"/>
    </row>
    <row r="18" spans="1:25" ht="13.5" customHeight="1">
      <c r="A18" s="1302"/>
      <c r="B18" s="1301"/>
      <c r="C18" s="1300"/>
      <c r="D18" s="1299"/>
      <c r="E18" s="1298"/>
      <c r="F18" s="1297"/>
      <c r="G18" s="1296"/>
      <c r="H18" s="1289"/>
      <c r="I18" s="1288"/>
      <c r="J18" s="1286"/>
      <c r="K18" s="1288"/>
      <c r="L18" s="1295"/>
      <c r="M18" s="1294"/>
      <c r="N18" s="1288"/>
      <c r="O18" s="1288"/>
      <c r="P18" s="1286"/>
      <c r="Q18" s="1293"/>
      <c r="R18" s="1292"/>
      <c r="S18" s="1291"/>
      <c r="T18" s="1290"/>
      <c r="U18" s="1289"/>
      <c r="V18" s="1288"/>
      <c r="W18" s="1287"/>
      <c r="X18" s="1286"/>
      <c r="Y18" s="1285"/>
    </row>
    <row r="19" spans="1:25" ht="13.5" customHeight="1">
      <c r="A19" s="1302"/>
      <c r="B19" s="1301"/>
      <c r="C19" s="1300"/>
      <c r="D19" s="1299"/>
      <c r="E19" s="1298"/>
      <c r="F19" s="1297"/>
      <c r="G19" s="1296"/>
      <c r="H19" s="1289"/>
      <c r="I19" s="1288"/>
      <c r="J19" s="1286"/>
      <c r="K19" s="1288"/>
      <c r="L19" s="1295"/>
      <c r="M19" s="1294"/>
      <c r="N19" s="1288"/>
      <c r="O19" s="1288"/>
      <c r="P19" s="1286"/>
      <c r="Q19" s="1293"/>
      <c r="R19" s="1292"/>
      <c r="S19" s="1291"/>
      <c r="T19" s="1290"/>
      <c r="U19" s="1289"/>
      <c r="V19" s="1288"/>
      <c r="W19" s="1287"/>
      <c r="X19" s="1286"/>
      <c r="Y19" s="1285"/>
    </row>
    <row r="20" spans="1:25" ht="13.5" customHeight="1">
      <c r="A20" s="1302"/>
      <c r="B20" s="1301"/>
      <c r="C20" s="1300"/>
      <c r="D20" s="1299"/>
      <c r="E20" s="1298"/>
      <c r="F20" s="1297"/>
      <c r="G20" s="1296"/>
      <c r="H20" s="1289"/>
      <c r="I20" s="1288"/>
      <c r="J20" s="1286"/>
      <c r="K20" s="1288"/>
      <c r="L20" s="1295"/>
      <c r="M20" s="1294"/>
      <c r="N20" s="1288"/>
      <c r="O20" s="1288"/>
      <c r="P20" s="1286"/>
      <c r="Q20" s="1293"/>
      <c r="R20" s="1292"/>
      <c r="S20" s="1291"/>
      <c r="T20" s="1290"/>
      <c r="U20" s="1289"/>
      <c r="V20" s="1288"/>
      <c r="W20" s="1287"/>
      <c r="X20" s="1286"/>
      <c r="Y20" s="1285"/>
    </row>
    <row r="21" spans="1:25" ht="13.5" customHeight="1">
      <c r="A21" s="1302"/>
      <c r="B21" s="1301"/>
      <c r="C21" s="1300"/>
      <c r="D21" s="1299"/>
      <c r="E21" s="1298"/>
      <c r="F21" s="1297"/>
      <c r="G21" s="1296"/>
      <c r="H21" s="1289"/>
      <c r="I21" s="1288"/>
      <c r="J21" s="1286"/>
      <c r="K21" s="1288"/>
      <c r="L21" s="1295"/>
      <c r="M21" s="1294"/>
      <c r="N21" s="1288"/>
      <c r="O21" s="1288"/>
      <c r="P21" s="1286"/>
      <c r="Q21" s="1293"/>
      <c r="R21" s="1292"/>
      <c r="S21" s="1291"/>
      <c r="T21" s="1290"/>
      <c r="U21" s="1289"/>
      <c r="V21" s="1288"/>
      <c r="W21" s="1287"/>
      <c r="X21" s="1286"/>
      <c r="Y21" s="1285"/>
    </row>
    <row r="22" spans="1:25" ht="13.5" customHeight="1">
      <c r="A22" s="1302"/>
      <c r="B22" s="1301"/>
      <c r="C22" s="1300"/>
      <c r="D22" s="1299"/>
      <c r="E22" s="1298"/>
      <c r="F22" s="1297"/>
      <c r="G22" s="1296"/>
      <c r="H22" s="1289"/>
      <c r="I22" s="1288"/>
      <c r="J22" s="1286"/>
      <c r="K22" s="1288"/>
      <c r="L22" s="1295"/>
      <c r="M22" s="1294"/>
      <c r="N22" s="1288"/>
      <c r="O22" s="1288"/>
      <c r="P22" s="1286"/>
      <c r="Q22" s="1293"/>
      <c r="R22" s="1292"/>
      <c r="S22" s="1291"/>
      <c r="T22" s="1290"/>
      <c r="U22" s="1289"/>
      <c r="V22" s="1288"/>
      <c r="W22" s="1287"/>
      <c r="X22" s="1286"/>
      <c r="Y22" s="1285"/>
    </row>
    <row r="23" spans="1:25" ht="13.5" customHeight="1">
      <c r="A23" s="1302"/>
      <c r="B23" s="1301"/>
      <c r="C23" s="1300"/>
      <c r="D23" s="1299"/>
      <c r="E23" s="1298"/>
      <c r="F23" s="1297"/>
      <c r="G23" s="1296"/>
      <c r="H23" s="1289"/>
      <c r="I23" s="1288"/>
      <c r="J23" s="1286"/>
      <c r="K23" s="1288"/>
      <c r="L23" s="1295"/>
      <c r="M23" s="1294"/>
      <c r="N23" s="1288"/>
      <c r="O23" s="1288"/>
      <c r="P23" s="1286"/>
      <c r="Q23" s="1293"/>
      <c r="R23" s="1292"/>
      <c r="S23" s="1291"/>
      <c r="T23" s="1290"/>
      <c r="U23" s="1289"/>
      <c r="V23" s="1288"/>
      <c r="W23" s="1287"/>
      <c r="X23" s="1286"/>
      <c r="Y23" s="1285"/>
    </row>
    <row r="24" spans="1:25" ht="13.5" customHeight="1">
      <c r="A24" s="1302"/>
      <c r="B24" s="1301"/>
      <c r="C24" s="1300"/>
      <c r="D24" s="1299"/>
      <c r="E24" s="1298"/>
      <c r="F24" s="1297"/>
      <c r="G24" s="1296"/>
      <c r="H24" s="1289"/>
      <c r="I24" s="1288"/>
      <c r="J24" s="1286"/>
      <c r="K24" s="1288"/>
      <c r="L24" s="1295"/>
      <c r="M24" s="1294"/>
      <c r="N24" s="1288"/>
      <c r="O24" s="1288"/>
      <c r="P24" s="1286"/>
      <c r="Q24" s="1293"/>
      <c r="R24" s="1292"/>
      <c r="S24" s="1291"/>
      <c r="T24" s="1290"/>
      <c r="U24" s="1289"/>
      <c r="V24" s="1288"/>
      <c r="W24" s="1287"/>
      <c r="X24" s="1286"/>
      <c r="Y24" s="1285"/>
    </row>
    <row r="25" spans="1:25" ht="13.5" customHeight="1">
      <c r="A25" s="1302"/>
      <c r="B25" s="1301"/>
      <c r="C25" s="1300"/>
      <c r="D25" s="1299"/>
      <c r="E25" s="1298"/>
      <c r="F25" s="1297"/>
      <c r="G25" s="1296"/>
      <c r="H25" s="1289"/>
      <c r="I25" s="1288"/>
      <c r="J25" s="1286"/>
      <c r="K25" s="1288"/>
      <c r="L25" s="1295"/>
      <c r="M25" s="1294"/>
      <c r="N25" s="1288"/>
      <c r="O25" s="1288"/>
      <c r="P25" s="1286"/>
      <c r="Q25" s="1293"/>
      <c r="R25" s="1292"/>
      <c r="S25" s="1291"/>
      <c r="T25" s="1290"/>
      <c r="U25" s="1289"/>
      <c r="V25" s="1288"/>
      <c r="W25" s="1287"/>
      <c r="X25" s="1286"/>
      <c r="Y25" s="1285"/>
    </row>
    <row r="26" spans="1:25" ht="13.5" customHeight="1">
      <c r="A26" s="1302"/>
      <c r="B26" s="1301"/>
      <c r="C26" s="1300"/>
      <c r="D26" s="1299"/>
      <c r="E26" s="1298"/>
      <c r="F26" s="1297"/>
      <c r="G26" s="1296"/>
      <c r="H26" s="1289"/>
      <c r="I26" s="1288"/>
      <c r="J26" s="1286"/>
      <c r="K26" s="1288"/>
      <c r="L26" s="1295"/>
      <c r="M26" s="1294"/>
      <c r="N26" s="1288"/>
      <c r="O26" s="1288"/>
      <c r="P26" s="1286"/>
      <c r="Q26" s="1293"/>
      <c r="R26" s="1292"/>
      <c r="S26" s="1291"/>
      <c r="T26" s="1290"/>
      <c r="U26" s="1289"/>
      <c r="V26" s="1288"/>
      <c r="W26" s="1287"/>
      <c r="X26" s="1286"/>
      <c r="Y26" s="1285"/>
    </row>
    <row r="27" spans="1:25" ht="13.5" customHeight="1">
      <c r="A27" s="1302"/>
      <c r="B27" s="1301"/>
      <c r="C27" s="1300"/>
      <c r="D27" s="1299"/>
      <c r="E27" s="1298"/>
      <c r="F27" s="1297"/>
      <c r="G27" s="1296"/>
      <c r="H27" s="1289"/>
      <c r="I27" s="1288"/>
      <c r="J27" s="1286"/>
      <c r="K27" s="1288"/>
      <c r="L27" s="1295"/>
      <c r="M27" s="1294"/>
      <c r="N27" s="1288"/>
      <c r="O27" s="1288"/>
      <c r="P27" s="1286"/>
      <c r="Q27" s="1293"/>
      <c r="R27" s="1292"/>
      <c r="S27" s="1291"/>
      <c r="T27" s="1290"/>
      <c r="U27" s="1289"/>
      <c r="V27" s="1288"/>
      <c r="W27" s="1287"/>
      <c r="X27" s="1286"/>
      <c r="Y27" s="1285"/>
    </row>
    <row r="28" spans="1:25" ht="13.5" customHeight="1">
      <c r="A28" s="1302"/>
      <c r="B28" s="1301"/>
      <c r="C28" s="1300"/>
      <c r="D28" s="1299"/>
      <c r="E28" s="1298"/>
      <c r="F28" s="1297"/>
      <c r="G28" s="1296"/>
      <c r="H28" s="1289"/>
      <c r="I28" s="1288"/>
      <c r="J28" s="1286"/>
      <c r="K28" s="1288"/>
      <c r="L28" s="1295"/>
      <c r="M28" s="1294"/>
      <c r="N28" s="1288"/>
      <c r="O28" s="1288"/>
      <c r="P28" s="1286"/>
      <c r="Q28" s="1293"/>
      <c r="R28" s="1292"/>
      <c r="S28" s="1291"/>
      <c r="T28" s="1290"/>
      <c r="U28" s="1289"/>
      <c r="V28" s="1288"/>
      <c r="W28" s="1287"/>
      <c r="X28" s="1286"/>
      <c r="Y28" s="1285"/>
    </row>
    <row r="29" spans="1:25" ht="13.5" customHeight="1">
      <c r="A29" s="1302"/>
      <c r="B29" s="1301"/>
      <c r="C29" s="1300"/>
      <c r="D29" s="1299"/>
      <c r="E29" s="1298"/>
      <c r="F29" s="1297"/>
      <c r="G29" s="1296"/>
      <c r="H29" s="1289"/>
      <c r="I29" s="1288"/>
      <c r="J29" s="1286"/>
      <c r="K29" s="1288"/>
      <c r="L29" s="1295"/>
      <c r="M29" s="1294"/>
      <c r="N29" s="1288"/>
      <c r="O29" s="1288"/>
      <c r="P29" s="1286"/>
      <c r="Q29" s="1293"/>
      <c r="R29" s="1292"/>
      <c r="S29" s="1291"/>
      <c r="T29" s="1290"/>
      <c r="U29" s="1289"/>
      <c r="V29" s="1288"/>
      <c r="W29" s="1287"/>
      <c r="X29" s="1286"/>
      <c r="Y29" s="1285"/>
    </row>
    <row r="30" spans="1:25" ht="13.5" customHeight="1">
      <c r="A30" s="1302"/>
      <c r="B30" s="1301"/>
      <c r="C30" s="1300"/>
      <c r="D30" s="1299"/>
      <c r="E30" s="1298"/>
      <c r="F30" s="1297"/>
      <c r="G30" s="1296"/>
      <c r="H30" s="1289"/>
      <c r="I30" s="1288"/>
      <c r="J30" s="1286"/>
      <c r="K30" s="1288"/>
      <c r="L30" s="1295"/>
      <c r="M30" s="1294"/>
      <c r="N30" s="1288"/>
      <c r="O30" s="1288"/>
      <c r="P30" s="1286"/>
      <c r="Q30" s="1293"/>
      <c r="R30" s="1292"/>
      <c r="S30" s="1291"/>
      <c r="T30" s="1290"/>
      <c r="U30" s="1289"/>
      <c r="V30" s="1288"/>
      <c r="W30" s="1287"/>
      <c r="X30" s="1286"/>
      <c r="Y30" s="1285"/>
    </row>
    <row r="31" spans="1:25" ht="13.5" customHeight="1">
      <c r="A31" s="1302"/>
      <c r="B31" s="1301"/>
      <c r="C31" s="1300"/>
      <c r="D31" s="1299"/>
      <c r="E31" s="1298"/>
      <c r="F31" s="1297"/>
      <c r="G31" s="1296"/>
      <c r="H31" s="1289"/>
      <c r="I31" s="1288"/>
      <c r="J31" s="1286"/>
      <c r="K31" s="1288"/>
      <c r="L31" s="1295"/>
      <c r="M31" s="1294"/>
      <c r="N31" s="1288"/>
      <c r="O31" s="1288"/>
      <c r="P31" s="1286"/>
      <c r="Q31" s="1293"/>
      <c r="R31" s="1292"/>
      <c r="S31" s="1291"/>
      <c r="T31" s="1290"/>
      <c r="U31" s="1289"/>
      <c r="V31" s="1288"/>
      <c r="W31" s="1287"/>
      <c r="X31" s="1286"/>
      <c r="Y31" s="1285"/>
    </row>
    <row r="32" spans="1:25" ht="13.5" customHeight="1">
      <c r="A32" s="1302"/>
      <c r="B32" s="1301"/>
      <c r="C32" s="1300"/>
      <c r="D32" s="1299"/>
      <c r="E32" s="1298"/>
      <c r="F32" s="1297"/>
      <c r="G32" s="1296"/>
      <c r="H32" s="1289"/>
      <c r="I32" s="1288"/>
      <c r="J32" s="1286"/>
      <c r="K32" s="1288"/>
      <c r="L32" s="1295"/>
      <c r="M32" s="1294"/>
      <c r="N32" s="1288"/>
      <c r="O32" s="1288"/>
      <c r="P32" s="1286"/>
      <c r="Q32" s="1293"/>
      <c r="R32" s="1292"/>
      <c r="S32" s="1291"/>
      <c r="T32" s="1290"/>
      <c r="U32" s="1289"/>
      <c r="V32" s="1288"/>
      <c r="W32" s="1287"/>
      <c r="X32" s="1286"/>
      <c r="Y32" s="1285"/>
    </row>
    <row r="33" spans="1:25" ht="13.5" customHeight="1">
      <c r="A33" s="1302"/>
      <c r="B33" s="1301"/>
      <c r="C33" s="1300"/>
      <c r="D33" s="1299"/>
      <c r="E33" s="1298"/>
      <c r="F33" s="1297"/>
      <c r="G33" s="1296"/>
      <c r="H33" s="1289"/>
      <c r="I33" s="1288"/>
      <c r="J33" s="1286"/>
      <c r="K33" s="1288"/>
      <c r="L33" s="1295"/>
      <c r="M33" s="1294"/>
      <c r="N33" s="1288"/>
      <c r="O33" s="1288"/>
      <c r="P33" s="1286"/>
      <c r="Q33" s="1293"/>
      <c r="R33" s="1292"/>
      <c r="S33" s="1291"/>
      <c r="T33" s="1290"/>
      <c r="U33" s="1289"/>
      <c r="V33" s="1288"/>
      <c r="W33" s="1287"/>
      <c r="X33" s="1286"/>
      <c r="Y33" s="1285"/>
    </row>
    <row r="34" spans="1:25" ht="13.5" customHeight="1">
      <c r="A34" s="1302"/>
      <c r="B34" s="1301"/>
      <c r="C34" s="1300"/>
      <c r="D34" s="1299"/>
      <c r="E34" s="1298"/>
      <c r="F34" s="1297"/>
      <c r="G34" s="1296"/>
      <c r="H34" s="1289"/>
      <c r="I34" s="1288"/>
      <c r="J34" s="1286"/>
      <c r="K34" s="1288"/>
      <c r="L34" s="1295"/>
      <c r="M34" s="1294"/>
      <c r="N34" s="1288"/>
      <c r="O34" s="1288"/>
      <c r="P34" s="1286"/>
      <c r="Q34" s="1293"/>
      <c r="R34" s="1292"/>
      <c r="S34" s="1291"/>
      <c r="T34" s="1290"/>
      <c r="U34" s="1289"/>
      <c r="V34" s="1288"/>
      <c r="W34" s="1287"/>
      <c r="X34" s="1286"/>
      <c r="Y34" s="1285"/>
    </row>
    <row r="35" spans="1:25" ht="13.5" customHeight="1">
      <c r="A35" s="1302"/>
      <c r="B35" s="1301"/>
      <c r="C35" s="1300"/>
      <c r="D35" s="1299"/>
      <c r="E35" s="1298"/>
      <c r="F35" s="1297"/>
      <c r="G35" s="1296"/>
      <c r="H35" s="1289"/>
      <c r="I35" s="1288"/>
      <c r="J35" s="1286"/>
      <c r="K35" s="1288"/>
      <c r="L35" s="1295"/>
      <c r="M35" s="1294"/>
      <c r="N35" s="1288"/>
      <c r="O35" s="1288"/>
      <c r="P35" s="1286"/>
      <c r="Q35" s="1293"/>
      <c r="R35" s="1292"/>
      <c r="S35" s="1291"/>
      <c r="T35" s="1290"/>
      <c r="U35" s="1289"/>
      <c r="V35" s="1288"/>
      <c r="W35" s="1287"/>
      <c r="X35" s="1286"/>
      <c r="Y35" s="1285"/>
    </row>
    <row r="36" spans="1:25" ht="13.5" customHeight="1" thickBot="1">
      <c r="A36" s="1405"/>
      <c r="B36" s="1406"/>
      <c r="C36" s="1407"/>
      <c r="D36" s="1408"/>
      <c r="E36" s="1409"/>
      <c r="F36" s="1410"/>
      <c r="G36" s="1411"/>
      <c r="H36" s="1412"/>
      <c r="I36" s="1413"/>
      <c r="J36" s="1414"/>
      <c r="K36" s="1413"/>
      <c r="L36" s="1415"/>
      <c r="M36" s="1416"/>
      <c r="N36" s="1413"/>
      <c r="O36" s="1413"/>
      <c r="P36" s="1414"/>
      <c r="Q36" s="1417"/>
      <c r="R36" s="1418"/>
      <c r="S36" s="1419"/>
      <c r="T36" s="1420"/>
      <c r="U36" s="1412"/>
      <c r="V36" s="1413"/>
      <c r="W36" s="1421"/>
      <c r="X36" s="1414"/>
      <c r="Y36" s="1422"/>
    </row>
    <row r="37" spans="1:25" ht="18.95" customHeight="1" thickTop="1">
      <c r="A37" s="1431" t="s">
        <v>637</v>
      </c>
      <c r="B37" s="1432"/>
      <c r="C37" s="1433"/>
      <c r="D37" s="1423">
        <v>134.5</v>
      </c>
      <c r="E37" s="1424"/>
      <c r="F37" s="1424">
        <v>376.8</v>
      </c>
      <c r="G37" s="1425"/>
      <c r="H37" s="1426">
        <v>12020</v>
      </c>
      <c r="I37" s="1427">
        <v>0</v>
      </c>
      <c r="J37" s="1427">
        <v>12020</v>
      </c>
      <c r="K37" s="1427">
        <v>878</v>
      </c>
      <c r="L37" s="1427">
        <v>12898</v>
      </c>
      <c r="M37" s="1426">
        <v>0</v>
      </c>
      <c r="N37" s="1426">
        <v>15915</v>
      </c>
      <c r="O37" s="1427">
        <v>0</v>
      </c>
      <c r="P37" s="1427">
        <v>15915</v>
      </c>
      <c r="Q37" s="1427">
        <v>0</v>
      </c>
      <c r="R37" s="1427">
        <v>15915</v>
      </c>
      <c r="S37" s="1428"/>
      <c r="T37" s="1429"/>
      <c r="U37" s="1426">
        <v>530</v>
      </c>
      <c r="V37" s="1427">
        <v>4460</v>
      </c>
      <c r="W37" s="1427">
        <v>2310</v>
      </c>
      <c r="X37" s="1427">
        <v>4460</v>
      </c>
      <c r="Y37" s="1430"/>
    </row>
    <row r="38" spans="1:25" ht="13.5" customHeight="1">
      <c r="A38" s="1276" t="s">
        <v>710</v>
      </c>
      <c r="C38" s="1276" t="s">
        <v>711</v>
      </c>
    </row>
    <row r="39" spans="1:25" ht="13.5" customHeight="1">
      <c r="C39" s="1276" t="s">
        <v>712</v>
      </c>
    </row>
    <row r="40" spans="1:25" ht="13.5" customHeight="1">
      <c r="C40" s="1276" t="s">
        <v>713</v>
      </c>
    </row>
    <row r="56" spans="3:46" s="1276" customFormat="1" ht="13.5" customHeight="1">
      <c r="C56" s="1283"/>
      <c r="D56" s="1283"/>
      <c r="E56" s="1283"/>
      <c r="F56" s="1283"/>
      <c r="G56" s="1283"/>
      <c r="H56" s="1283"/>
      <c r="J56" s="1280"/>
      <c r="P56" s="1280"/>
      <c r="AB56" s="1279"/>
      <c r="AC56" s="1279"/>
      <c r="AD56" s="1279"/>
      <c r="AE56" s="1279"/>
      <c r="AF56" s="1279"/>
      <c r="AG56" s="1279"/>
      <c r="AH56" s="1279"/>
      <c r="AI56" s="1279"/>
      <c r="AJ56" s="1279"/>
      <c r="AK56" s="1279"/>
      <c r="AL56" s="1279"/>
      <c r="AM56" s="1279"/>
      <c r="AN56" s="1279"/>
      <c r="AO56" s="1279"/>
      <c r="AP56" s="1279"/>
      <c r="AQ56" s="1279"/>
      <c r="AR56" s="1278"/>
      <c r="AS56" s="1277"/>
      <c r="AT56" s="1277"/>
    </row>
    <row r="57" spans="3:46" s="1276" customFormat="1" ht="13.5" customHeight="1">
      <c r="C57" s="1283"/>
      <c r="D57" s="1283"/>
      <c r="E57" s="1283"/>
      <c r="F57" s="1283"/>
      <c r="G57" s="1283"/>
      <c r="H57" s="1283"/>
      <c r="I57" s="1284"/>
      <c r="J57" s="1280"/>
      <c r="O57" s="1284"/>
      <c r="P57" s="1280"/>
      <c r="AB57" s="1279"/>
      <c r="AC57" s="1279"/>
      <c r="AD57" s="1279"/>
      <c r="AE57" s="1279"/>
      <c r="AF57" s="1279"/>
      <c r="AG57" s="1279"/>
      <c r="AH57" s="1279"/>
      <c r="AI57" s="1279"/>
      <c r="AJ57" s="1279"/>
      <c r="AK57" s="1279"/>
      <c r="AL57" s="1279"/>
      <c r="AM57" s="1279"/>
      <c r="AN57" s="1279"/>
      <c r="AO57" s="1279"/>
      <c r="AP57" s="1279"/>
      <c r="AQ57" s="1279"/>
      <c r="AR57" s="1278"/>
      <c r="AS57" s="1277"/>
      <c r="AT57" s="1277"/>
    </row>
    <row r="58" spans="3:46" s="1276" customFormat="1" ht="13.5" customHeight="1">
      <c r="C58" s="1283"/>
      <c r="D58" s="1283"/>
      <c r="E58" s="1283"/>
      <c r="F58" s="1283"/>
      <c r="G58" s="1283"/>
      <c r="H58" s="1283"/>
      <c r="I58" s="1282"/>
      <c r="J58" s="1280"/>
      <c r="O58" s="1282"/>
      <c r="P58" s="1280"/>
      <c r="AB58" s="1279"/>
      <c r="AC58" s="1279"/>
      <c r="AD58" s="1279"/>
      <c r="AE58" s="1279"/>
      <c r="AF58" s="1279"/>
      <c r="AG58" s="1279"/>
      <c r="AH58" s="1279"/>
      <c r="AI58" s="1279"/>
      <c r="AJ58" s="1279"/>
      <c r="AK58" s="1279"/>
      <c r="AL58" s="1279"/>
      <c r="AM58" s="1279"/>
      <c r="AN58" s="1279"/>
      <c r="AO58" s="1279"/>
      <c r="AP58" s="1279"/>
      <c r="AQ58" s="1279"/>
      <c r="AR58" s="1278"/>
      <c r="AS58" s="1277"/>
      <c r="AT58" s="1277"/>
    </row>
    <row r="59" spans="3:46" s="1276" customFormat="1" ht="13.5" customHeight="1">
      <c r="C59" s="1281"/>
      <c r="D59" s="1281"/>
      <c r="E59" s="1281"/>
      <c r="F59" s="1281"/>
      <c r="G59" s="1281"/>
      <c r="H59" s="1281"/>
      <c r="I59" s="1280"/>
      <c r="O59" s="1280"/>
      <c r="AB59" s="1279"/>
      <c r="AC59" s="1279"/>
      <c r="AD59" s="1279"/>
      <c r="AE59" s="1279"/>
      <c r="AF59" s="1279"/>
      <c r="AG59" s="1279"/>
      <c r="AH59" s="1279"/>
      <c r="AI59" s="1279"/>
      <c r="AJ59" s="1279"/>
      <c r="AK59" s="1279"/>
      <c r="AL59" s="1279"/>
      <c r="AM59" s="1279"/>
      <c r="AN59" s="1279"/>
      <c r="AO59" s="1279"/>
      <c r="AP59" s="1279"/>
      <c r="AQ59" s="1279"/>
      <c r="AR59" s="1278"/>
      <c r="AS59" s="1277"/>
      <c r="AT59" s="1277"/>
    </row>
  </sheetData>
  <mergeCells count="33">
    <mergeCell ref="A37:C37"/>
    <mergeCell ref="H5:H6"/>
    <mergeCell ref="N5:N6"/>
    <mergeCell ref="AB2:AI3"/>
    <mergeCell ref="AJ2:AQ3"/>
    <mergeCell ref="AS2:AT4"/>
    <mergeCell ref="A4:A6"/>
    <mergeCell ref="B4:B6"/>
    <mergeCell ref="C4:C6"/>
    <mergeCell ref="D4:D6"/>
    <mergeCell ref="E4:E6"/>
    <mergeCell ref="F4:F6"/>
    <mergeCell ref="G4:G6"/>
    <mergeCell ref="H4:L4"/>
    <mergeCell ref="M4:M6"/>
    <mergeCell ref="N4:R4"/>
    <mergeCell ref="S4:T5"/>
    <mergeCell ref="U4:X4"/>
    <mergeCell ref="Y4:Y6"/>
    <mergeCell ref="U5:U6"/>
    <mergeCell ref="V5:V6"/>
    <mergeCell ref="W5:W6"/>
    <mergeCell ref="X5:X6"/>
    <mergeCell ref="K5:K6"/>
    <mergeCell ref="L5:L6"/>
    <mergeCell ref="Q5:Q6"/>
    <mergeCell ref="R5:R6"/>
    <mergeCell ref="AS5:AS6"/>
    <mergeCell ref="AT5:AT6"/>
    <mergeCell ref="AB4:AE4"/>
    <mergeCell ref="AF4:AI4"/>
    <mergeCell ref="AJ4:AM4"/>
    <mergeCell ref="AN4:AQ4"/>
  </mergeCells>
  <phoneticPr fontId="3"/>
  <printOptions horizontalCentered="1"/>
  <pageMargins left="0.39370078740157483" right="0.39370078740157483" top="0.70866141732283472" bottom="0.47244094488188981" header="0.31496062992125984" footer="0.31496062992125984"/>
  <pageSetup paperSize="9" scale="75" orientation="landscape" horizontalDpi="1200" verticalDpi="1200" r:id="rId1"/>
  <headerFooter scaleWithDoc="0">
    <oddFooter>&amp;C&amp;"ＭＳ Ｐゴシック,標準"&amp;9( &amp;P / &amp;N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11111221263">
    <pageSetUpPr fitToPage="1"/>
  </sheetPr>
  <dimension ref="A1:AH32"/>
  <sheetViews>
    <sheetView showGridLines="0" zoomScaleNormal="100" workbookViewId="0"/>
  </sheetViews>
  <sheetFormatPr defaultColWidth="11.7109375" defaultRowHeight="18" customHeight="1"/>
  <cols>
    <col min="1" max="12" width="9.140625" style="1448" customWidth="1"/>
    <col min="13" max="13" width="2.5703125" style="1448" customWidth="1"/>
    <col min="14" max="16" width="9.140625" style="1448" customWidth="1"/>
    <col min="17" max="18" width="3.7109375" style="1448" customWidth="1"/>
    <col min="19" max="25" width="9.140625" style="1448" customWidth="1"/>
    <col min="26" max="27" width="3.7109375" style="1448" customWidth="1"/>
    <col min="28" max="34" width="9.140625" style="1448" customWidth="1"/>
    <col min="35" max="35" width="3.7109375" style="1448" customWidth="1"/>
    <col min="36" max="16384" width="11.7109375" style="1448"/>
  </cols>
  <sheetData>
    <row r="1" spans="1:34" s="1478" customFormat="1" ht="18" customHeight="1">
      <c r="A1" s="1485" t="s">
        <v>732</v>
      </c>
      <c r="B1" s="1480"/>
      <c r="C1" s="1480"/>
      <c r="D1" s="1480"/>
      <c r="E1" s="1480"/>
      <c r="F1" s="1480"/>
      <c r="G1" s="1480"/>
      <c r="H1" s="1480"/>
      <c r="I1" s="1480"/>
      <c r="J1" s="1480"/>
      <c r="K1" s="1480"/>
      <c r="L1" s="1480"/>
      <c r="M1" s="1480"/>
      <c r="N1" s="1484"/>
      <c r="O1" s="1484"/>
      <c r="P1" s="1483"/>
      <c r="R1" s="1482" t="s">
        <v>753</v>
      </c>
      <c r="S1" s="1481"/>
      <c r="T1" s="1480"/>
      <c r="U1" s="1480"/>
      <c r="V1" s="1480"/>
      <c r="W1" s="1480"/>
      <c r="X1" s="1480"/>
      <c r="Y1" s="1480"/>
      <c r="Z1" s="1480"/>
      <c r="AA1" s="1480"/>
      <c r="AB1" s="1480"/>
      <c r="AC1" s="1480"/>
      <c r="AD1" s="1480"/>
      <c r="AE1" s="1480"/>
      <c r="AF1" s="1480"/>
      <c r="AG1" s="1480"/>
      <c r="AH1" s="1479"/>
    </row>
    <row r="2" spans="1:34" ht="9.75" customHeight="1" thickBot="1">
      <c r="M2" s="1477"/>
      <c r="N2" s="1476"/>
      <c r="O2" s="1476"/>
      <c r="P2" s="1476"/>
    </row>
    <row r="3" spans="1:34" ht="18" customHeight="1" thickBot="1">
      <c r="A3" s="1464"/>
      <c r="B3" s="1475"/>
      <c r="C3" s="1475"/>
      <c r="D3" s="1475"/>
      <c r="E3" s="1475"/>
      <c r="F3" s="1475"/>
      <c r="G3" s="1475"/>
      <c r="H3" s="1475"/>
      <c r="I3" s="1475"/>
      <c r="J3" s="1475"/>
      <c r="K3" s="1475"/>
      <c r="L3" s="1466"/>
      <c r="M3" s="1466"/>
      <c r="N3" s="1474" t="s">
        <v>729</v>
      </c>
      <c r="O3" s="1473"/>
      <c r="P3" s="1472"/>
      <c r="Q3" s="1464"/>
      <c r="R3" s="1488" t="s">
        <v>733</v>
      </c>
      <c r="S3" s="1489"/>
      <c r="T3" s="1489"/>
      <c r="U3" s="1489"/>
      <c r="V3" s="1489"/>
      <c r="W3" s="1489"/>
      <c r="X3" s="1489"/>
      <c r="Y3" s="1489"/>
    </row>
    <row r="4" spans="1:34" ht="18" customHeight="1">
      <c r="A4" s="1464"/>
      <c r="B4" s="1464"/>
      <c r="C4" s="1464"/>
      <c r="D4" s="1464"/>
      <c r="E4" s="1464"/>
      <c r="F4" s="1464"/>
      <c r="G4" s="1464"/>
      <c r="H4" s="1464"/>
      <c r="I4" s="1471"/>
      <c r="J4" s="1466"/>
      <c r="K4" s="1471"/>
      <c r="L4" s="1466"/>
      <c r="M4" s="1466"/>
      <c r="N4" s="1455" t="s">
        <v>717</v>
      </c>
      <c r="O4" s="1454"/>
      <c r="P4" s="1453"/>
      <c r="Q4" s="1464"/>
      <c r="S4" s="1490" t="s">
        <v>734</v>
      </c>
      <c r="T4" s="1491"/>
      <c r="U4" s="1491"/>
      <c r="V4" s="1491"/>
      <c r="W4" s="1491"/>
      <c r="X4" s="1491"/>
      <c r="Y4" s="1491"/>
    </row>
    <row r="5" spans="1:34" ht="18" customHeight="1">
      <c r="A5" s="1464"/>
      <c r="B5" s="1464"/>
      <c r="C5" s="1464"/>
      <c r="D5" s="1464"/>
      <c r="E5" s="1464"/>
      <c r="F5" s="1464"/>
      <c r="G5" s="1464"/>
      <c r="H5" s="1464"/>
      <c r="I5" s="1466"/>
      <c r="J5" s="1465"/>
      <c r="K5" s="1466"/>
      <c r="L5" s="1465"/>
      <c r="M5" s="1465"/>
      <c r="N5" s="1455" t="s">
        <v>718</v>
      </c>
      <c r="O5" s="1454"/>
      <c r="P5" s="1453"/>
      <c r="Q5" s="1464"/>
      <c r="S5" s="1486" t="s">
        <v>716</v>
      </c>
      <c r="T5" s="1487"/>
      <c r="U5" s="1487"/>
      <c r="V5" s="1487"/>
      <c r="W5" s="1487"/>
      <c r="X5" s="1487"/>
      <c r="Y5" s="1487"/>
    </row>
    <row r="6" spans="1:34" ht="18" customHeight="1" thickBot="1">
      <c r="A6" s="1464"/>
      <c r="B6" s="1464"/>
      <c r="C6" s="1464"/>
      <c r="D6" s="1464"/>
      <c r="E6" s="1464"/>
      <c r="F6" s="1464"/>
      <c r="G6" s="1464"/>
      <c r="H6" s="1464"/>
      <c r="I6" s="1466"/>
      <c r="J6" s="1465"/>
      <c r="K6" s="1466"/>
      <c r="L6" s="1465"/>
      <c r="M6" s="1465"/>
      <c r="N6" s="1455" t="s">
        <v>719</v>
      </c>
      <c r="O6" s="1454"/>
      <c r="P6" s="1453"/>
      <c r="Q6" s="1464"/>
      <c r="R6" s="1488" t="s">
        <v>735</v>
      </c>
      <c r="S6" s="1489"/>
      <c r="T6" s="1489"/>
      <c r="U6" s="1489"/>
      <c r="V6" s="1489"/>
      <c r="W6" s="1489"/>
      <c r="X6" s="1489"/>
      <c r="Y6" s="1489"/>
    </row>
    <row r="7" spans="1:34" ht="18" customHeight="1">
      <c r="A7" s="1464"/>
      <c r="B7" s="1464"/>
      <c r="C7" s="1464"/>
      <c r="D7" s="1464"/>
      <c r="E7" s="1464"/>
      <c r="F7" s="1464"/>
      <c r="G7" s="1464"/>
      <c r="H7" s="1464"/>
      <c r="I7" s="1456"/>
      <c r="J7" s="1456"/>
      <c r="K7" s="1456"/>
      <c r="L7" s="1456"/>
      <c r="M7" s="1456"/>
      <c r="N7" s="1455" t="s">
        <v>720</v>
      </c>
      <c r="O7" s="1454"/>
      <c r="P7" s="1453"/>
      <c r="Q7" s="1464"/>
      <c r="R7" s="1490" t="s">
        <v>736</v>
      </c>
      <c r="S7" s="1491"/>
      <c r="T7" s="1491"/>
      <c r="U7" s="1491"/>
      <c r="V7" s="1491"/>
      <c r="W7" s="1491"/>
      <c r="X7" s="1491"/>
      <c r="Y7" s="1491"/>
    </row>
    <row r="8" spans="1:34" ht="18" customHeight="1">
      <c r="A8" s="1464"/>
      <c r="B8" s="1464"/>
      <c r="C8" s="1470" t="s">
        <v>715</v>
      </c>
      <c r="D8" s="1469"/>
      <c r="E8" s="1464"/>
      <c r="F8" s="1464"/>
      <c r="G8" s="1464"/>
      <c r="H8" s="1464"/>
      <c r="I8" s="1464"/>
      <c r="J8" s="1464"/>
      <c r="K8" s="1464"/>
      <c r="L8" s="1464"/>
      <c r="M8" s="1464"/>
      <c r="N8" s="1455" t="s">
        <v>721</v>
      </c>
      <c r="O8" s="1454"/>
      <c r="P8" s="1453"/>
      <c r="Q8" s="1464"/>
      <c r="S8" s="1486" t="s">
        <v>737</v>
      </c>
      <c r="T8" s="1487"/>
      <c r="U8" s="1487"/>
      <c r="V8" s="1487"/>
      <c r="W8" s="1487"/>
      <c r="X8" s="1487"/>
      <c r="Y8" s="1487"/>
    </row>
    <row r="9" spans="1:34" ht="18" customHeight="1" thickBot="1">
      <c r="A9" s="1464"/>
      <c r="B9" s="1464"/>
      <c r="C9" s="1468"/>
      <c r="D9" s="1467"/>
      <c r="E9" s="1464"/>
      <c r="F9" s="1464"/>
      <c r="G9" s="1464"/>
      <c r="H9" s="1464"/>
      <c r="I9" s="1466"/>
      <c r="J9" s="1466"/>
      <c r="K9" s="1466"/>
      <c r="L9" s="1466"/>
      <c r="M9" s="1466"/>
      <c r="N9" s="1455" t="s">
        <v>722</v>
      </c>
      <c r="O9" s="1454"/>
      <c r="P9" s="1453"/>
      <c r="Q9" s="1464"/>
      <c r="R9" s="1460"/>
      <c r="S9" s="1492" t="s">
        <v>738</v>
      </c>
      <c r="T9" s="1487"/>
      <c r="U9" s="1487"/>
      <c r="V9" s="1487"/>
      <c r="W9" s="1487"/>
      <c r="X9" s="1487"/>
      <c r="Y9" s="1487"/>
    </row>
    <row r="10" spans="1:34" ht="18" customHeight="1">
      <c r="A10" s="1464"/>
      <c r="B10" s="1464"/>
      <c r="C10" s="1464"/>
      <c r="D10" s="1464"/>
      <c r="E10" s="1464"/>
      <c r="F10" s="1464"/>
      <c r="G10" s="1464"/>
      <c r="H10" s="1464"/>
      <c r="I10" s="1466"/>
      <c r="M10" s="1466"/>
      <c r="N10" s="1455" t="s">
        <v>716</v>
      </c>
      <c r="O10" s="1454"/>
      <c r="P10" s="1453"/>
      <c r="Q10" s="1464"/>
      <c r="R10" s="1460"/>
      <c r="S10" s="1492" t="s">
        <v>716</v>
      </c>
      <c r="T10" s="1487"/>
      <c r="U10" s="1487"/>
      <c r="V10" s="1487"/>
      <c r="W10" s="1487"/>
      <c r="X10" s="1487"/>
      <c r="Y10" s="1487"/>
    </row>
    <row r="11" spans="1:34" ht="18" customHeight="1" thickBot="1">
      <c r="A11" s="1464"/>
      <c r="B11" s="1464"/>
      <c r="C11" s="1464"/>
      <c r="D11" s="1464"/>
      <c r="E11" s="1464"/>
      <c r="F11" s="1464"/>
      <c r="G11" s="1464"/>
      <c r="H11" s="1464"/>
      <c r="I11" s="1466"/>
      <c r="M11" s="1465"/>
      <c r="N11" s="1455" t="s">
        <v>723</v>
      </c>
      <c r="O11" s="1454"/>
      <c r="P11" s="1453"/>
      <c r="Q11" s="1464"/>
      <c r="R11" s="1493" t="s">
        <v>739</v>
      </c>
      <c r="S11" s="1489"/>
      <c r="T11" s="1489"/>
      <c r="U11" s="1489"/>
      <c r="V11" s="1489"/>
      <c r="W11" s="1489"/>
      <c r="X11" s="1489"/>
      <c r="Y11" s="1489"/>
    </row>
    <row r="12" spans="1:34" ht="18" customHeight="1">
      <c r="A12" s="1464"/>
      <c r="B12" s="1464"/>
      <c r="C12" s="1464"/>
      <c r="D12" s="1464"/>
      <c r="E12" s="1464"/>
      <c r="F12" s="1464"/>
      <c r="G12" s="1464"/>
      <c r="H12" s="1464"/>
      <c r="I12" s="1466"/>
      <c r="M12" s="1465"/>
      <c r="N12" s="1455" t="s">
        <v>724</v>
      </c>
      <c r="O12" s="1454"/>
      <c r="P12" s="1453"/>
      <c r="R12" s="1494" t="s">
        <v>740</v>
      </c>
      <c r="S12" s="1491"/>
      <c r="T12" s="1491"/>
      <c r="U12" s="1491"/>
      <c r="V12" s="1491"/>
      <c r="W12" s="1491"/>
      <c r="X12" s="1491"/>
      <c r="Y12" s="1491"/>
    </row>
    <row r="13" spans="1:34" ht="18" customHeight="1">
      <c r="A13" s="1464"/>
      <c r="B13" s="1464"/>
      <c r="C13" s="1464"/>
      <c r="D13" s="1464"/>
      <c r="E13" s="1464"/>
      <c r="F13" s="1464"/>
      <c r="G13" s="1464"/>
      <c r="H13" s="1464"/>
      <c r="I13" s="1456"/>
      <c r="M13" s="1456"/>
      <c r="N13" s="1455" t="s">
        <v>725</v>
      </c>
      <c r="O13" s="1454"/>
      <c r="P13" s="1453"/>
      <c r="R13" s="1460"/>
      <c r="S13" s="1492" t="s">
        <v>741</v>
      </c>
      <c r="T13" s="1487"/>
      <c r="U13" s="1487"/>
      <c r="V13" s="1487"/>
      <c r="W13" s="1487"/>
      <c r="X13" s="1487"/>
      <c r="Y13" s="1487"/>
    </row>
    <row r="14" spans="1:34" ht="18" customHeight="1">
      <c r="A14" s="1464"/>
      <c r="B14" s="1464"/>
      <c r="C14" s="1464"/>
      <c r="D14" s="1464"/>
      <c r="E14" s="1464"/>
      <c r="F14" s="1464"/>
      <c r="G14" s="1464"/>
      <c r="H14" s="1464"/>
      <c r="I14" s="1464"/>
      <c r="M14" s="1464"/>
      <c r="N14" s="1455" t="s">
        <v>726</v>
      </c>
      <c r="O14" s="1454"/>
      <c r="P14" s="1453"/>
      <c r="R14" s="1460"/>
      <c r="S14" s="1492" t="s">
        <v>742</v>
      </c>
      <c r="T14" s="1487"/>
      <c r="U14" s="1487"/>
      <c r="V14" s="1487"/>
      <c r="W14" s="1487"/>
      <c r="X14" s="1487"/>
      <c r="Y14" s="1487"/>
    </row>
    <row r="15" spans="1:34" ht="18" customHeight="1">
      <c r="N15" s="1455" t="s">
        <v>727</v>
      </c>
      <c r="O15" s="1454"/>
      <c r="P15" s="1453"/>
      <c r="S15" s="1492" t="s">
        <v>743</v>
      </c>
      <c r="T15" s="1487"/>
      <c r="U15" s="1487"/>
      <c r="V15" s="1487"/>
      <c r="W15" s="1487"/>
      <c r="X15" s="1487"/>
      <c r="Y15" s="1487"/>
    </row>
    <row r="16" spans="1:34" ht="18" customHeight="1">
      <c r="N16" s="1455" t="s">
        <v>728</v>
      </c>
      <c r="O16" s="1454"/>
      <c r="P16" s="1453"/>
      <c r="R16" s="1456"/>
      <c r="S16" s="1495" t="s">
        <v>716</v>
      </c>
      <c r="T16" s="1487"/>
      <c r="U16" s="1487"/>
      <c r="V16" s="1487"/>
      <c r="W16" s="1487"/>
      <c r="X16" s="1487"/>
      <c r="Y16" s="1487"/>
    </row>
    <row r="17" spans="1:25" ht="18" customHeight="1">
      <c r="N17" s="1455"/>
      <c r="O17" s="1454"/>
      <c r="P17" s="1453"/>
      <c r="R17" s="1496" t="s">
        <v>744</v>
      </c>
      <c r="S17" s="1487"/>
      <c r="T17" s="1487"/>
      <c r="U17" s="1487"/>
      <c r="V17" s="1487"/>
      <c r="W17" s="1487"/>
      <c r="X17" s="1487"/>
      <c r="Y17" s="1487"/>
    </row>
    <row r="18" spans="1:25" ht="18" customHeight="1">
      <c r="N18" s="1455"/>
      <c r="O18" s="1454"/>
      <c r="P18" s="1453"/>
      <c r="R18" s="1463"/>
      <c r="S18" s="1496" t="s">
        <v>745</v>
      </c>
      <c r="T18" s="1487"/>
      <c r="U18" s="1487"/>
      <c r="V18" s="1487"/>
      <c r="W18" s="1487"/>
      <c r="X18" s="1487"/>
      <c r="Y18" s="1487"/>
    </row>
    <row r="19" spans="1:25" ht="18" customHeight="1">
      <c r="I19" s="1456"/>
      <c r="M19" s="1456"/>
      <c r="N19" s="1455"/>
      <c r="O19" s="1454"/>
      <c r="P19" s="1453"/>
      <c r="R19" s="1462"/>
      <c r="S19" s="1497" t="s">
        <v>746</v>
      </c>
      <c r="T19" s="1487"/>
      <c r="U19" s="1487"/>
      <c r="V19" s="1487"/>
      <c r="W19" s="1487"/>
      <c r="X19" s="1487"/>
      <c r="Y19" s="1487"/>
    </row>
    <row r="20" spans="1:25" ht="18" customHeight="1">
      <c r="N20" s="1455"/>
      <c r="O20" s="1454"/>
      <c r="P20" s="1453"/>
      <c r="R20" s="1460"/>
      <c r="S20" s="1492" t="s">
        <v>716</v>
      </c>
      <c r="T20" s="1487"/>
      <c r="U20" s="1487"/>
      <c r="V20" s="1487"/>
      <c r="W20" s="1487"/>
      <c r="X20" s="1487"/>
      <c r="Y20" s="1487"/>
    </row>
    <row r="21" spans="1:25" ht="18" customHeight="1" thickBot="1">
      <c r="A21" s="1461"/>
      <c r="B21" s="1460"/>
      <c r="C21" s="1460"/>
      <c r="N21" s="1455"/>
      <c r="O21" s="1454"/>
      <c r="P21" s="1453"/>
      <c r="R21" s="1498" t="s">
        <v>747</v>
      </c>
      <c r="S21" s="1489"/>
      <c r="T21" s="1489"/>
      <c r="U21" s="1489"/>
      <c r="V21" s="1489"/>
      <c r="W21" s="1489"/>
      <c r="X21" s="1489"/>
      <c r="Y21" s="1489"/>
    </row>
    <row r="22" spans="1:25" ht="18" customHeight="1">
      <c r="A22" s="1461"/>
      <c r="B22" s="1460"/>
      <c r="C22" s="1460"/>
      <c r="N22" s="1455"/>
      <c r="O22" s="1454"/>
      <c r="P22" s="1453"/>
      <c r="R22" s="1459"/>
      <c r="S22" s="1499" t="s">
        <v>748</v>
      </c>
      <c r="T22" s="1491"/>
      <c r="U22" s="1491"/>
      <c r="V22" s="1491"/>
      <c r="W22" s="1491"/>
      <c r="X22" s="1491"/>
      <c r="Y22" s="1491"/>
    </row>
    <row r="23" spans="1:25" ht="18" customHeight="1">
      <c r="N23" s="1455"/>
      <c r="O23" s="1454"/>
      <c r="P23" s="1453"/>
      <c r="S23" s="1486" t="s">
        <v>749</v>
      </c>
      <c r="T23" s="1487"/>
      <c r="U23" s="1487"/>
      <c r="V23" s="1487"/>
      <c r="W23" s="1487"/>
      <c r="X23" s="1487"/>
      <c r="Y23" s="1487"/>
    </row>
    <row r="24" spans="1:25" ht="18" customHeight="1">
      <c r="N24" s="1455"/>
      <c r="O24" s="1454"/>
      <c r="P24" s="1453"/>
      <c r="S24" s="1486" t="s">
        <v>750</v>
      </c>
      <c r="T24" s="1487"/>
      <c r="U24" s="1487"/>
      <c r="V24" s="1487"/>
      <c r="W24" s="1487"/>
      <c r="X24" s="1487"/>
      <c r="Y24" s="1487"/>
    </row>
    <row r="25" spans="1:25" ht="18" customHeight="1">
      <c r="N25" s="1455"/>
      <c r="O25" s="1454"/>
      <c r="P25" s="1453"/>
      <c r="S25" s="1486" t="s">
        <v>751</v>
      </c>
      <c r="T25" s="1487"/>
      <c r="U25" s="1487"/>
      <c r="V25" s="1487"/>
      <c r="W25" s="1487"/>
      <c r="X25" s="1487"/>
      <c r="Y25" s="1487"/>
    </row>
    <row r="26" spans="1:25" ht="18" customHeight="1">
      <c r="N26" s="1455"/>
      <c r="O26" s="1454"/>
      <c r="P26" s="1453"/>
      <c r="S26" s="1486" t="s">
        <v>752</v>
      </c>
      <c r="T26" s="1487"/>
      <c r="U26" s="1487"/>
      <c r="V26" s="1487"/>
      <c r="W26" s="1487"/>
      <c r="X26" s="1487"/>
      <c r="Y26" s="1487"/>
    </row>
    <row r="27" spans="1:25" ht="18" customHeight="1">
      <c r="N27" s="1455"/>
      <c r="O27" s="1454"/>
      <c r="P27" s="1453"/>
    </row>
    <row r="28" spans="1:25" ht="18" customHeight="1">
      <c r="A28" s="1456"/>
      <c r="B28" s="1456"/>
      <c r="C28" s="1456"/>
      <c r="D28" s="1456"/>
      <c r="N28" s="1455"/>
      <c r="O28" s="1454"/>
      <c r="P28" s="1453"/>
    </row>
    <row r="29" spans="1:25" ht="18" customHeight="1" thickBot="1">
      <c r="A29" s="1458" t="s">
        <v>714</v>
      </c>
      <c r="B29" s="1458"/>
      <c r="C29" s="1458"/>
      <c r="D29" s="1458"/>
      <c r="E29" s="1458"/>
      <c r="F29" s="1458"/>
      <c r="G29" s="1458"/>
      <c r="H29" s="1458"/>
      <c r="I29" s="1458"/>
      <c r="J29" s="1458"/>
      <c r="K29" s="1458"/>
      <c r="L29" s="1458"/>
      <c r="M29" s="1456"/>
      <c r="N29" s="1455"/>
      <c r="O29" s="1454"/>
      <c r="P29" s="1453"/>
    </row>
    <row r="30" spans="1:25" ht="18" customHeight="1">
      <c r="A30" s="1457" t="s">
        <v>730</v>
      </c>
      <c r="B30" s="1457"/>
      <c r="C30" s="1457"/>
      <c r="D30" s="1457"/>
      <c r="E30" s="1457"/>
      <c r="F30" s="1457"/>
      <c r="G30" s="1457"/>
      <c r="H30" s="1457"/>
      <c r="I30" s="1457"/>
      <c r="J30" s="1457"/>
      <c r="K30" s="1457"/>
      <c r="L30" s="1457"/>
      <c r="M30" s="1456"/>
      <c r="N30" s="1455"/>
      <c r="O30" s="1454"/>
      <c r="P30" s="1453"/>
    </row>
    <row r="31" spans="1:25" ht="18" customHeight="1">
      <c r="A31" s="1452" t="s">
        <v>731</v>
      </c>
      <c r="B31" s="1452"/>
      <c r="C31" s="1452"/>
      <c r="D31" s="1452"/>
      <c r="E31" s="1452"/>
      <c r="F31" s="1452"/>
      <c r="G31" s="1452"/>
      <c r="H31" s="1452"/>
      <c r="I31" s="1452"/>
      <c r="J31" s="1452"/>
      <c r="K31" s="1452"/>
      <c r="L31" s="1452"/>
      <c r="N31" s="1455"/>
      <c r="O31" s="1454"/>
      <c r="P31" s="1453"/>
    </row>
    <row r="32" spans="1:25" ht="18" customHeight="1">
      <c r="A32" s="1452"/>
      <c r="B32" s="1452"/>
      <c r="C32" s="1452"/>
      <c r="D32" s="1452"/>
      <c r="E32" s="1452"/>
      <c r="F32" s="1452"/>
      <c r="G32" s="1452"/>
      <c r="H32" s="1452"/>
      <c r="I32" s="1452"/>
      <c r="J32" s="1452"/>
      <c r="K32" s="1452"/>
      <c r="L32" s="1452"/>
      <c r="N32" s="1451"/>
      <c r="O32" s="1450"/>
      <c r="P32" s="1449"/>
    </row>
  </sheetData>
  <mergeCells count="59">
    <mergeCell ref="R21:Y21"/>
    <mergeCell ref="S22:Y22"/>
    <mergeCell ref="S23:Y23"/>
    <mergeCell ref="S24:Y24"/>
    <mergeCell ref="S25:Y25"/>
    <mergeCell ref="S26:Y26"/>
    <mergeCell ref="S15:Y15"/>
    <mergeCell ref="S16:Y16"/>
    <mergeCell ref="R17:Y17"/>
    <mergeCell ref="S18:Y18"/>
    <mergeCell ref="S19:Y19"/>
    <mergeCell ref="S20:Y20"/>
    <mergeCell ref="S9:Y9"/>
    <mergeCell ref="S10:Y10"/>
    <mergeCell ref="R11:Y11"/>
    <mergeCell ref="R12:Y12"/>
    <mergeCell ref="S13:Y13"/>
    <mergeCell ref="S14:Y14"/>
    <mergeCell ref="R3:Y3"/>
    <mergeCell ref="S4:Y4"/>
    <mergeCell ref="S5:Y5"/>
    <mergeCell ref="R6:Y6"/>
    <mergeCell ref="R7:Y7"/>
    <mergeCell ref="S8:Y8"/>
    <mergeCell ref="B3:K3"/>
    <mergeCell ref="N3:P3"/>
    <mergeCell ref="N4:P4"/>
    <mergeCell ref="N5:P5"/>
    <mergeCell ref="N6:P6"/>
    <mergeCell ref="N7:P7"/>
    <mergeCell ref="C8:D9"/>
    <mergeCell ref="N8:P8"/>
    <mergeCell ref="N9:P9"/>
    <mergeCell ref="N10:P10"/>
    <mergeCell ref="N11:P11"/>
    <mergeCell ref="N12:P12"/>
    <mergeCell ref="N13:P13"/>
    <mergeCell ref="N14:P14"/>
    <mergeCell ref="N15:P15"/>
    <mergeCell ref="N16:P16"/>
    <mergeCell ref="N17:P17"/>
    <mergeCell ref="N18:P18"/>
    <mergeCell ref="N30:P30"/>
    <mergeCell ref="N19:P19"/>
    <mergeCell ref="N20:P20"/>
    <mergeCell ref="N21:P21"/>
    <mergeCell ref="N22:P22"/>
    <mergeCell ref="N23:P23"/>
    <mergeCell ref="N24:P24"/>
    <mergeCell ref="A31:L31"/>
    <mergeCell ref="N31:P31"/>
    <mergeCell ref="A32:L32"/>
    <mergeCell ref="N32:P32"/>
    <mergeCell ref="N25:P25"/>
    <mergeCell ref="N26:P26"/>
    <mergeCell ref="N27:P27"/>
    <mergeCell ref="N28:P28"/>
    <mergeCell ref="N29:P29"/>
    <mergeCell ref="A30:L30"/>
  </mergeCells>
  <phoneticPr fontId="3"/>
  <printOptions horizontalCentered="1" gridLinesSet="0"/>
  <pageMargins left="0.39370078740157483" right="0.31496062992125984" top="0.59055118110236227" bottom="0.31496062992125984" header="0.39370078740157483" footer="0.23622047244094491"/>
  <pageSetup paperSize="9" fitToWidth="0" orientation="landscape" horizontalDpi="4294967292" verticalDpi="4294967292" r:id="rId1"/>
  <headerFooter scaleWithDoc="0">
    <oddFooter>&amp;C&amp;"ＭＳ Ｐゴシック,標準"&amp;9( &amp;P / &amp;N )</oddFooter>
  </headerFooter>
  <colBreaks count="1" manualBreakCount="1">
    <brk id="17" max="1048575" man="1"/>
  </colBreaks>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754</v>
      </c>
    </row>
    <row r="6" spans="1:5" ht="30" customHeight="1">
      <c r="A6" s="6"/>
    </row>
    <row r="7" spans="1:5" ht="30" customHeight="1">
      <c r="A7" s="6" t="s">
        <v>755</v>
      </c>
    </row>
    <row r="8" spans="1:5" ht="30" customHeight="1">
      <c r="A8" s="6"/>
    </row>
    <row r="9" spans="1:5" ht="30" customHeight="1">
      <c r="A9" s="6"/>
    </row>
    <row r="10" spans="1:5" ht="30" customHeight="1">
      <c r="A10" s="6"/>
    </row>
    <row r="11" spans="1:5" ht="30" customHeight="1">
      <c r="A11" s="6"/>
    </row>
    <row r="12" spans="1:5" ht="30" customHeight="1">
      <c r="A12" s="6"/>
    </row>
    <row r="13" spans="1:5" ht="30" customHeight="1">
      <c r="A13" s="6"/>
    </row>
  </sheetData>
  <sheetProtection insertRows="0" deleteRows="0" sort="0" autoFilter="0"/>
  <phoneticPr fontId="3"/>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oddFooter>&amp;C&amp;"ＭＳ Ｐゴシック,標準"&amp;9( &amp;P / &amp;N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C68"/>
  <sheetViews>
    <sheetView showGridLines="0" zoomScale="80" zoomScaleNormal="80" workbookViewId="0">
      <pane xSplit="4" ySplit="5" topLeftCell="E6" activePane="bottomRight" state="frozenSplit"/>
      <selection pane="topRight" activeCell="P1" sqref="P1"/>
      <selection pane="bottomLeft" activeCell="A17" sqref="A17"/>
      <selection pane="bottomRight"/>
    </sheetView>
  </sheetViews>
  <sheetFormatPr defaultColWidth="9.140625" defaultRowHeight="13.5" customHeight="1"/>
  <cols>
    <col min="1" max="1" width="5.42578125" style="1276" customWidth="1"/>
    <col min="2" max="2" width="7.5703125" style="1276" customWidth="1"/>
    <col min="3" max="3" width="33.7109375" style="1276" customWidth="1"/>
    <col min="4" max="4" width="10.7109375" style="1276" customWidth="1"/>
    <col min="5" max="28" width="7.7109375" style="1276" customWidth="1"/>
    <col min="29" max="29" width="14.7109375" style="1276" customWidth="1"/>
    <col min="30" max="16384" width="9.140625" style="1272"/>
  </cols>
  <sheetData>
    <row r="1" spans="1:29" s="1512" customFormat="1" ht="30" customHeight="1">
      <c r="A1" s="1520" t="s">
        <v>758</v>
      </c>
      <c r="B1" s="1519"/>
      <c r="C1" s="1518"/>
      <c r="D1" s="1517"/>
      <c r="E1" s="1516"/>
      <c r="F1" s="1516"/>
      <c r="G1" s="1516"/>
      <c r="H1" s="1515"/>
      <c r="I1" s="1515"/>
      <c r="J1" s="1516"/>
      <c r="K1" s="1516"/>
      <c r="L1" s="1515"/>
      <c r="M1" s="1515"/>
      <c r="N1" s="1516"/>
      <c r="O1" s="1515"/>
      <c r="P1" s="1516"/>
      <c r="Q1" s="1516"/>
      <c r="R1" s="1515"/>
      <c r="S1" s="1516"/>
      <c r="T1" s="1516"/>
      <c r="U1" s="1515"/>
      <c r="V1" s="1516"/>
      <c r="W1" s="1516"/>
      <c r="X1" s="1515"/>
      <c r="Y1" s="1515"/>
      <c r="Z1" s="1516"/>
      <c r="AA1" s="1515"/>
      <c r="AB1" s="1514"/>
      <c r="AC1" s="1513"/>
    </row>
    <row r="4" spans="1:29" ht="13.5" customHeight="1">
      <c r="A4" s="1376" t="s">
        <v>377</v>
      </c>
      <c r="B4" s="1375" t="s">
        <v>362</v>
      </c>
      <c r="C4" s="1511" t="s">
        <v>631</v>
      </c>
      <c r="D4" s="1510" t="s">
        <v>630</v>
      </c>
      <c r="E4" s="1509" t="s">
        <v>757</v>
      </c>
      <c r="F4" s="1508"/>
      <c r="G4" s="1508"/>
      <c r="H4" s="1508"/>
      <c r="I4" s="1508"/>
      <c r="J4" s="1508"/>
      <c r="K4" s="1508"/>
      <c r="L4" s="1508"/>
      <c r="M4" s="1508"/>
      <c r="N4" s="1508"/>
      <c r="O4" s="1508"/>
      <c r="P4" s="1508"/>
      <c r="Q4" s="1508"/>
      <c r="R4" s="1508"/>
      <c r="S4" s="1508"/>
      <c r="T4" s="1508"/>
      <c r="U4" s="1508"/>
      <c r="V4" s="1508"/>
      <c r="W4" s="1508"/>
      <c r="X4" s="1508"/>
      <c r="Y4" s="1508"/>
      <c r="Z4" s="1508"/>
      <c r="AA4" s="1508"/>
      <c r="AB4" s="1507"/>
      <c r="AC4" s="1506" t="s">
        <v>756</v>
      </c>
    </row>
    <row r="5" spans="1:29" ht="13.5" customHeight="1">
      <c r="A5" s="1344"/>
      <c r="B5" s="1343"/>
      <c r="C5" s="1521"/>
      <c r="D5" s="1522"/>
      <c r="E5" s="1505">
        <v>1</v>
      </c>
      <c r="F5" s="1504">
        <v>2</v>
      </c>
      <c r="G5" s="1504">
        <v>3</v>
      </c>
      <c r="H5" s="1504">
        <v>4</v>
      </c>
      <c r="I5" s="1504">
        <v>5</v>
      </c>
      <c r="J5" s="1504">
        <v>6</v>
      </c>
      <c r="K5" s="1504">
        <v>7</v>
      </c>
      <c r="L5" s="1504">
        <v>8</v>
      </c>
      <c r="M5" s="1504">
        <v>9</v>
      </c>
      <c r="N5" s="1504">
        <v>10</v>
      </c>
      <c r="O5" s="1504">
        <v>11</v>
      </c>
      <c r="P5" s="1504">
        <v>12</v>
      </c>
      <c r="Q5" s="1504">
        <v>13</v>
      </c>
      <c r="R5" s="1504">
        <v>14</v>
      </c>
      <c r="S5" s="1504">
        <v>15</v>
      </c>
      <c r="T5" s="1504">
        <v>16</v>
      </c>
      <c r="U5" s="1504">
        <v>17</v>
      </c>
      <c r="V5" s="1504">
        <v>18</v>
      </c>
      <c r="W5" s="1504">
        <v>19</v>
      </c>
      <c r="X5" s="1504">
        <v>20</v>
      </c>
      <c r="Y5" s="1504">
        <v>21</v>
      </c>
      <c r="Z5" s="1504">
        <v>22</v>
      </c>
      <c r="AA5" s="1504">
        <v>23</v>
      </c>
      <c r="AB5" s="1503">
        <v>24</v>
      </c>
      <c r="AC5" s="1523"/>
    </row>
    <row r="6" spans="1:29" ht="13.5" customHeight="1">
      <c r="A6" s="1529" t="s">
        <v>387</v>
      </c>
      <c r="B6" s="1530"/>
      <c r="C6" s="1530"/>
      <c r="D6" s="1530"/>
      <c r="E6" s="1530"/>
      <c r="F6" s="1530"/>
      <c r="G6" s="1530"/>
      <c r="H6" s="1530"/>
      <c r="I6" s="1530"/>
      <c r="J6" s="1530"/>
      <c r="K6" s="1530"/>
      <c r="L6" s="1530"/>
      <c r="M6" s="1530"/>
      <c r="N6" s="1530"/>
      <c r="O6" s="1530"/>
      <c r="P6" s="1530"/>
      <c r="Q6" s="1530"/>
      <c r="R6" s="1530"/>
      <c r="S6" s="1530"/>
      <c r="T6" s="1530"/>
      <c r="U6" s="1530"/>
      <c r="V6" s="1530"/>
      <c r="W6" s="1530"/>
      <c r="X6" s="1530"/>
      <c r="Y6" s="1530"/>
      <c r="Z6" s="1530"/>
      <c r="AA6" s="1530"/>
      <c r="AB6" s="1530"/>
      <c r="AC6" s="1531"/>
    </row>
    <row r="7" spans="1:29" ht="13.5" customHeight="1">
      <c r="A7" s="1538" t="s">
        <v>759</v>
      </c>
      <c r="B7" s="1539"/>
      <c r="C7" s="1540"/>
      <c r="D7" s="1533"/>
      <c r="E7" s="1534"/>
      <c r="F7" s="1535"/>
      <c r="G7" s="1535"/>
      <c r="H7" s="1535"/>
      <c r="I7" s="1535"/>
      <c r="J7" s="1535"/>
      <c r="K7" s="1535"/>
      <c r="L7" s="1535"/>
      <c r="M7" s="1535"/>
      <c r="N7" s="1535"/>
      <c r="O7" s="1535"/>
      <c r="P7" s="1535"/>
      <c r="Q7" s="1535"/>
      <c r="R7" s="1535"/>
      <c r="S7" s="1535"/>
      <c r="T7" s="1535"/>
      <c r="U7" s="1535"/>
      <c r="V7" s="1535"/>
      <c r="W7" s="1535"/>
      <c r="X7" s="1535"/>
      <c r="Y7" s="1535"/>
      <c r="Z7" s="1535"/>
      <c r="AA7" s="1535"/>
      <c r="AB7" s="1536"/>
      <c r="AC7" s="1537"/>
    </row>
    <row r="8" spans="1:29" ht="13.5" customHeight="1">
      <c r="A8" s="1302">
        <v>2</v>
      </c>
      <c r="B8" s="1301">
        <v>201</v>
      </c>
      <c r="C8" s="1524" t="s">
        <v>351</v>
      </c>
      <c r="D8" s="1299">
        <v>54.8</v>
      </c>
      <c r="E8" s="1289">
        <v>0</v>
      </c>
      <c r="F8" s="1288">
        <v>0</v>
      </c>
      <c r="G8" s="1288">
        <v>0</v>
      </c>
      <c r="H8" s="1288">
        <v>0</v>
      </c>
      <c r="I8" s="1288">
        <v>0</v>
      </c>
      <c r="J8" s="1288">
        <v>0</v>
      </c>
      <c r="K8" s="1288">
        <v>0</v>
      </c>
      <c r="L8" s="1288">
        <v>0</v>
      </c>
      <c r="M8" s="1288">
        <v>6678</v>
      </c>
      <c r="N8" s="1288">
        <v>6407</v>
      </c>
      <c r="O8" s="1288">
        <v>6690</v>
      </c>
      <c r="P8" s="1288">
        <v>6775</v>
      </c>
      <c r="Q8" s="1288">
        <v>7383</v>
      </c>
      <c r="R8" s="1288">
        <v>7354</v>
      </c>
      <c r="S8" s="1288">
        <v>7092</v>
      </c>
      <c r="T8" s="1288">
        <v>6692</v>
      </c>
      <c r="U8" s="1288">
        <v>6162</v>
      </c>
      <c r="V8" s="1288">
        <v>5674</v>
      </c>
      <c r="W8" s="1288">
        <v>0</v>
      </c>
      <c r="X8" s="1288">
        <v>0</v>
      </c>
      <c r="Y8" s="1288">
        <v>0</v>
      </c>
      <c r="Z8" s="1288">
        <v>0</v>
      </c>
      <c r="AA8" s="1288">
        <v>0</v>
      </c>
      <c r="AB8" s="1501">
        <v>0</v>
      </c>
      <c r="AC8" s="1500"/>
    </row>
    <row r="9" spans="1:29" ht="13.5" customHeight="1">
      <c r="A9" s="1302">
        <v>2</v>
      </c>
      <c r="B9" s="1301">
        <v>204</v>
      </c>
      <c r="C9" s="1502" t="s">
        <v>534</v>
      </c>
      <c r="D9" s="1299">
        <v>13.2</v>
      </c>
      <c r="E9" s="1289">
        <v>0</v>
      </c>
      <c r="F9" s="1288">
        <v>0</v>
      </c>
      <c r="G9" s="1288">
        <v>0</v>
      </c>
      <c r="H9" s="1288">
        <v>0</v>
      </c>
      <c r="I9" s="1288">
        <v>0</v>
      </c>
      <c r="J9" s="1288">
        <v>0</v>
      </c>
      <c r="K9" s="1288">
        <v>0</v>
      </c>
      <c r="L9" s="1288">
        <v>0</v>
      </c>
      <c r="M9" s="1288">
        <v>2036</v>
      </c>
      <c r="N9" s="1288">
        <v>2041</v>
      </c>
      <c r="O9" s="1288">
        <v>2074</v>
      </c>
      <c r="P9" s="1288">
        <v>2136</v>
      </c>
      <c r="Q9" s="1288">
        <v>2132</v>
      </c>
      <c r="R9" s="1288">
        <v>2104</v>
      </c>
      <c r="S9" s="1288">
        <v>2081</v>
      </c>
      <c r="T9" s="1288">
        <v>2059</v>
      </c>
      <c r="U9" s="1288">
        <v>1995</v>
      </c>
      <c r="V9" s="1288">
        <v>1944</v>
      </c>
      <c r="W9" s="1288">
        <v>0</v>
      </c>
      <c r="X9" s="1288">
        <v>0</v>
      </c>
      <c r="Y9" s="1288">
        <v>0</v>
      </c>
      <c r="Z9" s="1288">
        <v>0</v>
      </c>
      <c r="AA9" s="1288">
        <v>0</v>
      </c>
      <c r="AB9" s="1501">
        <v>0</v>
      </c>
      <c r="AC9" s="1500"/>
    </row>
    <row r="10" spans="1:29" ht="13.5" customHeight="1">
      <c r="A10" s="1302">
        <v>2</v>
      </c>
      <c r="B10" s="1301">
        <v>205</v>
      </c>
      <c r="C10" s="1502" t="s">
        <v>558</v>
      </c>
      <c r="D10" s="1299">
        <v>13.2</v>
      </c>
      <c r="E10" s="1289">
        <v>0</v>
      </c>
      <c r="F10" s="1288">
        <v>0</v>
      </c>
      <c r="G10" s="1288">
        <v>0</v>
      </c>
      <c r="H10" s="1288">
        <v>0</v>
      </c>
      <c r="I10" s="1288">
        <v>0</v>
      </c>
      <c r="J10" s="1288">
        <v>0</v>
      </c>
      <c r="K10" s="1288">
        <v>0</v>
      </c>
      <c r="L10" s="1288">
        <v>0</v>
      </c>
      <c r="M10" s="1288">
        <v>2144</v>
      </c>
      <c r="N10" s="1288">
        <v>2174</v>
      </c>
      <c r="O10" s="1288">
        <v>2225</v>
      </c>
      <c r="P10" s="1288">
        <v>2293</v>
      </c>
      <c r="Q10" s="1288">
        <v>2277</v>
      </c>
      <c r="R10" s="1288">
        <v>2239</v>
      </c>
      <c r="S10" s="1288">
        <v>2211</v>
      </c>
      <c r="T10" s="1288">
        <v>2182</v>
      </c>
      <c r="U10" s="1288">
        <v>2112</v>
      </c>
      <c r="V10" s="1288">
        <v>2048</v>
      </c>
      <c r="W10" s="1288">
        <v>0</v>
      </c>
      <c r="X10" s="1288">
        <v>0</v>
      </c>
      <c r="Y10" s="1288">
        <v>0</v>
      </c>
      <c r="Z10" s="1288">
        <v>0</v>
      </c>
      <c r="AA10" s="1288">
        <v>0</v>
      </c>
      <c r="AB10" s="1501">
        <v>0</v>
      </c>
      <c r="AC10" s="1500"/>
    </row>
    <row r="11" spans="1:29" ht="13.5" customHeight="1">
      <c r="A11" s="1405">
        <v>2</v>
      </c>
      <c r="B11" s="1406">
        <v>208</v>
      </c>
      <c r="C11" s="1526" t="s">
        <v>580</v>
      </c>
      <c r="D11" s="1408">
        <v>53.3</v>
      </c>
      <c r="E11" s="1412">
        <v>0</v>
      </c>
      <c r="F11" s="1413">
        <v>0</v>
      </c>
      <c r="G11" s="1413">
        <v>0</v>
      </c>
      <c r="H11" s="1413">
        <v>0</v>
      </c>
      <c r="I11" s="1413">
        <v>0</v>
      </c>
      <c r="J11" s="1413">
        <v>0</v>
      </c>
      <c r="K11" s="1413">
        <v>0</v>
      </c>
      <c r="L11" s="1413">
        <v>0</v>
      </c>
      <c r="M11" s="1413">
        <v>4537</v>
      </c>
      <c r="N11" s="1413">
        <v>4260</v>
      </c>
      <c r="O11" s="1413">
        <v>4371</v>
      </c>
      <c r="P11" s="1413">
        <v>4462</v>
      </c>
      <c r="Q11" s="1413">
        <v>4458</v>
      </c>
      <c r="R11" s="1413">
        <v>4410</v>
      </c>
      <c r="S11" s="1413">
        <v>4316</v>
      </c>
      <c r="T11" s="1413">
        <v>4189</v>
      </c>
      <c r="U11" s="1413">
        <v>3990</v>
      </c>
      <c r="V11" s="1413">
        <v>3781</v>
      </c>
      <c r="W11" s="1413">
        <v>0</v>
      </c>
      <c r="X11" s="1413">
        <v>0</v>
      </c>
      <c r="Y11" s="1413">
        <v>0</v>
      </c>
      <c r="Z11" s="1413">
        <v>0</v>
      </c>
      <c r="AA11" s="1413">
        <v>0</v>
      </c>
      <c r="AB11" s="1527">
        <v>0</v>
      </c>
      <c r="AC11" s="1528"/>
    </row>
    <row r="12" spans="1:29" ht="13.5" customHeight="1" thickBot="1">
      <c r="A12" s="1543"/>
      <c r="B12" s="1544"/>
      <c r="C12" s="1545" t="s">
        <v>760</v>
      </c>
      <c r="D12" s="1546"/>
      <c r="E12" s="1547">
        <v>0</v>
      </c>
      <c r="F12" s="1548">
        <v>0</v>
      </c>
      <c r="G12" s="1548">
        <v>0</v>
      </c>
      <c r="H12" s="1548">
        <v>0</v>
      </c>
      <c r="I12" s="1548">
        <v>0</v>
      </c>
      <c r="J12" s="1548">
        <v>0</v>
      </c>
      <c r="K12" s="1548">
        <v>0</v>
      </c>
      <c r="L12" s="1548">
        <v>0</v>
      </c>
      <c r="M12" s="1548">
        <v>1032</v>
      </c>
      <c r="N12" s="1548">
        <v>1032</v>
      </c>
      <c r="O12" s="1548">
        <v>1032</v>
      </c>
      <c r="P12" s="1548">
        <v>1032</v>
      </c>
      <c r="Q12" s="1548">
        <v>1032</v>
      </c>
      <c r="R12" s="1548">
        <v>1032</v>
      </c>
      <c r="S12" s="1548">
        <v>1032</v>
      </c>
      <c r="T12" s="1548">
        <v>1032</v>
      </c>
      <c r="U12" s="1548">
        <v>1032</v>
      </c>
      <c r="V12" s="1548">
        <v>1032</v>
      </c>
      <c r="W12" s="1548">
        <v>0</v>
      </c>
      <c r="X12" s="1548">
        <v>0</v>
      </c>
      <c r="Y12" s="1548">
        <v>0</v>
      </c>
      <c r="Z12" s="1548">
        <v>0</v>
      </c>
      <c r="AA12" s="1548">
        <v>0</v>
      </c>
      <c r="AB12" s="1548">
        <v>0</v>
      </c>
      <c r="AC12" s="1549"/>
    </row>
    <row r="13" spans="1:29" ht="13.5" customHeight="1" thickTop="1">
      <c r="A13" s="1554" t="s">
        <v>761</v>
      </c>
      <c r="B13" s="1555"/>
      <c r="C13" s="1556"/>
      <c r="D13" s="1557">
        <v>134.5</v>
      </c>
      <c r="E13" s="1551">
        <v>0</v>
      </c>
      <c r="F13" s="1552">
        <v>0</v>
      </c>
      <c r="G13" s="1552">
        <v>0</v>
      </c>
      <c r="H13" s="1552">
        <v>0</v>
      </c>
      <c r="I13" s="1552">
        <v>0</v>
      </c>
      <c r="J13" s="1552">
        <v>0</v>
      </c>
      <c r="K13" s="1552">
        <v>0</v>
      </c>
      <c r="L13" s="1552">
        <v>0</v>
      </c>
      <c r="M13" s="1552">
        <v>16427</v>
      </c>
      <c r="N13" s="1552">
        <v>15914</v>
      </c>
      <c r="O13" s="1552">
        <v>16392</v>
      </c>
      <c r="P13" s="1552">
        <v>16698</v>
      </c>
      <c r="Q13" s="1552">
        <v>17282</v>
      </c>
      <c r="R13" s="1552">
        <v>17139</v>
      </c>
      <c r="S13" s="1552">
        <v>16732</v>
      </c>
      <c r="T13" s="1552">
        <v>16154</v>
      </c>
      <c r="U13" s="1552">
        <v>15291</v>
      </c>
      <c r="V13" s="1552">
        <v>14479</v>
      </c>
      <c r="W13" s="1552">
        <v>0</v>
      </c>
      <c r="X13" s="1552">
        <v>0</v>
      </c>
      <c r="Y13" s="1552">
        <v>0</v>
      </c>
      <c r="Z13" s="1552">
        <v>0</v>
      </c>
      <c r="AA13" s="1552">
        <v>0</v>
      </c>
      <c r="AB13" s="1552">
        <v>0</v>
      </c>
      <c r="AC13" s="1553"/>
    </row>
    <row r="14" spans="1:29" ht="13.5" customHeight="1" thickBot="1">
      <c r="A14" s="1405"/>
      <c r="B14" s="1406"/>
      <c r="C14" s="1558"/>
      <c r="D14" s="1408"/>
      <c r="E14" s="1412"/>
      <c r="F14" s="1413"/>
      <c r="G14" s="1413"/>
      <c r="H14" s="1413"/>
      <c r="I14" s="1413"/>
      <c r="J14" s="1413"/>
      <c r="K14" s="1413"/>
      <c r="L14" s="1413"/>
      <c r="M14" s="1413"/>
      <c r="N14" s="1413"/>
      <c r="O14" s="1413"/>
      <c r="P14" s="1413"/>
      <c r="Q14" s="1413"/>
      <c r="R14" s="1413"/>
      <c r="S14" s="1413"/>
      <c r="T14" s="1413"/>
      <c r="U14" s="1413"/>
      <c r="V14" s="1413"/>
      <c r="W14" s="1413"/>
      <c r="X14" s="1413"/>
      <c r="Y14" s="1413"/>
      <c r="Z14" s="1413"/>
      <c r="AA14" s="1413"/>
      <c r="AB14" s="1527"/>
      <c r="AC14" s="1528"/>
    </row>
    <row r="15" spans="1:29" ht="13.5" customHeight="1" thickTop="1">
      <c r="A15" s="1563" t="s">
        <v>762</v>
      </c>
      <c r="B15" s="1564"/>
      <c r="C15" s="1564"/>
      <c r="D15" s="1559">
        <v>134.5</v>
      </c>
      <c r="E15" s="1560">
        <v>0</v>
      </c>
      <c r="F15" s="1561">
        <v>0</v>
      </c>
      <c r="G15" s="1561">
        <v>0</v>
      </c>
      <c r="H15" s="1561">
        <v>0</v>
      </c>
      <c r="I15" s="1561">
        <v>0</v>
      </c>
      <c r="J15" s="1561">
        <v>0</v>
      </c>
      <c r="K15" s="1561">
        <v>0</v>
      </c>
      <c r="L15" s="1561">
        <v>0</v>
      </c>
      <c r="M15" s="1561">
        <v>16427</v>
      </c>
      <c r="N15" s="1561">
        <v>15914</v>
      </c>
      <c r="O15" s="1561">
        <v>16392</v>
      </c>
      <c r="P15" s="1561">
        <v>16698</v>
      </c>
      <c r="Q15" s="1561">
        <v>17282</v>
      </c>
      <c r="R15" s="1561">
        <v>17139</v>
      </c>
      <c r="S15" s="1561">
        <v>16732</v>
      </c>
      <c r="T15" s="1561">
        <v>16154</v>
      </c>
      <c r="U15" s="1561">
        <v>15291</v>
      </c>
      <c r="V15" s="1561">
        <v>14479</v>
      </c>
      <c r="W15" s="1561">
        <v>0</v>
      </c>
      <c r="X15" s="1561">
        <v>0</v>
      </c>
      <c r="Y15" s="1561">
        <v>0</v>
      </c>
      <c r="Z15" s="1561">
        <v>0</v>
      </c>
      <c r="AA15" s="1561">
        <v>0</v>
      </c>
      <c r="AB15" s="1561">
        <v>0</v>
      </c>
      <c r="AC15" s="1562"/>
    </row>
    <row r="16" spans="1:29" ht="13.5" customHeight="1">
      <c r="A16" s="1405"/>
      <c r="B16" s="1406"/>
      <c r="C16" s="1558"/>
      <c r="D16" s="1408"/>
      <c r="E16" s="1412"/>
      <c r="F16" s="1413"/>
      <c r="G16" s="1413"/>
      <c r="H16" s="1413"/>
      <c r="I16" s="1413"/>
      <c r="J16" s="1413"/>
      <c r="K16" s="1413"/>
      <c r="L16" s="1413"/>
      <c r="M16" s="1413"/>
      <c r="N16" s="1413"/>
      <c r="O16" s="1413"/>
      <c r="P16" s="1413"/>
      <c r="Q16" s="1413"/>
      <c r="R16" s="1413"/>
      <c r="S16" s="1413"/>
      <c r="T16" s="1413"/>
      <c r="U16" s="1413"/>
      <c r="V16" s="1413"/>
      <c r="W16" s="1413"/>
      <c r="X16" s="1413"/>
      <c r="Y16" s="1413"/>
      <c r="Z16" s="1413"/>
      <c r="AA16" s="1413"/>
      <c r="AB16" s="1527"/>
      <c r="AC16" s="1528"/>
    </row>
    <row r="17" spans="1:29" ht="13.5" customHeight="1">
      <c r="A17" s="1541" t="s">
        <v>389</v>
      </c>
      <c r="B17" s="1530"/>
      <c r="C17" s="1530"/>
      <c r="D17" s="1530"/>
      <c r="E17" s="1530"/>
      <c r="F17" s="1530"/>
      <c r="G17" s="1530"/>
      <c r="H17" s="1530"/>
      <c r="I17" s="1530"/>
      <c r="J17" s="1530"/>
      <c r="K17" s="1530"/>
      <c r="L17" s="1530"/>
      <c r="M17" s="1530"/>
      <c r="N17" s="1530"/>
      <c r="O17" s="1530"/>
      <c r="P17" s="1530"/>
      <c r="Q17" s="1530"/>
      <c r="R17" s="1530"/>
      <c r="S17" s="1530"/>
      <c r="T17" s="1530"/>
      <c r="U17" s="1530"/>
      <c r="V17" s="1530"/>
      <c r="W17" s="1530"/>
      <c r="X17" s="1530"/>
      <c r="Y17" s="1530"/>
      <c r="Z17" s="1530"/>
      <c r="AA17" s="1530"/>
      <c r="AB17" s="1530"/>
      <c r="AC17" s="1531"/>
    </row>
    <row r="18" spans="1:29" ht="13.5" customHeight="1">
      <c r="A18" s="1538" t="s">
        <v>759</v>
      </c>
      <c r="B18" s="1539"/>
      <c r="C18" s="1540"/>
      <c r="D18" s="1533"/>
      <c r="E18" s="1534"/>
      <c r="F18" s="1535"/>
      <c r="G18" s="1535"/>
      <c r="H18" s="1535"/>
      <c r="I18" s="1535"/>
      <c r="J18" s="1535"/>
      <c r="K18" s="1535"/>
      <c r="L18" s="1535"/>
      <c r="M18" s="1535"/>
      <c r="N18" s="1535"/>
      <c r="O18" s="1535"/>
      <c r="P18" s="1535"/>
      <c r="Q18" s="1535"/>
      <c r="R18" s="1535"/>
      <c r="S18" s="1535"/>
      <c r="T18" s="1535"/>
      <c r="U18" s="1535"/>
      <c r="V18" s="1535"/>
      <c r="W18" s="1535"/>
      <c r="X18" s="1535"/>
      <c r="Y18" s="1535"/>
      <c r="Z18" s="1535"/>
      <c r="AA18" s="1535"/>
      <c r="AB18" s="1536"/>
      <c r="AC18" s="1537"/>
    </row>
    <row r="19" spans="1:29" ht="13.5" customHeight="1">
      <c r="A19" s="1302">
        <v>2</v>
      </c>
      <c r="B19" s="1301">
        <v>201</v>
      </c>
      <c r="C19" s="1524" t="s">
        <v>351</v>
      </c>
      <c r="D19" s="1299">
        <v>54.8</v>
      </c>
      <c r="E19" s="1289">
        <v>0</v>
      </c>
      <c r="F19" s="1288">
        <v>0</v>
      </c>
      <c r="G19" s="1288">
        <v>0</v>
      </c>
      <c r="H19" s="1288">
        <v>0</v>
      </c>
      <c r="I19" s="1288">
        <v>0</v>
      </c>
      <c r="J19" s="1288">
        <v>0</v>
      </c>
      <c r="K19" s="1288">
        <v>0</v>
      </c>
      <c r="L19" s="1288">
        <v>0</v>
      </c>
      <c r="M19" s="1288">
        <v>6261</v>
      </c>
      <c r="N19" s="1288">
        <v>5914</v>
      </c>
      <c r="O19" s="1288">
        <v>6326</v>
      </c>
      <c r="P19" s="1288">
        <v>6536</v>
      </c>
      <c r="Q19" s="1288">
        <v>7309</v>
      </c>
      <c r="R19" s="1288">
        <v>7337</v>
      </c>
      <c r="S19" s="1288">
        <v>7134</v>
      </c>
      <c r="T19" s="1288">
        <v>6708</v>
      </c>
      <c r="U19" s="1288">
        <v>6184</v>
      </c>
      <c r="V19" s="1288">
        <v>5517</v>
      </c>
      <c r="W19" s="1288">
        <v>0</v>
      </c>
      <c r="X19" s="1288">
        <v>0</v>
      </c>
      <c r="Y19" s="1288">
        <v>0</v>
      </c>
      <c r="Z19" s="1288">
        <v>0</v>
      </c>
      <c r="AA19" s="1288">
        <v>0</v>
      </c>
      <c r="AB19" s="1501">
        <v>0</v>
      </c>
      <c r="AC19" s="1500"/>
    </row>
    <row r="20" spans="1:29" ht="13.5" customHeight="1">
      <c r="A20" s="1302">
        <v>2</v>
      </c>
      <c r="B20" s="1301">
        <v>204</v>
      </c>
      <c r="C20" s="1502" t="s">
        <v>534</v>
      </c>
      <c r="D20" s="1299">
        <v>13.2</v>
      </c>
      <c r="E20" s="1289">
        <v>0</v>
      </c>
      <c r="F20" s="1288">
        <v>0</v>
      </c>
      <c r="G20" s="1288">
        <v>0</v>
      </c>
      <c r="H20" s="1288">
        <v>0</v>
      </c>
      <c r="I20" s="1288">
        <v>0</v>
      </c>
      <c r="J20" s="1288">
        <v>0</v>
      </c>
      <c r="K20" s="1288">
        <v>0</v>
      </c>
      <c r="L20" s="1288">
        <v>0</v>
      </c>
      <c r="M20" s="1288">
        <v>1820</v>
      </c>
      <c r="N20" s="1288">
        <v>1808</v>
      </c>
      <c r="O20" s="1288">
        <v>1878</v>
      </c>
      <c r="P20" s="1288">
        <v>1916</v>
      </c>
      <c r="Q20" s="1288">
        <v>1939</v>
      </c>
      <c r="R20" s="1288">
        <v>1901</v>
      </c>
      <c r="S20" s="1288">
        <v>1883</v>
      </c>
      <c r="T20" s="1288">
        <v>1864</v>
      </c>
      <c r="U20" s="1288">
        <v>1843</v>
      </c>
      <c r="V20" s="1288">
        <v>1782</v>
      </c>
      <c r="W20" s="1288">
        <v>0</v>
      </c>
      <c r="X20" s="1288">
        <v>0</v>
      </c>
      <c r="Y20" s="1288">
        <v>0</v>
      </c>
      <c r="Z20" s="1288">
        <v>0</v>
      </c>
      <c r="AA20" s="1288">
        <v>0</v>
      </c>
      <c r="AB20" s="1501">
        <v>0</v>
      </c>
      <c r="AC20" s="1500"/>
    </row>
    <row r="21" spans="1:29" ht="13.5" customHeight="1">
      <c r="A21" s="1302">
        <v>2</v>
      </c>
      <c r="B21" s="1301">
        <v>205</v>
      </c>
      <c r="C21" s="1502" t="s">
        <v>558</v>
      </c>
      <c r="D21" s="1299">
        <v>13.2</v>
      </c>
      <c r="E21" s="1289">
        <v>0</v>
      </c>
      <c r="F21" s="1288">
        <v>0</v>
      </c>
      <c r="G21" s="1288">
        <v>0</v>
      </c>
      <c r="H21" s="1288">
        <v>0</v>
      </c>
      <c r="I21" s="1288">
        <v>0</v>
      </c>
      <c r="J21" s="1288">
        <v>0</v>
      </c>
      <c r="K21" s="1288">
        <v>0</v>
      </c>
      <c r="L21" s="1288">
        <v>0</v>
      </c>
      <c r="M21" s="1288">
        <v>2002</v>
      </c>
      <c r="N21" s="1288">
        <v>2022</v>
      </c>
      <c r="O21" s="1288">
        <v>2097</v>
      </c>
      <c r="P21" s="1288">
        <v>2121</v>
      </c>
      <c r="Q21" s="1288">
        <v>2114</v>
      </c>
      <c r="R21" s="1288">
        <v>2052</v>
      </c>
      <c r="S21" s="1288">
        <v>2018</v>
      </c>
      <c r="T21" s="1288">
        <v>1986</v>
      </c>
      <c r="U21" s="1288">
        <v>1954</v>
      </c>
      <c r="V21" s="1288">
        <v>1883</v>
      </c>
      <c r="W21" s="1288">
        <v>0</v>
      </c>
      <c r="X21" s="1288">
        <v>0</v>
      </c>
      <c r="Y21" s="1288">
        <v>0</v>
      </c>
      <c r="Z21" s="1288">
        <v>0</v>
      </c>
      <c r="AA21" s="1288">
        <v>0</v>
      </c>
      <c r="AB21" s="1501">
        <v>0</v>
      </c>
      <c r="AC21" s="1500"/>
    </row>
    <row r="22" spans="1:29" ht="13.5" customHeight="1">
      <c r="A22" s="1405">
        <v>2</v>
      </c>
      <c r="B22" s="1406">
        <v>208</v>
      </c>
      <c r="C22" s="1526" t="s">
        <v>580</v>
      </c>
      <c r="D22" s="1408">
        <v>53.3</v>
      </c>
      <c r="E22" s="1412">
        <v>0</v>
      </c>
      <c r="F22" s="1413">
        <v>0</v>
      </c>
      <c r="G22" s="1413">
        <v>0</v>
      </c>
      <c r="H22" s="1413">
        <v>0</v>
      </c>
      <c r="I22" s="1413">
        <v>0</v>
      </c>
      <c r="J22" s="1413">
        <v>0</v>
      </c>
      <c r="K22" s="1413">
        <v>0</v>
      </c>
      <c r="L22" s="1413">
        <v>0</v>
      </c>
      <c r="M22" s="1413">
        <v>4405</v>
      </c>
      <c r="N22" s="1413">
        <v>4077</v>
      </c>
      <c r="O22" s="1413">
        <v>4185</v>
      </c>
      <c r="P22" s="1413">
        <v>4216</v>
      </c>
      <c r="Q22" s="1413">
        <v>4225</v>
      </c>
      <c r="R22" s="1413">
        <v>4150</v>
      </c>
      <c r="S22" s="1413">
        <v>4062</v>
      </c>
      <c r="T22" s="1413">
        <v>3963</v>
      </c>
      <c r="U22" s="1413">
        <v>3832</v>
      </c>
      <c r="V22" s="1413">
        <v>3631</v>
      </c>
      <c r="W22" s="1413">
        <v>0</v>
      </c>
      <c r="X22" s="1413">
        <v>0</v>
      </c>
      <c r="Y22" s="1413">
        <v>0</v>
      </c>
      <c r="Z22" s="1413">
        <v>0</v>
      </c>
      <c r="AA22" s="1413">
        <v>0</v>
      </c>
      <c r="AB22" s="1527">
        <v>0</v>
      </c>
      <c r="AC22" s="1528"/>
    </row>
    <row r="23" spans="1:29" ht="13.5" customHeight="1" thickBot="1">
      <c r="A23" s="1543"/>
      <c r="B23" s="1544"/>
      <c r="C23" s="1545" t="s">
        <v>760</v>
      </c>
      <c r="D23" s="1546"/>
      <c r="E23" s="1547">
        <v>0</v>
      </c>
      <c r="F23" s="1548">
        <v>0</v>
      </c>
      <c r="G23" s="1548">
        <v>0</v>
      </c>
      <c r="H23" s="1548">
        <v>0</v>
      </c>
      <c r="I23" s="1548">
        <v>0</v>
      </c>
      <c r="J23" s="1548">
        <v>0</v>
      </c>
      <c r="K23" s="1548">
        <v>0</v>
      </c>
      <c r="L23" s="1548">
        <v>0</v>
      </c>
      <c r="M23" s="1548">
        <v>1032</v>
      </c>
      <c r="N23" s="1548">
        <v>1032</v>
      </c>
      <c r="O23" s="1548">
        <v>1032</v>
      </c>
      <c r="P23" s="1548">
        <v>1032</v>
      </c>
      <c r="Q23" s="1548">
        <v>1032</v>
      </c>
      <c r="R23" s="1548">
        <v>1032</v>
      </c>
      <c r="S23" s="1548">
        <v>1032</v>
      </c>
      <c r="T23" s="1548">
        <v>1032</v>
      </c>
      <c r="U23" s="1548">
        <v>1032</v>
      </c>
      <c r="V23" s="1548">
        <v>1032</v>
      </c>
      <c r="W23" s="1548">
        <v>0</v>
      </c>
      <c r="X23" s="1548">
        <v>0</v>
      </c>
      <c r="Y23" s="1548">
        <v>0</v>
      </c>
      <c r="Z23" s="1548">
        <v>0</v>
      </c>
      <c r="AA23" s="1548">
        <v>0</v>
      </c>
      <c r="AB23" s="1548">
        <v>0</v>
      </c>
      <c r="AC23" s="1549"/>
    </row>
    <row r="24" spans="1:29" ht="13.5" customHeight="1" thickTop="1">
      <c r="A24" s="1554" t="s">
        <v>761</v>
      </c>
      <c r="B24" s="1555"/>
      <c r="C24" s="1556"/>
      <c r="D24" s="1557">
        <v>134.5</v>
      </c>
      <c r="E24" s="1551">
        <v>0</v>
      </c>
      <c r="F24" s="1552">
        <v>0</v>
      </c>
      <c r="G24" s="1552">
        <v>0</v>
      </c>
      <c r="H24" s="1552">
        <v>0</v>
      </c>
      <c r="I24" s="1552">
        <v>0</v>
      </c>
      <c r="J24" s="1552">
        <v>0</v>
      </c>
      <c r="K24" s="1552">
        <v>0</v>
      </c>
      <c r="L24" s="1552">
        <v>0</v>
      </c>
      <c r="M24" s="1552">
        <v>15520</v>
      </c>
      <c r="N24" s="1552">
        <v>14853</v>
      </c>
      <c r="O24" s="1552">
        <v>15518</v>
      </c>
      <c r="P24" s="1552">
        <v>15821</v>
      </c>
      <c r="Q24" s="1552">
        <v>16619</v>
      </c>
      <c r="R24" s="1552">
        <v>16472</v>
      </c>
      <c r="S24" s="1552">
        <v>16129</v>
      </c>
      <c r="T24" s="1552">
        <v>15553</v>
      </c>
      <c r="U24" s="1552">
        <v>14845</v>
      </c>
      <c r="V24" s="1552">
        <v>13845</v>
      </c>
      <c r="W24" s="1552">
        <v>0</v>
      </c>
      <c r="X24" s="1552">
        <v>0</v>
      </c>
      <c r="Y24" s="1552">
        <v>0</v>
      </c>
      <c r="Z24" s="1552">
        <v>0</v>
      </c>
      <c r="AA24" s="1552">
        <v>0</v>
      </c>
      <c r="AB24" s="1552">
        <v>0</v>
      </c>
      <c r="AC24" s="1553"/>
    </row>
    <row r="25" spans="1:29" ht="13.5" customHeight="1" thickBot="1">
      <c r="A25" s="1405"/>
      <c r="B25" s="1406"/>
      <c r="C25" s="1558"/>
      <c r="D25" s="1408"/>
      <c r="E25" s="1412"/>
      <c r="F25" s="1413"/>
      <c r="G25" s="1413"/>
      <c r="H25" s="1413"/>
      <c r="I25" s="1413"/>
      <c r="J25" s="1413"/>
      <c r="K25" s="1413"/>
      <c r="L25" s="1413"/>
      <c r="M25" s="1413"/>
      <c r="N25" s="1413"/>
      <c r="O25" s="1413"/>
      <c r="P25" s="1413"/>
      <c r="Q25" s="1413"/>
      <c r="R25" s="1413"/>
      <c r="S25" s="1413"/>
      <c r="T25" s="1413"/>
      <c r="U25" s="1413"/>
      <c r="V25" s="1413"/>
      <c r="W25" s="1413"/>
      <c r="X25" s="1413"/>
      <c r="Y25" s="1413"/>
      <c r="Z25" s="1413"/>
      <c r="AA25" s="1413"/>
      <c r="AB25" s="1527"/>
      <c r="AC25" s="1528"/>
    </row>
    <row r="26" spans="1:29" ht="13.5" customHeight="1" thickTop="1">
      <c r="A26" s="1569" t="s">
        <v>763</v>
      </c>
      <c r="B26" s="1570"/>
      <c r="C26" s="1570"/>
      <c r="D26" s="1565">
        <v>134.5</v>
      </c>
      <c r="E26" s="1566">
        <v>0</v>
      </c>
      <c r="F26" s="1567">
        <v>0</v>
      </c>
      <c r="G26" s="1567">
        <v>0</v>
      </c>
      <c r="H26" s="1567">
        <v>0</v>
      </c>
      <c r="I26" s="1567">
        <v>0</v>
      </c>
      <c r="J26" s="1567">
        <v>0</v>
      </c>
      <c r="K26" s="1567">
        <v>0</v>
      </c>
      <c r="L26" s="1567">
        <v>0</v>
      </c>
      <c r="M26" s="1567">
        <v>15520</v>
      </c>
      <c r="N26" s="1567">
        <v>14853</v>
      </c>
      <c r="O26" s="1567">
        <v>15518</v>
      </c>
      <c r="P26" s="1567">
        <v>15821</v>
      </c>
      <c r="Q26" s="1567">
        <v>16619</v>
      </c>
      <c r="R26" s="1567">
        <v>16472</v>
      </c>
      <c r="S26" s="1567">
        <v>16129</v>
      </c>
      <c r="T26" s="1567">
        <v>15553</v>
      </c>
      <c r="U26" s="1567">
        <v>14845</v>
      </c>
      <c r="V26" s="1567">
        <v>13845</v>
      </c>
      <c r="W26" s="1567">
        <v>0</v>
      </c>
      <c r="X26" s="1567">
        <v>0</v>
      </c>
      <c r="Y26" s="1567">
        <v>0</v>
      </c>
      <c r="Z26" s="1567">
        <v>0</v>
      </c>
      <c r="AA26" s="1567">
        <v>0</v>
      </c>
      <c r="AB26" s="1567">
        <v>0</v>
      </c>
      <c r="AC26" s="1568"/>
    </row>
    <row r="27" spans="1:29" ht="13.5" customHeight="1">
      <c r="A27" s="1405"/>
      <c r="B27" s="1406"/>
      <c r="C27" s="1558"/>
      <c r="D27" s="1408"/>
      <c r="E27" s="1412"/>
      <c r="F27" s="1413"/>
      <c r="G27" s="1413"/>
      <c r="H27" s="1413"/>
      <c r="I27" s="1413"/>
      <c r="J27" s="1413"/>
      <c r="K27" s="1413"/>
      <c r="L27" s="1413"/>
      <c r="M27" s="1413"/>
      <c r="N27" s="1413"/>
      <c r="O27" s="1413"/>
      <c r="P27" s="1413"/>
      <c r="Q27" s="1413"/>
      <c r="R27" s="1413"/>
      <c r="S27" s="1413"/>
      <c r="T27" s="1413"/>
      <c r="U27" s="1413"/>
      <c r="V27" s="1413"/>
      <c r="W27" s="1413"/>
      <c r="X27" s="1413"/>
      <c r="Y27" s="1413"/>
      <c r="Z27" s="1413"/>
      <c r="AA27" s="1413"/>
      <c r="AB27" s="1527"/>
      <c r="AC27" s="1528"/>
    </row>
    <row r="28" spans="1:29" ht="13.5" customHeight="1">
      <c r="A28" s="1542" t="s">
        <v>391</v>
      </c>
      <c r="B28" s="1530"/>
      <c r="C28" s="1530"/>
      <c r="D28" s="1530"/>
      <c r="E28" s="1530"/>
      <c r="F28" s="1530"/>
      <c r="G28" s="1530"/>
      <c r="H28" s="1530"/>
      <c r="I28" s="1530"/>
      <c r="J28" s="1530"/>
      <c r="K28" s="1530"/>
      <c r="L28" s="1530"/>
      <c r="M28" s="1530"/>
      <c r="N28" s="1530"/>
      <c r="O28" s="1530"/>
      <c r="P28" s="1530"/>
      <c r="Q28" s="1530"/>
      <c r="R28" s="1530"/>
      <c r="S28" s="1530"/>
      <c r="T28" s="1530"/>
      <c r="U28" s="1530"/>
      <c r="V28" s="1530"/>
      <c r="W28" s="1530"/>
      <c r="X28" s="1530"/>
      <c r="Y28" s="1530"/>
      <c r="Z28" s="1530"/>
      <c r="AA28" s="1530"/>
      <c r="AB28" s="1530"/>
      <c r="AC28" s="1531"/>
    </row>
    <row r="29" spans="1:29" ht="13.5" customHeight="1">
      <c r="A29" s="1538" t="s">
        <v>759</v>
      </c>
      <c r="B29" s="1539"/>
      <c r="C29" s="1540"/>
      <c r="D29" s="1533"/>
      <c r="E29" s="1534"/>
      <c r="F29" s="1535"/>
      <c r="G29" s="1535"/>
      <c r="H29" s="1535"/>
      <c r="I29" s="1535"/>
      <c r="J29" s="1535"/>
      <c r="K29" s="1535"/>
      <c r="L29" s="1535"/>
      <c r="M29" s="1535"/>
      <c r="N29" s="1535"/>
      <c r="O29" s="1535"/>
      <c r="P29" s="1535"/>
      <c r="Q29" s="1535"/>
      <c r="R29" s="1535"/>
      <c r="S29" s="1535"/>
      <c r="T29" s="1535"/>
      <c r="U29" s="1535"/>
      <c r="V29" s="1535"/>
      <c r="W29" s="1535"/>
      <c r="X29" s="1535"/>
      <c r="Y29" s="1535"/>
      <c r="Z29" s="1535"/>
      <c r="AA29" s="1535"/>
      <c r="AB29" s="1536"/>
      <c r="AC29" s="1537"/>
    </row>
    <row r="30" spans="1:29" ht="13.5" customHeight="1">
      <c r="A30" s="1302">
        <v>2</v>
      </c>
      <c r="B30" s="1301">
        <v>201</v>
      </c>
      <c r="C30" s="1524" t="s">
        <v>351</v>
      </c>
      <c r="D30" s="1299">
        <v>54.8</v>
      </c>
      <c r="E30" s="1289">
        <v>0</v>
      </c>
      <c r="F30" s="1288">
        <v>0</v>
      </c>
      <c r="G30" s="1288">
        <v>0</v>
      </c>
      <c r="H30" s="1288">
        <v>0</v>
      </c>
      <c r="I30" s="1288">
        <v>0</v>
      </c>
      <c r="J30" s="1288">
        <v>0</v>
      </c>
      <c r="K30" s="1288">
        <v>0</v>
      </c>
      <c r="L30" s="1288">
        <v>0</v>
      </c>
      <c r="M30" s="1288">
        <v>5270</v>
      </c>
      <c r="N30" s="1288">
        <v>5348</v>
      </c>
      <c r="O30" s="1288">
        <v>6256</v>
      </c>
      <c r="P30" s="1288">
        <v>6549</v>
      </c>
      <c r="Q30" s="1288">
        <v>7187</v>
      </c>
      <c r="R30" s="1288">
        <v>7124</v>
      </c>
      <c r="S30" s="1288">
        <v>6761</v>
      </c>
      <c r="T30" s="1288">
        <v>6135</v>
      </c>
      <c r="U30" s="1288">
        <v>5267</v>
      </c>
      <c r="V30" s="1288">
        <v>4497</v>
      </c>
      <c r="W30" s="1288">
        <v>0</v>
      </c>
      <c r="X30" s="1288">
        <v>0</v>
      </c>
      <c r="Y30" s="1288">
        <v>0</v>
      </c>
      <c r="Z30" s="1288">
        <v>0</v>
      </c>
      <c r="AA30" s="1288">
        <v>0</v>
      </c>
      <c r="AB30" s="1501">
        <v>0</v>
      </c>
      <c r="AC30" s="1500"/>
    </row>
    <row r="31" spans="1:29" ht="13.5" customHeight="1">
      <c r="A31" s="1302">
        <v>2</v>
      </c>
      <c r="B31" s="1301">
        <v>204</v>
      </c>
      <c r="C31" s="1502" t="s">
        <v>534</v>
      </c>
      <c r="D31" s="1299">
        <v>13.2</v>
      </c>
      <c r="E31" s="1289">
        <v>0</v>
      </c>
      <c r="F31" s="1288">
        <v>0</v>
      </c>
      <c r="G31" s="1288">
        <v>0</v>
      </c>
      <c r="H31" s="1288">
        <v>0</v>
      </c>
      <c r="I31" s="1288">
        <v>0</v>
      </c>
      <c r="J31" s="1288">
        <v>0</v>
      </c>
      <c r="K31" s="1288">
        <v>0</v>
      </c>
      <c r="L31" s="1288">
        <v>0</v>
      </c>
      <c r="M31" s="1288">
        <v>1372</v>
      </c>
      <c r="N31" s="1288">
        <v>1382</v>
      </c>
      <c r="O31" s="1288">
        <v>1419</v>
      </c>
      <c r="P31" s="1288">
        <v>1456</v>
      </c>
      <c r="Q31" s="1288">
        <v>1446</v>
      </c>
      <c r="R31" s="1288">
        <v>1414</v>
      </c>
      <c r="S31" s="1288">
        <v>1398</v>
      </c>
      <c r="T31" s="1288">
        <v>1398</v>
      </c>
      <c r="U31" s="1288">
        <v>1344</v>
      </c>
      <c r="V31" s="1288">
        <v>1332</v>
      </c>
      <c r="W31" s="1288">
        <v>0</v>
      </c>
      <c r="X31" s="1288">
        <v>0</v>
      </c>
      <c r="Y31" s="1288">
        <v>0</v>
      </c>
      <c r="Z31" s="1288">
        <v>0</v>
      </c>
      <c r="AA31" s="1288">
        <v>0</v>
      </c>
      <c r="AB31" s="1501">
        <v>0</v>
      </c>
      <c r="AC31" s="1500"/>
    </row>
    <row r="32" spans="1:29" ht="13.5" customHeight="1">
      <c r="A32" s="1302">
        <v>2</v>
      </c>
      <c r="B32" s="1301">
        <v>205</v>
      </c>
      <c r="C32" s="1502" t="s">
        <v>558</v>
      </c>
      <c r="D32" s="1299">
        <v>13.2</v>
      </c>
      <c r="E32" s="1289">
        <v>0</v>
      </c>
      <c r="F32" s="1288">
        <v>0</v>
      </c>
      <c r="G32" s="1288">
        <v>0</v>
      </c>
      <c r="H32" s="1288">
        <v>0</v>
      </c>
      <c r="I32" s="1288">
        <v>0</v>
      </c>
      <c r="J32" s="1288">
        <v>0</v>
      </c>
      <c r="K32" s="1288">
        <v>0</v>
      </c>
      <c r="L32" s="1288">
        <v>0</v>
      </c>
      <c r="M32" s="1288">
        <v>1546</v>
      </c>
      <c r="N32" s="1288">
        <v>1589</v>
      </c>
      <c r="O32" s="1288">
        <v>1636</v>
      </c>
      <c r="P32" s="1288">
        <v>1658</v>
      </c>
      <c r="Q32" s="1288">
        <v>1618</v>
      </c>
      <c r="R32" s="1288">
        <v>1560</v>
      </c>
      <c r="S32" s="1288">
        <v>1524</v>
      </c>
      <c r="T32" s="1288">
        <v>1507</v>
      </c>
      <c r="U32" s="1288">
        <v>1444</v>
      </c>
      <c r="V32" s="1288">
        <v>1417</v>
      </c>
      <c r="W32" s="1288">
        <v>0</v>
      </c>
      <c r="X32" s="1288">
        <v>0</v>
      </c>
      <c r="Y32" s="1288">
        <v>0</v>
      </c>
      <c r="Z32" s="1288">
        <v>0</v>
      </c>
      <c r="AA32" s="1288">
        <v>0</v>
      </c>
      <c r="AB32" s="1501">
        <v>0</v>
      </c>
      <c r="AC32" s="1500"/>
    </row>
    <row r="33" spans="1:29" ht="13.5" customHeight="1">
      <c r="A33" s="1405">
        <v>2</v>
      </c>
      <c r="B33" s="1406">
        <v>208</v>
      </c>
      <c r="C33" s="1526" t="s">
        <v>580</v>
      </c>
      <c r="D33" s="1408">
        <v>53.3</v>
      </c>
      <c r="E33" s="1412">
        <v>0</v>
      </c>
      <c r="F33" s="1413">
        <v>0</v>
      </c>
      <c r="G33" s="1413">
        <v>0</v>
      </c>
      <c r="H33" s="1413">
        <v>0</v>
      </c>
      <c r="I33" s="1413">
        <v>0</v>
      </c>
      <c r="J33" s="1413">
        <v>0</v>
      </c>
      <c r="K33" s="1413">
        <v>0</v>
      </c>
      <c r="L33" s="1413">
        <v>0</v>
      </c>
      <c r="M33" s="1413">
        <v>3797</v>
      </c>
      <c r="N33" s="1413">
        <v>3380</v>
      </c>
      <c r="O33" s="1413">
        <v>3487</v>
      </c>
      <c r="P33" s="1413">
        <v>3554</v>
      </c>
      <c r="Q33" s="1413">
        <v>3533</v>
      </c>
      <c r="R33" s="1413">
        <v>3465</v>
      </c>
      <c r="S33" s="1413">
        <v>3384</v>
      </c>
      <c r="T33" s="1413">
        <v>3297</v>
      </c>
      <c r="U33" s="1413">
        <v>3101</v>
      </c>
      <c r="V33" s="1413">
        <v>2954</v>
      </c>
      <c r="W33" s="1413">
        <v>0</v>
      </c>
      <c r="X33" s="1413">
        <v>0</v>
      </c>
      <c r="Y33" s="1413">
        <v>0</v>
      </c>
      <c r="Z33" s="1413">
        <v>0</v>
      </c>
      <c r="AA33" s="1413">
        <v>0</v>
      </c>
      <c r="AB33" s="1527">
        <v>0</v>
      </c>
      <c r="AC33" s="1528"/>
    </row>
    <row r="34" spans="1:29" ht="13.5" customHeight="1" thickBot="1">
      <c r="A34" s="1543"/>
      <c r="B34" s="1544"/>
      <c r="C34" s="1545" t="s">
        <v>760</v>
      </c>
      <c r="D34" s="1546"/>
      <c r="E34" s="1547">
        <v>0</v>
      </c>
      <c r="F34" s="1548">
        <v>0</v>
      </c>
      <c r="G34" s="1548">
        <v>0</v>
      </c>
      <c r="H34" s="1548">
        <v>0</v>
      </c>
      <c r="I34" s="1548">
        <v>0</v>
      </c>
      <c r="J34" s="1548">
        <v>0</v>
      </c>
      <c r="K34" s="1548">
        <v>0</v>
      </c>
      <c r="L34" s="1548">
        <v>0</v>
      </c>
      <c r="M34" s="1548">
        <v>1032</v>
      </c>
      <c r="N34" s="1548">
        <v>1032</v>
      </c>
      <c r="O34" s="1548">
        <v>1032</v>
      </c>
      <c r="P34" s="1548">
        <v>1032</v>
      </c>
      <c r="Q34" s="1548">
        <v>1032</v>
      </c>
      <c r="R34" s="1548">
        <v>1032</v>
      </c>
      <c r="S34" s="1548">
        <v>1032</v>
      </c>
      <c r="T34" s="1548">
        <v>1032</v>
      </c>
      <c r="U34" s="1548">
        <v>1032</v>
      </c>
      <c r="V34" s="1548">
        <v>1032</v>
      </c>
      <c r="W34" s="1548">
        <v>0</v>
      </c>
      <c r="X34" s="1548">
        <v>0</v>
      </c>
      <c r="Y34" s="1548">
        <v>0</v>
      </c>
      <c r="Z34" s="1548">
        <v>0</v>
      </c>
      <c r="AA34" s="1548">
        <v>0</v>
      </c>
      <c r="AB34" s="1548">
        <v>0</v>
      </c>
      <c r="AC34" s="1549"/>
    </row>
    <row r="35" spans="1:29" ht="13.5" customHeight="1" thickTop="1">
      <c r="A35" s="1554" t="s">
        <v>761</v>
      </c>
      <c r="B35" s="1555"/>
      <c r="C35" s="1556"/>
      <c r="D35" s="1557">
        <v>134.5</v>
      </c>
      <c r="E35" s="1551">
        <v>0</v>
      </c>
      <c r="F35" s="1552">
        <v>0</v>
      </c>
      <c r="G35" s="1552">
        <v>0</v>
      </c>
      <c r="H35" s="1552">
        <v>0</v>
      </c>
      <c r="I35" s="1552">
        <v>0</v>
      </c>
      <c r="J35" s="1552">
        <v>0</v>
      </c>
      <c r="K35" s="1552">
        <v>0</v>
      </c>
      <c r="L35" s="1552">
        <v>0</v>
      </c>
      <c r="M35" s="1552">
        <v>13017</v>
      </c>
      <c r="N35" s="1552">
        <v>12731</v>
      </c>
      <c r="O35" s="1552">
        <v>13830</v>
      </c>
      <c r="P35" s="1552">
        <v>14249</v>
      </c>
      <c r="Q35" s="1552">
        <v>14816</v>
      </c>
      <c r="R35" s="1552">
        <v>14595</v>
      </c>
      <c r="S35" s="1552">
        <v>14099</v>
      </c>
      <c r="T35" s="1552">
        <v>13369</v>
      </c>
      <c r="U35" s="1552">
        <v>12188</v>
      </c>
      <c r="V35" s="1552">
        <v>11232</v>
      </c>
      <c r="W35" s="1552">
        <v>0</v>
      </c>
      <c r="X35" s="1552">
        <v>0</v>
      </c>
      <c r="Y35" s="1552">
        <v>0</v>
      </c>
      <c r="Z35" s="1552">
        <v>0</v>
      </c>
      <c r="AA35" s="1552">
        <v>0</v>
      </c>
      <c r="AB35" s="1552">
        <v>0</v>
      </c>
      <c r="AC35" s="1553"/>
    </row>
    <row r="36" spans="1:29" ht="13.5" customHeight="1" thickBot="1">
      <c r="A36" s="1405"/>
      <c r="B36" s="1406"/>
      <c r="C36" s="1558"/>
      <c r="D36" s="1408"/>
      <c r="E36" s="1412"/>
      <c r="F36" s="1413"/>
      <c r="G36" s="1413"/>
      <c r="H36" s="1413"/>
      <c r="I36" s="1413"/>
      <c r="J36" s="1413"/>
      <c r="K36" s="1413"/>
      <c r="L36" s="1413"/>
      <c r="M36" s="1413"/>
      <c r="N36" s="1413"/>
      <c r="O36" s="1413"/>
      <c r="P36" s="1413"/>
      <c r="Q36" s="1413"/>
      <c r="R36" s="1413"/>
      <c r="S36" s="1413"/>
      <c r="T36" s="1413"/>
      <c r="U36" s="1413"/>
      <c r="V36" s="1413"/>
      <c r="W36" s="1413"/>
      <c r="X36" s="1413"/>
      <c r="Y36" s="1413"/>
      <c r="Z36" s="1413"/>
      <c r="AA36" s="1413"/>
      <c r="AB36" s="1527"/>
      <c r="AC36" s="1528"/>
    </row>
    <row r="37" spans="1:29" ht="13.5" customHeight="1" thickTop="1">
      <c r="A37" s="1575" t="s">
        <v>764</v>
      </c>
      <c r="B37" s="1576"/>
      <c r="C37" s="1576"/>
      <c r="D37" s="1571">
        <v>134.5</v>
      </c>
      <c r="E37" s="1572">
        <v>0</v>
      </c>
      <c r="F37" s="1573">
        <v>0</v>
      </c>
      <c r="G37" s="1573">
        <v>0</v>
      </c>
      <c r="H37" s="1573">
        <v>0</v>
      </c>
      <c r="I37" s="1573">
        <v>0</v>
      </c>
      <c r="J37" s="1573">
        <v>0</v>
      </c>
      <c r="K37" s="1573">
        <v>0</v>
      </c>
      <c r="L37" s="1573">
        <v>0</v>
      </c>
      <c r="M37" s="1573">
        <v>13017</v>
      </c>
      <c r="N37" s="1573">
        <v>12731</v>
      </c>
      <c r="O37" s="1573">
        <v>13830</v>
      </c>
      <c r="P37" s="1573">
        <v>14249</v>
      </c>
      <c r="Q37" s="1573">
        <v>14816</v>
      </c>
      <c r="R37" s="1573">
        <v>14595</v>
      </c>
      <c r="S37" s="1573">
        <v>14099</v>
      </c>
      <c r="T37" s="1573">
        <v>13369</v>
      </c>
      <c r="U37" s="1573">
        <v>12188</v>
      </c>
      <c r="V37" s="1573">
        <v>11232</v>
      </c>
      <c r="W37" s="1573">
        <v>0</v>
      </c>
      <c r="X37" s="1573">
        <v>0</v>
      </c>
      <c r="Y37" s="1573">
        <v>0</v>
      </c>
      <c r="Z37" s="1573">
        <v>0</v>
      </c>
      <c r="AA37" s="1573">
        <v>0</v>
      </c>
      <c r="AB37" s="1573">
        <v>0</v>
      </c>
      <c r="AC37" s="1574"/>
    </row>
    <row r="38" spans="1:29" ht="13.5" customHeight="1">
      <c r="A38" s="1302"/>
      <c r="B38" s="1301"/>
      <c r="C38" s="1524"/>
      <c r="D38" s="1299"/>
      <c r="E38" s="1289"/>
      <c r="F38" s="1288"/>
      <c r="G38" s="1288"/>
      <c r="H38" s="1288"/>
      <c r="I38" s="1288"/>
      <c r="J38" s="1288"/>
      <c r="K38" s="1288"/>
      <c r="L38" s="1288"/>
      <c r="M38" s="1288"/>
      <c r="N38" s="1288"/>
      <c r="O38" s="1288"/>
      <c r="P38" s="1288"/>
      <c r="Q38" s="1288"/>
      <c r="R38" s="1288"/>
      <c r="S38" s="1288"/>
      <c r="T38" s="1288"/>
      <c r="U38" s="1288"/>
      <c r="V38" s="1288"/>
      <c r="W38" s="1288"/>
      <c r="X38" s="1288"/>
      <c r="Y38" s="1288"/>
      <c r="Z38" s="1288"/>
      <c r="AA38" s="1288"/>
      <c r="AB38" s="1501"/>
      <c r="AC38" s="1500"/>
    </row>
    <row r="39" spans="1:29" ht="13.5" customHeight="1">
      <c r="A39" s="1302"/>
      <c r="B39" s="1301"/>
      <c r="C39" s="1502"/>
      <c r="D39" s="1299"/>
      <c r="E39" s="1289"/>
      <c r="F39" s="1288"/>
      <c r="G39" s="1288"/>
      <c r="H39" s="1288"/>
      <c r="I39" s="1288"/>
      <c r="J39" s="1288"/>
      <c r="K39" s="1288"/>
      <c r="L39" s="1288"/>
      <c r="M39" s="1288"/>
      <c r="N39" s="1288"/>
      <c r="O39" s="1288"/>
      <c r="P39" s="1288"/>
      <c r="Q39" s="1288"/>
      <c r="R39" s="1288"/>
      <c r="S39" s="1288"/>
      <c r="T39" s="1288"/>
      <c r="U39" s="1288"/>
      <c r="V39" s="1288"/>
      <c r="W39" s="1288"/>
      <c r="X39" s="1288"/>
      <c r="Y39" s="1288"/>
      <c r="Z39" s="1288"/>
      <c r="AA39" s="1288"/>
      <c r="AB39" s="1501"/>
      <c r="AC39" s="1500"/>
    </row>
    <row r="40" spans="1:29" ht="13.5" customHeight="1">
      <c r="A40" s="1302"/>
      <c r="B40" s="1301"/>
      <c r="C40" s="1502"/>
      <c r="D40" s="1299"/>
      <c r="E40" s="1289"/>
      <c r="F40" s="1288"/>
      <c r="G40" s="1288"/>
      <c r="H40" s="1288"/>
      <c r="I40" s="1288"/>
      <c r="J40" s="1288"/>
      <c r="K40" s="1288"/>
      <c r="L40" s="1288"/>
      <c r="M40" s="1288"/>
      <c r="N40" s="1288"/>
      <c r="O40" s="1288"/>
      <c r="P40" s="1288"/>
      <c r="Q40" s="1288"/>
      <c r="R40" s="1288"/>
      <c r="S40" s="1288"/>
      <c r="T40" s="1288"/>
      <c r="U40" s="1288"/>
      <c r="V40" s="1288"/>
      <c r="W40" s="1288"/>
      <c r="X40" s="1288"/>
      <c r="Y40" s="1288"/>
      <c r="Z40" s="1288"/>
      <c r="AA40" s="1288"/>
      <c r="AB40" s="1501"/>
      <c r="AC40" s="1500"/>
    </row>
    <row r="41" spans="1:29" ht="13.5" customHeight="1">
      <c r="A41" s="1302"/>
      <c r="B41" s="1301"/>
      <c r="C41" s="1502"/>
      <c r="D41" s="1299"/>
      <c r="E41" s="1289"/>
      <c r="F41" s="1288"/>
      <c r="G41" s="1288"/>
      <c r="H41" s="1288"/>
      <c r="I41" s="1288"/>
      <c r="J41" s="1288"/>
      <c r="K41" s="1288"/>
      <c r="L41" s="1288"/>
      <c r="M41" s="1288"/>
      <c r="N41" s="1288"/>
      <c r="O41" s="1288"/>
      <c r="P41" s="1288"/>
      <c r="Q41" s="1288"/>
      <c r="R41" s="1288"/>
      <c r="S41" s="1288"/>
      <c r="T41" s="1288"/>
      <c r="U41" s="1288"/>
      <c r="V41" s="1288"/>
      <c r="W41" s="1288"/>
      <c r="X41" s="1288"/>
      <c r="Y41" s="1288"/>
      <c r="Z41" s="1288"/>
      <c r="AA41" s="1288"/>
      <c r="AB41" s="1501"/>
      <c r="AC41" s="1500"/>
    </row>
    <row r="42" spans="1:29" ht="13.5" customHeight="1">
      <c r="A42" s="1302"/>
      <c r="B42" s="1301"/>
      <c r="C42" s="1502"/>
      <c r="D42" s="1299"/>
      <c r="E42" s="1289"/>
      <c r="F42" s="1288"/>
      <c r="G42" s="1288"/>
      <c r="H42" s="1288"/>
      <c r="I42" s="1288"/>
      <c r="J42" s="1288"/>
      <c r="K42" s="1288"/>
      <c r="L42" s="1288"/>
      <c r="M42" s="1288"/>
      <c r="N42" s="1288"/>
      <c r="O42" s="1288"/>
      <c r="P42" s="1288"/>
      <c r="Q42" s="1288"/>
      <c r="R42" s="1288"/>
      <c r="S42" s="1288"/>
      <c r="T42" s="1288"/>
      <c r="U42" s="1288"/>
      <c r="V42" s="1288"/>
      <c r="W42" s="1288"/>
      <c r="X42" s="1288"/>
      <c r="Y42" s="1288"/>
      <c r="Z42" s="1288"/>
      <c r="AA42" s="1288"/>
      <c r="AB42" s="1501"/>
      <c r="AC42" s="1500"/>
    </row>
    <row r="43" spans="1:29" ht="13.5" customHeight="1">
      <c r="A43" s="1302"/>
      <c r="B43" s="1301"/>
      <c r="C43" s="1502"/>
      <c r="D43" s="1299"/>
      <c r="E43" s="1289"/>
      <c r="F43" s="1288"/>
      <c r="G43" s="1288"/>
      <c r="H43" s="1288"/>
      <c r="I43" s="1288"/>
      <c r="J43" s="1288"/>
      <c r="K43" s="1288"/>
      <c r="L43" s="1288"/>
      <c r="M43" s="1288"/>
      <c r="N43" s="1288"/>
      <c r="O43" s="1288"/>
      <c r="P43" s="1288"/>
      <c r="Q43" s="1288"/>
      <c r="R43" s="1288"/>
      <c r="S43" s="1288"/>
      <c r="T43" s="1288"/>
      <c r="U43" s="1288"/>
      <c r="V43" s="1288"/>
      <c r="W43" s="1288"/>
      <c r="X43" s="1288"/>
      <c r="Y43" s="1288"/>
      <c r="Z43" s="1288"/>
      <c r="AA43" s="1288"/>
      <c r="AB43" s="1501"/>
      <c r="AC43" s="1500"/>
    </row>
    <row r="44" spans="1:29" ht="13.5" customHeight="1">
      <c r="A44" s="1302"/>
      <c r="B44" s="1301"/>
      <c r="C44" s="1502"/>
      <c r="D44" s="1299"/>
      <c r="E44" s="1289"/>
      <c r="F44" s="1288"/>
      <c r="G44" s="1288"/>
      <c r="H44" s="1288"/>
      <c r="I44" s="1288"/>
      <c r="J44" s="1288"/>
      <c r="K44" s="1288"/>
      <c r="L44" s="1288"/>
      <c r="M44" s="1288"/>
      <c r="N44" s="1288"/>
      <c r="O44" s="1288"/>
      <c r="P44" s="1288"/>
      <c r="Q44" s="1288"/>
      <c r="R44" s="1288"/>
      <c r="S44" s="1288"/>
      <c r="T44" s="1288"/>
      <c r="U44" s="1288"/>
      <c r="V44" s="1288"/>
      <c r="W44" s="1288"/>
      <c r="X44" s="1288"/>
      <c r="Y44" s="1288"/>
      <c r="Z44" s="1288"/>
      <c r="AA44" s="1288"/>
      <c r="AB44" s="1501"/>
      <c r="AC44" s="1500"/>
    </row>
    <row r="45" spans="1:29" ht="13.5" customHeight="1">
      <c r="A45" s="1302"/>
      <c r="B45" s="1301"/>
      <c r="C45" s="1502"/>
      <c r="D45" s="1299"/>
      <c r="E45" s="1289"/>
      <c r="F45" s="1288"/>
      <c r="G45" s="1288"/>
      <c r="H45" s="1288"/>
      <c r="I45" s="1288"/>
      <c r="J45" s="1288"/>
      <c r="K45" s="1288"/>
      <c r="L45" s="1288"/>
      <c r="M45" s="1288"/>
      <c r="N45" s="1288"/>
      <c r="O45" s="1288"/>
      <c r="P45" s="1288"/>
      <c r="Q45" s="1288"/>
      <c r="R45" s="1288"/>
      <c r="S45" s="1288"/>
      <c r="T45" s="1288"/>
      <c r="U45" s="1288"/>
      <c r="V45" s="1288"/>
      <c r="W45" s="1288"/>
      <c r="X45" s="1288"/>
      <c r="Y45" s="1288"/>
      <c r="Z45" s="1288"/>
      <c r="AA45" s="1288"/>
      <c r="AB45" s="1501"/>
      <c r="AC45" s="1500"/>
    </row>
    <row r="46" spans="1:29" ht="13.5" customHeight="1">
      <c r="A46" s="1302"/>
      <c r="B46" s="1301"/>
      <c r="C46" s="1502"/>
      <c r="D46" s="1299"/>
      <c r="E46" s="1289"/>
      <c r="F46" s="1288"/>
      <c r="G46" s="1288"/>
      <c r="H46" s="1288"/>
      <c r="I46" s="1288"/>
      <c r="J46" s="1288"/>
      <c r="K46" s="1288"/>
      <c r="L46" s="1288"/>
      <c r="M46" s="1288"/>
      <c r="N46" s="1288"/>
      <c r="O46" s="1288"/>
      <c r="P46" s="1288"/>
      <c r="Q46" s="1288"/>
      <c r="R46" s="1288"/>
      <c r="S46" s="1288"/>
      <c r="T46" s="1288"/>
      <c r="U46" s="1288"/>
      <c r="V46" s="1288"/>
      <c r="W46" s="1288"/>
      <c r="X46" s="1288"/>
      <c r="Y46" s="1288"/>
      <c r="Z46" s="1288"/>
      <c r="AA46" s="1288"/>
      <c r="AB46" s="1501"/>
      <c r="AC46" s="1500"/>
    </row>
    <row r="47" spans="1:29" ht="13.5" customHeight="1">
      <c r="A47" s="1302"/>
      <c r="B47" s="1301"/>
      <c r="C47" s="1502"/>
      <c r="D47" s="1299"/>
      <c r="E47" s="1289"/>
      <c r="F47" s="1288"/>
      <c r="G47" s="1288"/>
      <c r="H47" s="1288"/>
      <c r="I47" s="1288"/>
      <c r="J47" s="1288"/>
      <c r="K47" s="1288"/>
      <c r="L47" s="1288"/>
      <c r="M47" s="1288"/>
      <c r="N47" s="1288"/>
      <c r="O47" s="1288"/>
      <c r="P47" s="1288"/>
      <c r="Q47" s="1288"/>
      <c r="R47" s="1288"/>
      <c r="S47" s="1288"/>
      <c r="T47" s="1288"/>
      <c r="U47" s="1288"/>
      <c r="V47" s="1288"/>
      <c r="W47" s="1288"/>
      <c r="X47" s="1288"/>
      <c r="Y47" s="1288"/>
      <c r="Z47" s="1288"/>
      <c r="AA47" s="1288"/>
      <c r="AB47" s="1501"/>
      <c r="AC47" s="1500"/>
    </row>
    <row r="48" spans="1:29" ht="13.5" customHeight="1">
      <c r="A48" s="1302"/>
      <c r="B48" s="1301"/>
      <c r="C48" s="1502"/>
      <c r="D48" s="1299"/>
      <c r="E48" s="1289"/>
      <c r="F48" s="1288"/>
      <c r="G48" s="1288"/>
      <c r="H48" s="1288"/>
      <c r="I48" s="1288"/>
      <c r="J48" s="1288"/>
      <c r="K48" s="1288"/>
      <c r="L48" s="1288"/>
      <c r="M48" s="1288"/>
      <c r="N48" s="1288"/>
      <c r="O48" s="1288"/>
      <c r="P48" s="1288"/>
      <c r="Q48" s="1288"/>
      <c r="R48" s="1288"/>
      <c r="S48" s="1288"/>
      <c r="T48" s="1288"/>
      <c r="U48" s="1288"/>
      <c r="V48" s="1288"/>
      <c r="W48" s="1288"/>
      <c r="X48" s="1288"/>
      <c r="Y48" s="1288"/>
      <c r="Z48" s="1288"/>
      <c r="AA48" s="1288"/>
      <c r="AB48" s="1501"/>
      <c r="AC48" s="1500"/>
    </row>
    <row r="49" spans="1:29" ht="13.5" customHeight="1">
      <c r="A49" s="1302"/>
      <c r="B49" s="1301"/>
      <c r="C49" s="1502"/>
      <c r="D49" s="1299"/>
      <c r="E49" s="1289"/>
      <c r="F49" s="1288"/>
      <c r="G49" s="1288"/>
      <c r="H49" s="1288"/>
      <c r="I49" s="1288"/>
      <c r="J49" s="1288"/>
      <c r="K49" s="1288"/>
      <c r="L49" s="1288"/>
      <c r="M49" s="1288"/>
      <c r="N49" s="1288"/>
      <c r="O49" s="1288"/>
      <c r="P49" s="1288"/>
      <c r="Q49" s="1288"/>
      <c r="R49" s="1288"/>
      <c r="S49" s="1288"/>
      <c r="T49" s="1288"/>
      <c r="U49" s="1288"/>
      <c r="V49" s="1288"/>
      <c r="W49" s="1288"/>
      <c r="X49" s="1288"/>
      <c r="Y49" s="1288"/>
      <c r="Z49" s="1288"/>
      <c r="AA49" s="1288"/>
      <c r="AB49" s="1501"/>
      <c r="AC49" s="1500"/>
    </row>
    <row r="50" spans="1:29" ht="13.5" customHeight="1">
      <c r="A50" s="1302"/>
      <c r="B50" s="1301"/>
      <c r="C50" s="1502"/>
      <c r="D50" s="1299"/>
      <c r="E50" s="1289"/>
      <c r="F50" s="1288"/>
      <c r="G50" s="1288"/>
      <c r="H50" s="1288"/>
      <c r="I50" s="1288"/>
      <c r="J50" s="1288"/>
      <c r="K50" s="1288"/>
      <c r="L50" s="1288"/>
      <c r="M50" s="1288"/>
      <c r="N50" s="1288"/>
      <c r="O50" s="1288"/>
      <c r="P50" s="1288"/>
      <c r="Q50" s="1288"/>
      <c r="R50" s="1288"/>
      <c r="S50" s="1288"/>
      <c r="T50" s="1288"/>
      <c r="U50" s="1288"/>
      <c r="V50" s="1288"/>
      <c r="W50" s="1288"/>
      <c r="X50" s="1288"/>
      <c r="Y50" s="1288"/>
      <c r="Z50" s="1288"/>
      <c r="AA50" s="1288"/>
      <c r="AB50" s="1501"/>
      <c r="AC50" s="1500"/>
    </row>
    <row r="51" spans="1:29" ht="13.5" customHeight="1">
      <c r="A51" s="1302"/>
      <c r="B51" s="1301"/>
      <c r="C51" s="1502"/>
      <c r="D51" s="1299"/>
      <c r="E51" s="1289"/>
      <c r="F51" s="1288"/>
      <c r="G51" s="1288"/>
      <c r="H51" s="1288"/>
      <c r="I51" s="1288"/>
      <c r="J51" s="1288"/>
      <c r="K51" s="1288"/>
      <c r="L51" s="1288"/>
      <c r="M51" s="1288"/>
      <c r="N51" s="1288"/>
      <c r="O51" s="1288"/>
      <c r="P51" s="1288"/>
      <c r="Q51" s="1288"/>
      <c r="R51" s="1288"/>
      <c r="S51" s="1288"/>
      <c r="T51" s="1288"/>
      <c r="U51" s="1288"/>
      <c r="V51" s="1288"/>
      <c r="W51" s="1288"/>
      <c r="X51" s="1288"/>
      <c r="Y51" s="1288"/>
      <c r="Z51" s="1288"/>
      <c r="AA51" s="1288"/>
      <c r="AB51" s="1501"/>
      <c r="AC51" s="1500"/>
    </row>
    <row r="52" spans="1:29" ht="13.5" customHeight="1">
      <c r="A52" s="1302"/>
      <c r="B52" s="1301"/>
      <c r="C52" s="1502"/>
      <c r="D52" s="1299"/>
      <c r="E52" s="1289"/>
      <c r="F52" s="1288"/>
      <c r="G52" s="1288"/>
      <c r="H52" s="1288"/>
      <c r="I52" s="1288"/>
      <c r="J52" s="1288"/>
      <c r="K52" s="1288"/>
      <c r="L52" s="1288"/>
      <c r="M52" s="1288"/>
      <c r="N52" s="1288"/>
      <c r="O52" s="1288"/>
      <c r="P52" s="1288"/>
      <c r="Q52" s="1288"/>
      <c r="R52" s="1288"/>
      <c r="S52" s="1288"/>
      <c r="T52" s="1288"/>
      <c r="U52" s="1288"/>
      <c r="V52" s="1288"/>
      <c r="W52" s="1288"/>
      <c r="X52" s="1288"/>
      <c r="Y52" s="1288"/>
      <c r="Z52" s="1288"/>
      <c r="AA52" s="1288"/>
      <c r="AB52" s="1501"/>
      <c r="AC52" s="1500"/>
    </row>
    <row r="53" spans="1:29" ht="13.5" customHeight="1">
      <c r="A53" s="1302"/>
      <c r="B53" s="1301"/>
      <c r="C53" s="1502"/>
      <c r="D53" s="1299"/>
      <c r="E53" s="1289"/>
      <c r="F53" s="1288"/>
      <c r="G53" s="1288"/>
      <c r="H53" s="1288"/>
      <c r="I53" s="1288"/>
      <c r="J53" s="1288"/>
      <c r="K53" s="1288"/>
      <c r="L53" s="1288"/>
      <c r="M53" s="1288"/>
      <c r="N53" s="1288"/>
      <c r="O53" s="1288"/>
      <c r="P53" s="1288"/>
      <c r="Q53" s="1288"/>
      <c r="R53" s="1288"/>
      <c r="S53" s="1288"/>
      <c r="T53" s="1288"/>
      <c r="U53" s="1288"/>
      <c r="V53" s="1288"/>
      <c r="W53" s="1288"/>
      <c r="X53" s="1288"/>
      <c r="Y53" s="1288"/>
      <c r="Z53" s="1288"/>
      <c r="AA53" s="1288"/>
      <c r="AB53" s="1501"/>
      <c r="AC53" s="1500"/>
    </row>
    <row r="54" spans="1:29" ht="13.5" customHeight="1">
      <c r="A54" s="1302"/>
      <c r="B54" s="1301"/>
      <c r="C54" s="1502"/>
      <c r="D54" s="1299"/>
      <c r="E54" s="1289"/>
      <c r="F54" s="1288"/>
      <c r="G54" s="1288"/>
      <c r="H54" s="1288"/>
      <c r="I54" s="1288"/>
      <c r="J54" s="1288"/>
      <c r="K54" s="1288"/>
      <c r="L54" s="1288"/>
      <c r="M54" s="1288"/>
      <c r="N54" s="1288"/>
      <c r="O54" s="1288"/>
      <c r="P54" s="1288"/>
      <c r="Q54" s="1288"/>
      <c r="R54" s="1288"/>
      <c r="S54" s="1288"/>
      <c r="T54" s="1288"/>
      <c r="U54" s="1288"/>
      <c r="V54" s="1288"/>
      <c r="W54" s="1288"/>
      <c r="X54" s="1288"/>
      <c r="Y54" s="1288"/>
      <c r="Z54" s="1288"/>
      <c r="AA54" s="1288"/>
      <c r="AB54" s="1501"/>
      <c r="AC54" s="1500"/>
    </row>
    <row r="55" spans="1:29" ht="13.5" customHeight="1" thickBot="1">
      <c r="A55" s="1405"/>
      <c r="B55" s="1406"/>
      <c r="C55" s="1526"/>
      <c r="D55" s="1408"/>
      <c r="E55" s="1412"/>
      <c r="F55" s="1413"/>
      <c r="G55" s="1413"/>
      <c r="H55" s="1413"/>
      <c r="I55" s="1413"/>
      <c r="J55" s="1413"/>
      <c r="K55" s="1413"/>
      <c r="L55" s="1413"/>
      <c r="M55" s="1413"/>
      <c r="N55" s="1413"/>
      <c r="O55" s="1413"/>
      <c r="P55" s="1413"/>
      <c r="Q55" s="1413"/>
      <c r="R55" s="1413"/>
      <c r="S55" s="1413"/>
      <c r="T55" s="1413"/>
      <c r="U55" s="1413"/>
      <c r="V55" s="1413"/>
      <c r="W55" s="1413"/>
      <c r="X55" s="1413"/>
      <c r="Y55" s="1413"/>
      <c r="Z55" s="1413"/>
      <c r="AA55" s="1413"/>
      <c r="AB55" s="1527"/>
      <c r="AC55" s="1528"/>
    </row>
    <row r="56" spans="1:29" ht="18.95" customHeight="1" thickTop="1" thickBot="1">
      <c r="A56" s="1577" t="s">
        <v>765</v>
      </c>
      <c r="B56" s="1578"/>
      <c r="C56" s="1579"/>
      <c r="D56" s="1580">
        <v>134.5</v>
      </c>
      <c r="E56" s="1581">
        <v>0</v>
      </c>
      <c r="F56" s="1582">
        <v>0</v>
      </c>
      <c r="G56" s="1582">
        <v>0</v>
      </c>
      <c r="H56" s="1582">
        <v>0</v>
      </c>
      <c r="I56" s="1582">
        <v>0</v>
      </c>
      <c r="J56" s="1582">
        <v>0</v>
      </c>
      <c r="K56" s="1582">
        <v>0</v>
      </c>
      <c r="L56" s="1582">
        <v>0</v>
      </c>
      <c r="M56" s="1582">
        <v>16427</v>
      </c>
      <c r="N56" s="1582">
        <v>15914</v>
      </c>
      <c r="O56" s="1582">
        <v>16392</v>
      </c>
      <c r="P56" s="1582">
        <v>16698</v>
      </c>
      <c r="Q56" s="1583">
        <v>17282</v>
      </c>
      <c r="R56" s="1582">
        <v>17139</v>
      </c>
      <c r="S56" s="1582">
        <v>16732</v>
      </c>
      <c r="T56" s="1582">
        <v>16154</v>
      </c>
      <c r="U56" s="1582">
        <v>15291</v>
      </c>
      <c r="V56" s="1582">
        <v>14479</v>
      </c>
      <c r="W56" s="1582">
        <v>0</v>
      </c>
      <c r="X56" s="1582">
        <v>0</v>
      </c>
      <c r="Y56" s="1582">
        <v>0</v>
      </c>
      <c r="Z56" s="1582">
        <v>0</v>
      </c>
      <c r="AA56" s="1582">
        <v>0</v>
      </c>
      <c r="AB56" s="1582">
        <v>0</v>
      </c>
      <c r="AC56" s="1584"/>
    </row>
    <row r="57" spans="1:29" ht="13.5" customHeight="1" thickTop="1">
      <c r="A57" s="1585" t="s">
        <v>766</v>
      </c>
      <c r="B57" s="1578"/>
      <c r="C57" s="1579"/>
      <c r="D57" s="1586">
        <v>134.5</v>
      </c>
      <c r="E57" s="1587">
        <v>0</v>
      </c>
      <c r="F57" s="1588">
        <v>0</v>
      </c>
      <c r="G57" s="1588">
        <v>0</v>
      </c>
      <c r="H57" s="1588">
        <v>0</v>
      </c>
      <c r="I57" s="1588">
        <v>0</v>
      </c>
      <c r="J57" s="1588">
        <v>0</v>
      </c>
      <c r="K57" s="1588">
        <v>0</v>
      </c>
      <c r="L57" s="1588">
        <v>0</v>
      </c>
      <c r="M57" s="1588">
        <v>17</v>
      </c>
      <c r="N57" s="1588">
        <v>16</v>
      </c>
      <c r="O57" s="1588">
        <v>17</v>
      </c>
      <c r="P57" s="1588">
        <v>17</v>
      </c>
      <c r="Q57" s="1589">
        <v>18</v>
      </c>
      <c r="R57" s="1588">
        <v>18</v>
      </c>
      <c r="S57" s="1588">
        <v>17</v>
      </c>
      <c r="T57" s="1588">
        <v>17</v>
      </c>
      <c r="U57" s="1588">
        <v>16</v>
      </c>
      <c r="V57" s="1588">
        <v>15</v>
      </c>
      <c r="W57" s="1588">
        <v>0</v>
      </c>
      <c r="X57" s="1588">
        <v>0</v>
      </c>
      <c r="Y57" s="1588">
        <v>0</v>
      </c>
      <c r="Z57" s="1588">
        <v>0</v>
      </c>
      <c r="AA57" s="1588">
        <v>0</v>
      </c>
      <c r="AB57" s="1588">
        <v>0</v>
      </c>
      <c r="AC57" s="1590"/>
    </row>
    <row r="58" spans="1:29" ht="13.5" customHeight="1">
      <c r="A58" s="1591" t="s">
        <v>767</v>
      </c>
      <c r="B58" s="1525"/>
      <c r="C58" s="1592"/>
      <c r="D58" s="1593">
        <v>134.5</v>
      </c>
      <c r="E58" s="1594">
        <v>0</v>
      </c>
      <c r="F58" s="1595">
        <v>0</v>
      </c>
      <c r="G58" s="1595">
        <v>0</v>
      </c>
      <c r="H58" s="1595">
        <v>0</v>
      </c>
      <c r="I58" s="1595">
        <v>0</v>
      </c>
      <c r="J58" s="1595">
        <v>0</v>
      </c>
      <c r="K58" s="1595">
        <v>0</v>
      </c>
      <c r="L58" s="1595">
        <v>0</v>
      </c>
      <c r="M58" s="1595">
        <v>122</v>
      </c>
      <c r="N58" s="1595">
        <v>118</v>
      </c>
      <c r="O58" s="1595">
        <v>122</v>
      </c>
      <c r="P58" s="1595">
        <v>124</v>
      </c>
      <c r="Q58" s="1597">
        <v>128</v>
      </c>
      <c r="R58" s="1595">
        <v>127</v>
      </c>
      <c r="S58" s="1595">
        <v>124</v>
      </c>
      <c r="T58" s="1595">
        <v>120</v>
      </c>
      <c r="U58" s="1595">
        <v>114</v>
      </c>
      <c r="V58" s="1595">
        <v>108</v>
      </c>
      <c r="W58" s="1595">
        <v>0</v>
      </c>
      <c r="X58" s="1595">
        <v>0</v>
      </c>
      <c r="Y58" s="1595">
        <v>0</v>
      </c>
      <c r="Z58" s="1595">
        <v>0</v>
      </c>
      <c r="AA58" s="1595">
        <v>0</v>
      </c>
      <c r="AB58" s="1595">
        <v>0</v>
      </c>
      <c r="AC58" s="1596"/>
    </row>
    <row r="65" spans="3:26" s="1276" customFormat="1" ht="13.5" customHeight="1">
      <c r="C65" s="1283"/>
      <c r="D65" s="1283"/>
      <c r="E65" s="1283"/>
      <c r="G65" s="1280"/>
      <c r="K65" s="1280"/>
      <c r="N65" s="1280"/>
      <c r="Q65" s="1280"/>
      <c r="S65" s="1280"/>
      <c r="T65" s="1280"/>
      <c r="W65" s="1280"/>
      <c r="Z65" s="1280"/>
    </row>
    <row r="66" spans="3:26" s="1276" customFormat="1" ht="13.5" customHeight="1">
      <c r="C66" s="1283"/>
      <c r="D66" s="1283"/>
      <c r="E66" s="1283"/>
      <c r="F66" s="1284"/>
      <c r="G66" s="1280"/>
      <c r="J66" s="1284"/>
      <c r="K66" s="1280"/>
      <c r="N66" s="1280"/>
      <c r="P66" s="1284"/>
      <c r="Q66" s="1280"/>
      <c r="S66" s="1280"/>
      <c r="T66" s="1280"/>
      <c r="V66" s="1284"/>
      <c r="W66" s="1280"/>
      <c r="Z66" s="1280"/>
    </row>
    <row r="67" spans="3:26" s="1276" customFormat="1" ht="13.5" customHeight="1">
      <c r="C67" s="1283"/>
      <c r="D67" s="1283"/>
      <c r="E67" s="1283"/>
      <c r="F67" s="1282"/>
      <c r="G67" s="1280"/>
      <c r="J67" s="1282"/>
      <c r="K67" s="1280"/>
      <c r="N67" s="1280"/>
      <c r="P67" s="1282"/>
      <c r="Q67" s="1280"/>
      <c r="S67" s="1280"/>
      <c r="T67" s="1280"/>
      <c r="V67" s="1282"/>
      <c r="W67" s="1280"/>
      <c r="Z67" s="1280"/>
    </row>
    <row r="68" spans="3:26" s="1276" customFormat="1" ht="13.5" customHeight="1">
      <c r="C68" s="1281"/>
      <c r="D68" s="1281"/>
      <c r="E68" s="1281"/>
      <c r="F68" s="1280"/>
      <c r="J68" s="1280"/>
      <c r="P68" s="1280"/>
      <c r="V68" s="1280"/>
    </row>
  </sheetData>
  <mergeCells count="24">
    <mergeCell ref="A37:C37"/>
    <mergeCell ref="A56:C56"/>
    <mergeCell ref="A57:C57"/>
    <mergeCell ref="A58:C58"/>
    <mergeCell ref="C34:D34"/>
    <mergeCell ref="A13:C13"/>
    <mergeCell ref="A24:C24"/>
    <mergeCell ref="A35:C35"/>
    <mergeCell ref="A15:C15"/>
    <mergeCell ref="A26:C26"/>
    <mergeCell ref="A6:AC6"/>
    <mergeCell ref="A17:AC17"/>
    <mergeCell ref="A28:AC28"/>
    <mergeCell ref="A7:C7"/>
    <mergeCell ref="A18:C18"/>
    <mergeCell ref="A29:C29"/>
    <mergeCell ref="C12:D12"/>
    <mergeCell ref="C23:D23"/>
    <mergeCell ref="A4:A5"/>
    <mergeCell ref="B4:B5"/>
    <mergeCell ref="C4:C5"/>
    <mergeCell ref="D4:D5"/>
    <mergeCell ref="E4:AB4"/>
    <mergeCell ref="AC4:AC5"/>
  </mergeCells>
  <phoneticPr fontId="3"/>
  <pageMargins left="0.39370078740157483" right="0.39370078740157483" top="0.78740157480314965" bottom="0.55118110236220474" header="0.31496062992125984" footer="0.31496062992125984"/>
  <pageSetup paperSize="9" scale="54" fitToHeight="0" orientation="landscape" horizontalDpi="1200" verticalDpi="1200" r:id="rId1"/>
  <headerFooter scaleWithDoc="0">
    <oddFooter>&amp;C&amp;"ＭＳ Ｐゴシック,標準"&amp;9( &amp;P / &amp;N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G49"/>
  <sheetViews>
    <sheetView showGridLines="0" zoomScale="80" zoomScaleNormal="80" workbookViewId="0">
      <pane xSplit="4" ySplit="5" topLeftCell="E6" activePane="bottomRight" state="frozenSplit"/>
      <selection pane="topRight" activeCell="J1" sqref="J1"/>
      <selection pane="bottomLeft" activeCell="A17" sqref="A17"/>
      <selection pane="bottomRight"/>
    </sheetView>
  </sheetViews>
  <sheetFormatPr defaultColWidth="9.140625" defaultRowHeight="13.5" customHeight="1"/>
  <cols>
    <col min="1" max="1" width="5.42578125" style="1276" customWidth="1"/>
    <col min="2" max="2" width="7.5703125" style="1276" customWidth="1"/>
    <col min="3" max="3" width="33.7109375" style="1276" customWidth="1"/>
    <col min="4" max="4" width="10.7109375" style="1276" customWidth="1"/>
    <col min="5" max="6" width="15.7109375" style="1276" customWidth="1"/>
    <col min="7" max="7" width="30.7109375" style="1276" customWidth="1"/>
    <col min="8" max="16384" width="9.140625" style="1272"/>
  </cols>
  <sheetData>
    <row r="1" spans="1:7" s="1601" customFormat="1" ht="21" customHeight="1">
      <c r="A1" s="1607" t="s">
        <v>771</v>
      </c>
      <c r="B1" s="1606"/>
      <c r="C1" s="1605"/>
      <c r="D1" s="1604"/>
      <c r="E1" s="1603"/>
      <c r="F1" s="1603"/>
      <c r="G1" s="1602"/>
    </row>
    <row r="4" spans="1:7" ht="13.5" customHeight="1">
      <c r="A4" s="1376" t="s">
        <v>377</v>
      </c>
      <c r="B4" s="1375" t="s">
        <v>362</v>
      </c>
      <c r="C4" s="1511" t="s">
        <v>770</v>
      </c>
      <c r="D4" s="1510" t="s">
        <v>769</v>
      </c>
      <c r="E4" s="1509" t="s">
        <v>768</v>
      </c>
      <c r="F4" s="1507"/>
      <c r="G4" s="1600" t="s">
        <v>756</v>
      </c>
    </row>
    <row r="5" spans="1:7" ht="13.5" customHeight="1">
      <c r="A5" s="1344"/>
      <c r="B5" s="1343"/>
      <c r="C5" s="1521"/>
      <c r="D5" s="1522"/>
      <c r="E5" s="1599" t="s">
        <v>36</v>
      </c>
      <c r="F5" s="1598" t="s">
        <v>61</v>
      </c>
      <c r="G5" s="1608"/>
    </row>
    <row r="6" spans="1:7" ht="13.5" customHeight="1">
      <c r="A6" s="1538" t="s">
        <v>759</v>
      </c>
      <c r="B6" s="1539"/>
      <c r="C6" s="1540"/>
      <c r="D6" s="1533"/>
      <c r="E6" s="1534"/>
      <c r="F6" s="1536"/>
      <c r="G6" s="1537"/>
    </row>
    <row r="7" spans="1:7" ht="13.5" customHeight="1">
      <c r="A7" s="1302">
        <v>2</v>
      </c>
      <c r="B7" s="1301">
        <v>201</v>
      </c>
      <c r="C7" s="1524" t="s">
        <v>351</v>
      </c>
      <c r="D7" s="1299">
        <v>54.8</v>
      </c>
      <c r="E7" s="1289">
        <v>8351</v>
      </c>
      <c r="F7" s="1501">
        <v>8209</v>
      </c>
      <c r="G7" s="1500"/>
    </row>
    <row r="8" spans="1:7" ht="13.5" customHeight="1">
      <c r="A8" s="1302">
        <v>2</v>
      </c>
      <c r="B8" s="1301">
        <v>204</v>
      </c>
      <c r="C8" s="1502" t="s">
        <v>534</v>
      </c>
      <c r="D8" s="1299">
        <v>13.2</v>
      </c>
      <c r="E8" s="1289">
        <v>2982</v>
      </c>
      <c r="F8" s="1501">
        <v>2850</v>
      </c>
      <c r="G8" s="1500"/>
    </row>
    <row r="9" spans="1:7" ht="13.5" customHeight="1">
      <c r="A9" s="1302">
        <v>2</v>
      </c>
      <c r="B9" s="1301">
        <v>205</v>
      </c>
      <c r="C9" s="1502" t="s">
        <v>558</v>
      </c>
      <c r="D9" s="1299">
        <v>13.2</v>
      </c>
      <c r="E9" s="1289">
        <v>3178</v>
      </c>
      <c r="F9" s="1501">
        <v>3050</v>
      </c>
      <c r="G9" s="1500"/>
    </row>
    <row r="10" spans="1:7" ht="13.5" customHeight="1" thickBot="1">
      <c r="A10" s="1405">
        <v>2</v>
      </c>
      <c r="B10" s="1406">
        <v>208</v>
      </c>
      <c r="C10" s="1526" t="s">
        <v>580</v>
      </c>
      <c r="D10" s="1408">
        <v>53.3</v>
      </c>
      <c r="E10" s="1412">
        <v>6837</v>
      </c>
      <c r="F10" s="1527">
        <v>6764</v>
      </c>
      <c r="G10" s="1528"/>
    </row>
    <row r="11" spans="1:7" ht="13.5" customHeight="1" thickTop="1">
      <c r="A11" s="1554" t="s">
        <v>761</v>
      </c>
      <c r="B11" s="1555"/>
      <c r="C11" s="1556"/>
      <c r="D11" s="1557">
        <v>134.5</v>
      </c>
      <c r="E11" s="1551">
        <v>21348</v>
      </c>
      <c r="F11" s="1552">
        <v>20873</v>
      </c>
      <c r="G11" s="1553"/>
    </row>
    <row r="12" spans="1:7" ht="13.5" customHeight="1">
      <c r="A12" s="1302"/>
      <c r="B12" s="1301"/>
      <c r="C12" s="1524"/>
      <c r="D12" s="1299"/>
      <c r="E12" s="1289"/>
      <c r="F12" s="1501"/>
      <c r="G12" s="1500"/>
    </row>
    <row r="13" spans="1:7" ht="13.5" customHeight="1">
      <c r="A13" s="1302"/>
      <c r="B13" s="1301"/>
      <c r="C13" s="1502"/>
      <c r="D13" s="1299"/>
      <c r="E13" s="1289"/>
      <c r="F13" s="1501"/>
      <c r="G13" s="1500"/>
    </row>
    <row r="14" spans="1:7" ht="13.5" customHeight="1">
      <c r="A14" s="1302"/>
      <c r="B14" s="1301"/>
      <c r="C14" s="1502"/>
      <c r="D14" s="1299"/>
      <c r="E14" s="1289"/>
      <c r="F14" s="1501"/>
      <c r="G14" s="1500"/>
    </row>
    <row r="15" spans="1:7" ht="13.5" customHeight="1">
      <c r="A15" s="1302"/>
      <c r="B15" s="1301"/>
      <c r="C15" s="1502"/>
      <c r="D15" s="1299"/>
      <c r="E15" s="1289"/>
      <c r="F15" s="1501"/>
      <c r="G15" s="1500"/>
    </row>
    <row r="16" spans="1:7" ht="13.5" customHeight="1">
      <c r="A16" s="1302"/>
      <c r="B16" s="1301"/>
      <c r="C16" s="1502"/>
      <c r="D16" s="1299"/>
      <c r="E16" s="1289"/>
      <c r="F16" s="1501"/>
      <c r="G16" s="1500"/>
    </row>
    <row r="17" spans="1:7" ht="13.5" customHeight="1">
      <c r="A17" s="1302"/>
      <c r="B17" s="1301"/>
      <c r="C17" s="1502"/>
      <c r="D17" s="1299"/>
      <c r="E17" s="1289"/>
      <c r="F17" s="1501"/>
      <c r="G17" s="1500"/>
    </row>
    <row r="18" spans="1:7" ht="13.5" customHeight="1">
      <c r="A18" s="1302"/>
      <c r="B18" s="1301"/>
      <c r="C18" s="1502"/>
      <c r="D18" s="1299"/>
      <c r="E18" s="1289"/>
      <c r="F18" s="1501"/>
      <c r="G18" s="1500"/>
    </row>
    <row r="19" spans="1:7" ht="13.5" customHeight="1">
      <c r="A19" s="1302"/>
      <c r="B19" s="1301"/>
      <c r="C19" s="1502"/>
      <c r="D19" s="1299"/>
      <c r="E19" s="1289"/>
      <c r="F19" s="1501"/>
      <c r="G19" s="1500"/>
    </row>
    <row r="20" spans="1:7" ht="13.5" customHeight="1">
      <c r="A20" s="1302"/>
      <c r="B20" s="1301"/>
      <c r="C20" s="1502"/>
      <c r="D20" s="1299"/>
      <c r="E20" s="1289"/>
      <c r="F20" s="1501"/>
      <c r="G20" s="1500"/>
    </row>
    <row r="21" spans="1:7" ht="13.5" customHeight="1">
      <c r="A21" s="1302"/>
      <c r="B21" s="1301"/>
      <c r="C21" s="1502"/>
      <c r="D21" s="1299"/>
      <c r="E21" s="1289"/>
      <c r="F21" s="1501"/>
      <c r="G21" s="1500"/>
    </row>
    <row r="22" spans="1:7" ht="13.5" customHeight="1">
      <c r="A22" s="1302"/>
      <c r="B22" s="1301"/>
      <c r="C22" s="1502"/>
      <c r="D22" s="1299"/>
      <c r="E22" s="1289"/>
      <c r="F22" s="1501"/>
      <c r="G22" s="1500"/>
    </row>
    <row r="23" spans="1:7" ht="13.5" customHeight="1">
      <c r="A23" s="1302"/>
      <c r="B23" s="1301"/>
      <c r="C23" s="1502"/>
      <c r="D23" s="1299"/>
      <c r="E23" s="1289"/>
      <c r="F23" s="1501"/>
      <c r="G23" s="1500"/>
    </row>
    <row r="24" spans="1:7" ht="13.5" customHeight="1">
      <c r="A24" s="1302"/>
      <c r="B24" s="1301"/>
      <c r="C24" s="1502"/>
      <c r="D24" s="1299"/>
      <c r="E24" s="1289"/>
      <c r="F24" s="1501"/>
      <c r="G24" s="1500"/>
    </row>
    <row r="25" spans="1:7" ht="13.5" customHeight="1">
      <c r="A25" s="1302"/>
      <c r="B25" s="1301"/>
      <c r="C25" s="1502"/>
      <c r="D25" s="1299"/>
      <c r="E25" s="1289"/>
      <c r="F25" s="1501"/>
      <c r="G25" s="1500"/>
    </row>
    <row r="26" spans="1:7" ht="13.5" customHeight="1">
      <c r="A26" s="1302"/>
      <c r="B26" s="1301"/>
      <c r="C26" s="1502"/>
      <c r="D26" s="1299"/>
      <c r="E26" s="1289"/>
      <c r="F26" s="1501"/>
      <c r="G26" s="1500"/>
    </row>
    <row r="27" spans="1:7" ht="13.5" customHeight="1">
      <c r="A27" s="1302"/>
      <c r="B27" s="1301"/>
      <c r="C27" s="1502"/>
      <c r="D27" s="1299"/>
      <c r="E27" s="1289"/>
      <c r="F27" s="1501"/>
      <c r="G27" s="1500"/>
    </row>
    <row r="28" spans="1:7" ht="13.5" customHeight="1">
      <c r="A28" s="1302"/>
      <c r="B28" s="1301"/>
      <c r="C28" s="1502"/>
      <c r="D28" s="1299"/>
      <c r="E28" s="1289"/>
      <c r="F28" s="1501"/>
      <c r="G28" s="1500"/>
    </row>
    <row r="29" spans="1:7" ht="13.5" customHeight="1">
      <c r="A29" s="1302"/>
      <c r="B29" s="1301"/>
      <c r="C29" s="1502"/>
      <c r="D29" s="1299"/>
      <c r="E29" s="1289"/>
      <c r="F29" s="1501"/>
      <c r="G29" s="1500"/>
    </row>
    <row r="30" spans="1:7" ht="13.5" customHeight="1">
      <c r="A30" s="1302"/>
      <c r="B30" s="1301"/>
      <c r="C30" s="1502"/>
      <c r="D30" s="1299"/>
      <c r="E30" s="1289"/>
      <c r="F30" s="1501"/>
      <c r="G30" s="1500"/>
    </row>
    <row r="31" spans="1:7" ht="13.5" customHeight="1">
      <c r="A31" s="1302"/>
      <c r="B31" s="1301"/>
      <c r="C31" s="1502"/>
      <c r="D31" s="1299"/>
      <c r="E31" s="1289"/>
      <c r="F31" s="1501"/>
      <c r="G31" s="1500"/>
    </row>
    <row r="32" spans="1:7" ht="13.5" customHeight="1">
      <c r="A32" s="1302"/>
      <c r="B32" s="1301"/>
      <c r="C32" s="1502"/>
      <c r="D32" s="1299"/>
      <c r="E32" s="1289"/>
      <c r="F32" s="1501"/>
      <c r="G32" s="1500"/>
    </row>
    <row r="33" spans="1:7" ht="13.5" customHeight="1">
      <c r="A33" s="1302"/>
      <c r="B33" s="1301"/>
      <c r="C33" s="1502"/>
      <c r="D33" s="1299"/>
      <c r="E33" s="1289"/>
      <c r="F33" s="1501"/>
      <c r="G33" s="1500"/>
    </row>
    <row r="34" spans="1:7" ht="13.5" customHeight="1">
      <c r="A34" s="1302"/>
      <c r="B34" s="1301"/>
      <c r="C34" s="1502"/>
      <c r="D34" s="1299"/>
      <c r="E34" s="1289"/>
      <c r="F34" s="1501"/>
      <c r="G34" s="1500"/>
    </row>
    <row r="35" spans="1:7" ht="13.5" customHeight="1">
      <c r="A35" s="1302"/>
      <c r="B35" s="1301"/>
      <c r="C35" s="1502"/>
      <c r="D35" s="1299"/>
      <c r="E35" s="1289"/>
      <c r="F35" s="1501"/>
      <c r="G35" s="1500"/>
    </row>
    <row r="36" spans="1:7" ht="13.5" customHeight="1">
      <c r="A36" s="1302"/>
      <c r="B36" s="1301"/>
      <c r="C36" s="1502"/>
      <c r="D36" s="1299"/>
      <c r="E36" s="1289"/>
      <c r="F36" s="1501"/>
      <c r="G36" s="1500"/>
    </row>
    <row r="37" spans="1:7" ht="13.5" customHeight="1" thickBot="1">
      <c r="A37" s="1405"/>
      <c r="B37" s="1406"/>
      <c r="C37" s="1526"/>
      <c r="D37" s="1408"/>
      <c r="E37" s="1412"/>
      <c r="F37" s="1527"/>
      <c r="G37" s="1528"/>
    </row>
    <row r="38" spans="1:7" ht="18.95" customHeight="1" thickTop="1" thickBot="1">
      <c r="A38" s="1585" t="s">
        <v>772</v>
      </c>
      <c r="B38" s="1578"/>
      <c r="C38" s="1579"/>
      <c r="D38" s="1586">
        <v>134.5</v>
      </c>
      <c r="E38" s="1609">
        <v>21348</v>
      </c>
      <c r="F38" s="1588">
        <v>20873</v>
      </c>
      <c r="G38" s="1610"/>
    </row>
    <row r="39" spans="1:7" ht="13.5" customHeight="1" thickTop="1">
      <c r="A39" s="1585" t="s">
        <v>766</v>
      </c>
      <c r="B39" s="1578"/>
      <c r="C39" s="1579"/>
      <c r="D39" s="1586">
        <v>134.5</v>
      </c>
      <c r="E39" s="1609">
        <v>22</v>
      </c>
      <c r="F39" s="1588">
        <v>21</v>
      </c>
      <c r="G39" s="1590"/>
    </row>
    <row r="40" spans="1:7" ht="13.5" customHeight="1">
      <c r="A40" s="1591" t="s">
        <v>767</v>
      </c>
      <c r="B40" s="1525"/>
      <c r="C40" s="1592"/>
      <c r="D40" s="1593">
        <v>134.5</v>
      </c>
      <c r="E40" s="1611">
        <v>159</v>
      </c>
      <c r="F40" s="1595">
        <v>155</v>
      </c>
      <c r="G40" s="1596"/>
    </row>
    <row r="46" spans="1:7" s="1276" customFormat="1" ht="13.5" customHeight="1">
      <c r="C46" s="1283"/>
      <c r="D46" s="1283"/>
      <c r="E46" s="1283"/>
      <c r="F46" s="1280"/>
    </row>
    <row r="47" spans="1:7" s="1276" customFormat="1" ht="13.5" customHeight="1">
      <c r="C47" s="1283"/>
      <c r="D47" s="1283"/>
      <c r="E47" s="1283"/>
      <c r="F47" s="1280"/>
    </row>
    <row r="48" spans="1:7" s="1276" customFormat="1" ht="13.5" customHeight="1">
      <c r="C48" s="1283"/>
      <c r="D48" s="1283"/>
      <c r="E48" s="1283"/>
      <c r="F48" s="1280"/>
    </row>
    <row r="49" spans="3:5" s="1276" customFormat="1" ht="13.5" customHeight="1">
      <c r="C49" s="1281"/>
      <c r="D49" s="1281"/>
      <c r="E49" s="1281"/>
    </row>
  </sheetData>
  <mergeCells count="11">
    <mergeCell ref="A6:C6"/>
    <mergeCell ref="A11:C11"/>
    <mergeCell ref="A38:C38"/>
    <mergeCell ref="A39:C39"/>
    <mergeCell ref="A40:C40"/>
    <mergeCell ref="A4:A5"/>
    <mergeCell ref="B4:B5"/>
    <mergeCell ref="C4:C5"/>
    <mergeCell ref="D4:D5"/>
    <mergeCell ref="E4:F4"/>
    <mergeCell ref="G4:G5"/>
  </mergeCells>
  <phoneticPr fontId="3"/>
  <printOptions horizontalCentered="1"/>
  <pageMargins left="0.39370078740157483" right="0.39370078740157483" top="0.78740157480314965" bottom="0.55118110236220474" header="0.31496062992125984" footer="0.31496062992125984"/>
  <pageSetup paperSize="9" scale="87" orientation="landscape" horizontalDpi="1200" verticalDpi="1200" r:id="rId1"/>
  <headerFooter scaleWithDoc="0">
    <oddFooter>&amp;C&amp;"ＭＳ Ｐゴシック,標準"&amp;9( &amp;P / &amp;N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51"/>
  <sheetViews>
    <sheetView showGridLines="0" zoomScale="80" zoomScaleNormal="80" workbookViewId="0">
      <pane xSplit="4" ySplit="6" topLeftCell="E7" activePane="bottomRight" state="frozenSplit"/>
      <selection pane="topRight" activeCell="N1" sqref="N1"/>
      <selection pane="bottomLeft" activeCell="A16" sqref="A16"/>
      <selection pane="bottomRight"/>
    </sheetView>
  </sheetViews>
  <sheetFormatPr defaultColWidth="9.140625" defaultRowHeight="13.5" customHeight="1"/>
  <cols>
    <col min="1" max="1" width="5.42578125" style="1276" customWidth="1"/>
    <col min="2" max="2" width="7.5703125" style="1276" customWidth="1"/>
    <col min="3" max="3" width="33.7109375" style="1276" customWidth="1"/>
    <col min="4" max="4" width="10.7109375" style="1276" customWidth="1"/>
    <col min="5" max="5" width="13.5703125" style="1276" customWidth="1"/>
    <col min="6" max="6" width="7.7109375" style="1276" customWidth="1"/>
    <col min="7" max="8" width="10.7109375" style="1276" customWidth="1"/>
    <col min="9" max="17" width="7.7109375" style="1276" customWidth="1"/>
    <col min="18" max="18" width="14.7109375" style="1276" customWidth="1"/>
    <col min="19" max="16384" width="9.140625" style="1272"/>
  </cols>
  <sheetData>
    <row r="1" spans="1:18" s="1631" customFormat="1" ht="21" customHeight="1">
      <c r="A1" s="1637" t="s">
        <v>784</v>
      </c>
      <c r="B1" s="1636"/>
      <c r="C1" s="1635"/>
      <c r="D1" s="1634"/>
      <c r="E1" s="1633"/>
      <c r="F1" s="1633"/>
      <c r="G1" s="1633"/>
      <c r="H1" s="1633"/>
      <c r="I1" s="1633"/>
      <c r="J1" s="1633"/>
      <c r="K1" s="1633"/>
      <c r="L1" s="1633"/>
      <c r="M1" s="1633"/>
      <c r="N1" s="1633"/>
      <c r="O1" s="1633"/>
      <c r="P1" s="1633"/>
      <c r="Q1" s="1633"/>
      <c r="R1" s="1632"/>
    </row>
    <row r="4" spans="1:18" ht="13.5" customHeight="1">
      <c r="A4" s="1376" t="s">
        <v>377</v>
      </c>
      <c r="B4" s="1375" t="s">
        <v>362</v>
      </c>
      <c r="C4" s="1511" t="s">
        <v>631</v>
      </c>
      <c r="D4" s="1630" t="s">
        <v>769</v>
      </c>
      <c r="E4" s="1367" t="s">
        <v>783</v>
      </c>
      <c r="F4" s="1366"/>
      <c r="G4" s="1366"/>
      <c r="H4" s="1366"/>
      <c r="I4" s="1370"/>
      <c r="J4" s="1367" t="s">
        <v>782</v>
      </c>
      <c r="K4" s="1366"/>
      <c r="L4" s="1366"/>
      <c r="M4" s="1366"/>
      <c r="N4" s="1366"/>
      <c r="O4" s="1366"/>
      <c r="P4" s="1366"/>
      <c r="Q4" s="1370"/>
      <c r="R4" s="1629" t="s">
        <v>756</v>
      </c>
    </row>
    <row r="5" spans="1:18" ht="13.5" customHeight="1">
      <c r="A5" s="1344"/>
      <c r="B5" s="1343"/>
      <c r="C5" s="1521"/>
      <c r="D5" s="1619"/>
      <c r="E5" s="1628" t="s">
        <v>781</v>
      </c>
      <c r="F5" s="1627" t="s">
        <v>780</v>
      </c>
      <c r="G5" s="1627" t="s">
        <v>779</v>
      </c>
      <c r="H5" s="1627" t="s">
        <v>778</v>
      </c>
      <c r="I5" s="1626" t="s">
        <v>777</v>
      </c>
      <c r="J5" s="1625" t="s">
        <v>36</v>
      </c>
      <c r="K5" s="1624"/>
      <c r="L5" s="1624"/>
      <c r="M5" s="1623"/>
      <c r="N5" s="1622" t="s">
        <v>48</v>
      </c>
      <c r="O5" s="1621"/>
      <c r="P5" s="1621"/>
      <c r="Q5" s="1620"/>
      <c r="R5" s="1616"/>
    </row>
    <row r="6" spans="1:18" ht="33.75">
      <c r="A6" s="1344"/>
      <c r="B6" s="1343"/>
      <c r="C6" s="1521"/>
      <c r="D6" s="1619"/>
      <c r="E6" s="1638"/>
      <c r="F6" s="1342"/>
      <c r="G6" s="1342"/>
      <c r="H6" s="1342"/>
      <c r="I6" s="1522"/>
      <c r="J6" s="1618" t="s">
        <v>776</v>
      </c>
      <c r="K6" s="1618" t="s">
        <v>775</v>
      </c>
      <c r="L6" s="1618" t="s">
        <v>774</v>
      </c>
      <c r="M6" s="1617" t="s">
        <v>773</v>
      </c>
      <c r="N6" s="1618" t="s">
        <v>776</v>
      </c>
      <c r="O6" s="1618" t="s">
        <v>775</v>
      </c>
      <c r="P6" s="1618" t="s">
        <v>774</v>
      </c>
      <c r="Q6" s="1617" t="s">
        <v>773</v>
      </c>
      <c r="R6" s="1616"/>
    </row>
    <row r="7" spans="1:18" ht="13.5" customHeight="1">
      <c r="A7" s="1538" t="s">
        <v>759</v>
      </c>
      <c r="B7" s="1539"/>
      <c r="C7" s="1540"/>
      <c r="D7" s="1533"/>
      <c r="E7" s="1639"/>
      <c r="F7" s="1640"/>
      <c r="G7" s="1640"/>
      <c r="H7" s="1640"/>
      <c r="I7" s="1532"/>
      <c r="J7" s="1641"/>
      <c r="K7" s="1641"/>
      <c r="L7" s="1641"/>
      <c r="M7" s="1642"/>
      <c r="N7" s="1641"/>
      <c r="O7" s="1641"/>
      <c r="P7" s="1641"/>
      <c r="Q7" s="1642"/>
      <c r="R7" s="1643"/>
    </row>
    <row r="8" spans="1:18" ht="13.5" customHeight="1">
      <c r="A8" s="1302">
        <v>2</v>
      </c>
      <c r="B8" s="1301">
        <v>201</v>
      </c>
      <c r="C8" s="1524" t="s">
        <v>351</v>
      </c>
      <c r="D8" s="1299">
        <v>54.8</v>
      </c>
      <c r="E8" s="1615" t="s">
        <v>785</v>
      </c>
      <c r="F8" s="1614">
        <v>60</v>
      </c>
      <c r="G8" s="1614"/>
      <c r="H8" s="1614"/>
      <c r="I8" s="1524"/>
      <c r="J8" s="1613">
        <v>1.1000000000000001</v>
      </c>
      <c r="K8" s="1613">
        <v>1.9</v>
      </c>
      <c r="L8" s="1613"/>
      <c r="M8" s="1612"/>
      <c r="N8" s="1613">
        <v>0.8</v>
      </c>
      <c r="O8" s="1613">
        <v>1.4</v>
      </c>
      <c r="P8" s="1613"/>
      <c r="Q8" s="1612"/>
      <c r="R8" s="1285"/>
    </row>
    <row r="9" spans="1:18" ht="13.5" customHeight="1">
      <c r="A9" s="1302">
        <v>2</v>
      </c>
      <c r="B9" s="1301">
        <v>204</v>
      </c>
      <c r="C9" s="1502" t="s">
        <v>534</v>
      </c>
      <c r="D9" s="1299">
        <v>13.2</v>
      </c>
      <c r="E9" s="1615" t="s">
        <v>785</v>
      </c>
      <c r="F9" s="1614">
        <v>60</v>
      </c>
      <c r="G9" s="1614"/>
      <c r="H9" s="1614"/>
      <c r="I9" s="1524"/>
      <c r="J9" s="1613">
        <v>0.7</v>
      </c>
      <c r="K9" s="1613">
        <v>1.2</v>
      </c>
      <c r="L9" s="1613"/>
      <c r="M9" s="1612"/>
      <c r="N9" s="1613">
        <v>0.5</v>
      </c>
      <c r="O9" s="1613">
        <v>0.9</v>
      </c>
      <c r="P9" s="1613"/>
      <c r="Q9" s="1612"/>
      <c r="R9" s="1285"/>
    </row>
    <row r="10" spans="1:18" ht="13.5" customHeight="1">
      <c r="A10" s="1302">
        <v>2</v>
      </c>
      <c r="B10" s="1301">
        <v>205</v>
      </c>
      <c r="C10" s="1502" t="s">
        <v>558</v>
      </c>
      <c r="D10" s="1299">
        <v>13.2</v>
      </c>
      <c r="E10" s="1615" t="s">
        <v>785</v>
      </c>
      <c r="F10" s="1614">
        <v>60</v>
      </c>
      <c r="G10" s="1614"/>
      <c r="H10" s="1614"/>
      <c r="I10" s="1524"/>
      <c r="J10" s="1613">
        <v>0.7</v>
      </c>
      <c r="K10" s="1613">
        <v>1.2</v>
      </c>
      <c r="L10" s="1613"/>
      <c r="M10" s="1612"/>
      <c r="N10" s="1613">
        <v>0.5</v>
      </c>
      <c r="O10" s="1613">
        <v>0.9</v>
      </c>
      <c r="P10" s="1613"/>
      <c r="Q10" s="1612"/>
      <c r="R10" s="1285"/>
    </row>
    <row r="11" spans="1:18" ht="13.5" customHeight="1" thickBot="1">
      <c r="A11" s="1405">
        <v>2</v>
      </c>
      <c r="B11" s="1406">
        <v>208</v>
      </c>
      <c r="C11" s="1526" t="s">
        <v>580</v>
      </c>
      <c r="D11" s="1408">
        <v>53.3</v>
      </c>
      <c r="E11" s="1644" t="s">
        <v>785</v>
      </c>
      <c r="F11" s="1645">
        <v>60</v>
      </c>
      <c r="G11" s="1645"/>
      <c r="H11" s="1645"/>
      <c r="I11" s="1558"/>
      <c r="J11" s="1646">
        <v>0.7</v>
      </c>
      <c r="K11" s="1646">
        <v>1.2</v>
      </c>
      <c r="L11" s="1646"/>
      <c r="M11" s="1647"/>
      <c r="N11" s="1646">
        <v>0.5</v>
      </c>
      <c r="O11" s="1646">
        <v>0.9</v>
      </c>
      <c r="P11" s="1646"/>
      <c r="Q11" s="1647"/>
      <c r="R11" s="1422"/>
    </row>
    <row r="12" spans="1:18" ht="13.5" customHeight="1" thickTop="1">
      <c r="A12" s="1554" t="s">
        <v>761</v>
      </c>
      <c r="B12" s="1555"/>
      <c r="C12" s="1556"/>
      <c r="D12" s="1557">
        <v>134.5</v>
      </c>
      <c r="E12" s="1648"/>
      <c r="F12" s="1550"/>
      <c r="G12" s="1550"/>
      <c r="H12" s="1550"/>
      <c r="I12" s="1550"/>
      <c r="J12" s="1649">
        <v>3.2</v>
      </c>
      <c r="K12" s="1650">
        <v>5.5</v>
      </c>
      <c r="L12" s="1650">
        <v>0</v>
      </c>
      <c r="M12" s="1650">
        <v>0</v>
      </c>
      <c r="N12" s="1649">
        <v>2.2999999999999998</v>
      </c>
      <c r="O12" s="1650">
        <v>4.0999999999999996</v>
      </c>
      <c r="P12" s="1650">
        <v>0</v>
      </c>
      <c r="Q12" s="1650">
        <v>0</v>
      </c>
      <c r="R12" s="1651"/>
    </row>
    <row r="13" spans="1:18" ht="13.5" customHeight="1">
      <c r="A13" s="1302"/>
      <c r="B13" s="1301"/>
      <c r="C13" s="1524"/>
      <c r="D13" s="1299"/>
      <c r="E13" s="1615"/>
      <c r="F13" s="1614"/>
      <c r="G13" s="1614"/>
      <c r="H13" s="1614"/>
      <c r="I13" s="1524"/>
      <c r="J13" s="1613"/>
      <c r="K13" s="1613"/>
      <c r="L13" s="1613"/>
      <c r="M13" s="1612"/>
      <c r="N13" s="1613"/>
      <c r="O13" s="1613"/>
      <c r="P13" s="1613"/>
      <c r="Q13" s="1612"/>
      <c r="R13" s="1285"/>
    </row>
    <row r="14" spans="1:18" ht="13.5" customHeight="1">
      <c r="A14" s="1302"/>
      <c r="B14" s="1301"/>
      <c r="C14" s="1502"/>
      <c r="D14" s="1299"/>
      <c r="E14" s="1615"/>
      <c r="F14" s="1614"/>
      <c r="G14" s="1614"/>
      <c r="H14" s="1614"/>
      <c r="I14" s="1524"/>
      <c r="J14" s="1613"/>
      <c r="K14" s="1613"/>
      <c r="L14" s="1613"/>
      <c r="M14" s="1612"/>
      <c r="N14" s="1613"/>
      <c r="O14" s="1613"/>
      <c r="P14" s="1613"/>
      <c r="Q14" s="1612"/>
      <c r="R14" s="1285"/>
    </row>
    <row r="15" spans="1:18" ht="13.5" customHeight="1">
      <c r="A15" s="1302"/>
      <c r="B15" s="1301"/>
      <c r="C15" s="1502"/>
      <c r="D15" s="1299"/>
      <c r="E15" s="1615"/>
      <c r="F15" s="1614"/>
      <c r="G15" s="1614"/>
      <c r="H15" s="1614"/>
      <c r="I15" s="1524"/>
      <c r="J15" s="1613"/>
      <c r="K15" s="1613"/>
      <c r="L15" s="1613"/>
      <c r="M15" s="1612"/>
      <c r="N15" s="1613"/>
      <c r="O15" s="1613"/>
      <c r="P15" s="1613"/>
      <c r="Q15" s="1612"/>
      <c r="R15" s="1285"/>
    </row>
    <row r="16" spans="1:18" ht="13.5" customHeight="1">
      <c r="A16" s="1302"/>
      <c r="B16" s="1301"/>
      <c r="C16" s="1502"/>
      <c r="D16" s="1299"/>
      <c r="E16" s="1615"/>
      <c r="F16" s="1614"/>
      <c r="G16" s="1614"/>
      <c r="H16" s="1614"/>
      <c r="I16" s="1524"/>
      <c r="J16" s="1613"/>
      <c r="K16" s="1613"/>
      <c r="L16" s="1613"/>
      <c r="M16" s="1612"/>
      <c r="N16" s="1613"/>
      <c r="O16" s="1613"/>
      <c r="P16" s="1613"/>
      <c r="Q16" s="1612"/>
      <c r="R16" s="1285"/>
    </row>
    <row r="17" spans="1:18" ht="13.5" customHeight="1">
      <c r="A17" s="1302"/>
      <c r="B17" s="1301"/>
      <c r="C17" s="1502"/>
      <c r="D17" s="1299"/>
      <c r="E17" s="1615"/>
      <c r="F17" s="1614"/>
      <c r="G17" s="1614"/>
      <c r="H17" s="1614"/>
      <c r="I17" s="1524"/>
      <c r="J17" s="1613"/>
      <c r="K17" s="1613"/>
      <c r="L17" s="1613"/>
      <c r="M17" s="1612"/>
      <c r="N17" s="1613"/>
      <c r="O17" s="1613"/>
      <c r="P17" s="1613"/>
      <c r="Q17" s="1612"/>
      <c r="R17" s="1285"/>
    </row>
    <row r="18" spans="1:18" ht="13.5" customHeight="1">
      <c r="A18" s="1302"/>
      <c r="B18" s="1301"/>
      <c r="C18" s="1502"/>
      <c r="D18" s="1299"/>
      <c r="E18" s="1615"/>
      <c r="F18" s="1614"/>
      <c r="G18" s="1614"/>
      <c r="H18" s="1614"/>
      <c r="I18" s="1524"/>
      <c r="J18" s="1613"/>
      <c r="K18" s="1613"/>
      <c r="L18" s="1613"/>
      <c r="M18" s="1612"/>
      <c r="N18" s="1613"/>
      <c r="O18" s="1613"/>
      <c r="P18" s="1613"/>
      <c r="Q18" s="1612"/>
      <c r="R18" s="1285"/>
    </row>
    <row r="19" spans="1:18" ht="13.5" customHeight="1">
      <c r="A19" s="1302"/>
      <c r="B19" s="1301"/>
      <c r="C19" s="1502"/>
      <c r="D19" s="1299"/>
      <c r="E19" s="1615"/>
      <c r="F19" s="1614"/>
      <c r="G19" s="1614"/>
      <c r="H19" s="1614"/>
      <c r="I19" s="1524"/>
      <c r="J19" s="1613"/>
      <c r="K19" s="1613"/>
      <c r="L19" s="1613"/>
      <c r="M19" s="1612"/>
      <c r="N19" s="1613"/>
      <c r="O19" s="1613"/>
      <c r="P19" s="1613"/>
      <c r="Q19" s="1612"/>
      <c r="R19" s="1285"/>
    </row>
    <row r="20" spans="1:18" ht="13.5" customHeight="1">
      <c r="A20" s="1302"/>
      <c r="B20" s="1301"/>
      <c r="C20" s="1502"/>
      <c r="D20" s="1299"/>
      <c r="E20" s="1615"/>
      <c r="F20" s="1614"/>
      <c r="G20" s="1614"/>
      <c r="H20" s="1614"/>
      <c r="I20" s="1524"/>
      <c r="J20" s="1613"/>
      <c r="K20" s="1613"/>
      <c r="L20" s="1613"/>
      <c r="M20" s="1612"/>
      <c r="N20" s="1613"/>
      <c r="O20" s="1613"/>
      <c r="P20" s="1613"/>
      <c r="Q20" s="1612"/>
      <c r="R20" s="1285"/>
    </row>
    <row r="21" spans="1:18" ht="13.5" customHeight="1">
      <c r="A21" s="1302"/>
      <c r="B21" s="1301"/>
      <c r="C21" s="1502"/>
      <c r="D21" s="1299"/>
      <c r="E21" s="1615"/>
      <c r="F21" s="1614"/>
      <c r="G21" s="1614"/>
      <c r="H21" s="1614"/>
      <c r="I21" s="1524"/>
      <c r="J21" s="1613"/>
      <c r="K21" s="1613"/>
      <c r="L21" s="1613"/>
      <c r="M21" s="1612"/>
      <c r="N21" s="1613"/>
      <c r="O21" s="1613"/>
      <c r="P21" s="1613"/>
      <c r="Q21" s="1612"/>
      <c r="R21" s="1285"/>
    </row>
    <row r="22" spans="1:18" ht="13.5" customHeight="1">
      <c r="A22" s="1302"/>
      <c r="B22" s="1301"/>
      <c r="C22" s="1502"/>
      <c r="D22" s="1299"/>
      <c r="E22" s="1615"/>
      <c r="F22" s="1614"/>
      <c r="G22" s="1614"/>
      <c r="H22" s="1614"/>
      <c r="I22" s="1524"/>
      <c r="J22" s="1613"/>
      <c r="K22" s="1613"/>
      <c r="L22" s="1613"/>
      <c r="M22" s="1612"/>
      <c r="N22" s="1613"/>
      <c r="O22" s="1613"/>
      <c r="P22" s="1613"/>
      <c r="Q22" s="1612"/>
      <c r="R22" s="1285"/>
    </row>
    <row r="23" spans="1:18" ht="13.5" customHeight="1">
      <c r="A23" s="1302"/>
      <c r="B23" s="1301"/>
      <c r="C23" s="1502"/>
      <c r="D23" s="1299"/>
      <c r="E23" s="1615"/>
      <c r="F23" s="1614"/>
      <c r="G23" s="1614"/>
      <c r="H23" s="1614"/>
      <c r="I23" s="1524"/>
      <c r="J23" s="1613"/>
      <c r="K23" s="1613"/>
      <c r="L23" s="1613"/>
      <c r="M23" s="1612"/>
      <c r="N23" s="1613"/>
      <c r="O23" s="1613"/>
      <c r="P23" s="1613"/>
      <c r="Q23" s="1612"/>
      <c r="R23" s="1285"/>
    </row>
    <row r="24" spans="1:18" ht="13.5" customHeight="1">
      <c r="A24" s="1302"/>
      <c r="B24" s="1301"/>
      <c r="C24" s="1502"/>
      <c r="D24" s="1299"/>
      <c r="E24" s="1615"/>
      <c r="F24" s="1614"/>
      <c r="G24" s="1614"/>
      <c r="H24" s="1614"/>
      <c r="I24" s="1524"/>
      <c r="J24" s="1613"/>
      <c r="K24" s="1613"/>
      <c r="L24" s="1613"/>
      <c r="M24" s="1612"/>
      <c r="N24" s="1613"/>
      <c r="O24" s="1613"/>
      <c r="P24" s="1613"/>
      <c r="Q24" s="1612"/>
      <c r="R24" s="1285"/>
    </row>
    <row r="25" spans="1:18" ht="13.5" customHeight="1">
      <c r="A25" s="1302"/>
      <c r="B25" s="1301"/>
      <c r="C25" s="1502"/>
      <c r="D25" s="1299"/>
      <c r="E25" s="1615"/>
      <c r="F25" s="1614"/>
      <c r="G25" s="1614"/>
      <c r="H25" s="1614"/>
      <c r="I25" s="1524"/>
      <c r="J25" s="1613"/>
      <c r="K25" s="1613"/>
      <c r="L25" s="1613"/>
      <c r="M25" s="1612"/>
      <c r="N25" s="1613"/>
      <c r="O25" s="1613"/>
      <c r="P25" s="1613"/>
      <c r="Q25" s="1612"/>
      <c r="R25" s="1285"/>
    </row>
    <row r="26" spans="1:18" ht="13.5" customHeight="1">
      <c r="A26" s="1302"/>
      <c r="B26" s="1301"/>
      <c r="C26" s="1502"/>
      <c r="D26" s="1299"/>
      <c r="E26" s="1615"/>
      <c r="F26" s="1614"/>
      <c r="G26" s="1614"/>
      <c r="H26" s="1614"/>
      <c r="I26" s="1524"/>
      <c r="J26" s="1613"/>
      <c r="K26" s="1613"/>
      <c r="L26" s="1613"/>
      <c r="M26" s="1612"/>
      <c r="N26" s="1613"/>
      <c r="O26" s="1613"/>
      <c r="P26" s="1613"/>
      <c r="Q26" s="1612"/>
      <c r="R26" s="1285"/>
    </row>
    <row r="27" spans="1:18" ht="13.5" customHeight="1">
      <c r="A27" s="1302"/>
      <c r="B27" s="1301"/>
      <c r="C27" s="1502"/>
      <c r="D27" s="1299"/>
      <c r="E27" s="1615"/>
      <c r="F27" s="1614"/>
      <c r="G27" s="1614"/>
      <c r="H27" s="1614"/>
      <c r="I27" s="1524"/>
      <c r="J27" s="1613"/>
      <c r="K27" s="1613"/>
      <c r="L27" s="1613"/>
      <c r="M27" s="1612"/>
      <c r="N27" s="1613"/>
      <c r="O27" s="1613"/>
      <c r="P27" s="1613"/>
      <c r="Q27" s="1612"/>
      <c r="R27" s="1285"/>
    </row>
    <row r="28" spans="1:18" ht="13.5" customHeight="1">
      <c r="A28" s="1302"/>
      <c r="B28" s="1301"/>
      <c r="C28" s="1502"/>
      <c r="D28" s="1299"/>
      <c r="E28" s="1615"/>
      <c r="F28" s="1614"/>
      <c r="G28" s="1614"/>
      <c r="H28" s="1614"/>
      <c r="I28" s="1524"/>
      <c r="J28" s="1613"/>
      <c r="K28" s="1613"/>
      <c r="L28" s="1613"/>
      <c r="M28" s="1612"/>
      <c r="N28" s="1613"/>
      <c r="O28" s="1613"/>
      <c r="P28" s="1613"/>
      <c r="Q28" s="1612"/>
      <c r="R28" s="1285"/>
    </row>
    <row r="29" spans="1:18" ht="13.5" customHeight="1">
      <c r="A29" s="1302"/>
      <c r="B29" s="1301"/>
      <c r="C29" s="1502"/>
      <c r="D29" s="1299"/>
      <c r="E29" s="1615"/>
      <c r="F29" s="1614"/>
      <c r="G29" s="1614"/>
      <c r="H29" s="1614"/>
      <c r="I29" s="1524"/>
      <c r="J29" s="1613"/>
      <c r="K29" s="1613"/>
      <c r="L29" s="1613"/>
      <c r="M29" s="1612"/>
      <c r="N29" s="1613"/>
      <c r="O29" s="1613"/>
      <c r="P29" s="1613"/>
      <c r="Q29" s="1612"/>
      <c r="R29" s="1285"/>
    </row>
    <row r="30" spans="1:18" ht="13.5" customHeight="1">
      <c r="A30" s="1302"/>
      <c r="B30" s="1301"/>
      <c r="C30" s="1502"/>
      <c r="D30" s="1299"/>
      <c r="E30" s="1615"/>
      <c r="F30" s="1614"/>
      <c r="G30" s="1614"/>
      <c r="H30" s="1614"/>
      <c r="I30" s="1524"/>
      <c r="J30" s="1613"/>
      <c r="K30" s="1613"/>
      <c r="L30" s="1613"/>
      <c r="M30" s="1612"/>
      <c r="N30" s="1613"/>
      <c r="O30" s="1613"/>
      <c r="P30" s="1613"/>
      <c r="Q30" s="1612"/>
      <c r="R30" s="1285"/>
    </row>
    <row r="31" spans="1:18" ht="13.5" customHeight="1">
      <c r="A31" s="1302"/>
      <c r="B31" s="1301"/>
      <c r="C31" s="1502"/>
      <c r="D31" s="1299"/>
      <c r="E31" s="1615"/>
      <c r="F31" s="1614"/>
      <c r="G31" s="1614"/>
      <c r="H31" s="1614"/>
      <c r="I31" s="1524"/>
      <c r="J31" s="1613"/>
      <c r="K31" s="1613"/>
      <c r="L31" s="1613"/>
      <c r="M31" s="1612"/>
      <c r="N31" s="1613"/>
      <c r="O31" s="1613"/>
      <c r="P31" s="1613"/>
      <c r="Q31" s="1612"/>
      <c r="R31" s="1285"/>
    </row>
    <row r="32" spans="1:18" ht="13.5" customHeight="1">
      <c r="A32" s="1302"/>
      <c r="B32" s="1301"/>
      <c r="C32" s="1502"/>
      <c r="D32" s="1299"/>
      <c r="E32" s="1615"/>
      <c r="F32" s="1614"/>
      <c r="G32" s="1614"/>
      <c r="H32" s="1614"/>
      <c r="I32" s="1524"/>
      <c r="J32" s="1613"/>
      <c r="K32" s="1613"/>
      <c r="L32" s="1613"/>
      <c r="M32" s="1612"/>
      <c r="N32" s="1613"/>
      <c r="O32" s="1613"/>
      <c r="P32" s="1613"/>
      <c r="Q32" s="1612"/>
      <c r="R32" s="1285"/>
    </row>
    <row r="33" spans="1:18" ht="13.5" customHeight="1">
      <c r="A33" s="1302"/>
      <c r="B33" s="1301"/>
      <c r="C33" s="1502"/>
      <c r="D33" s="1299"/>
      <c r="E33" s="1615"/>
      <c r="F33" s="1614"/>
      <c r="G33" s="1614"/>
      <c r="H33" s="1614"/>
      <c r="I33" s="1524"/>
      <c r="J33" s="1613"/>
      <c r="K33" s="1613"/>
      <c r="L33" s="1613"/>
      <c r="M33" s="1612"/>
      <c r="N33" s="1613"/>
      <c r="O33" s="1613"/>
      <c r="P33" s="1613"/>
      <c r="Q33" s="1612"/>
      <c r="R33" s="1285"/>
    </row>
    <row r="34" spans="1:18" ht="13.5" customHeight="1">
      <c r="A34" s="1302"/>
      <c r="B34" s="1301"/>
      <c r="C34" s="1502"/>
      <c r="D34" s="1299"/>
      <c r="E34" s="1615"/>
      <c r="F34" s="1614"/>
      <c r="G34" s="1614"/>
      <c r="H34" s="1614"/>
      <c r="I34" s="1524"/>
      <c r="J34" s="1613"/>
      <c r="K34" s="1613"/>
      <c r="L34" s="1613"/>
      <c r="M34" s="1612"/>
      <c r="N34" s="1613"/>
      <c r="O34" s="1613"/>
      <c r="P34" s="1613"/>
      <c r="Q34" s="1612"/>
      <c r="R34" s="1285"/>
    </row>
    <row r="35" spans="1:18" ht="13.5" customHeight="1">
      <c r="A35" s="1302"/>
      <c r="B35" s="1301"/>
      <c r="C35" s="1502"/>
      <c r="D35" s="1299"/>
      <c r="E35" s="1615"/>
      <c r="F35" s="1614"/>
      <c r="G35" s="1614"/>
      <c r="H35" s="1614"/>
      <c r="I35" s="1524"/>
      <c r="J35" s="1613"/>
      <c r="K35" s="1613"/>
      <c r="L35" s="1613"/>
      <c r="M35" s="1612"/>
      <c r="N35" s="1613"/>
      <c r="O35" s="1613"/>
      <c r="P35" s="1613"/>
      <c r="Q35" s="1612"/>
      <c r="R35" s="1285"/>
    </row>
    <row r="36" spans="1:18" ht="13.5" customHeight="1">
      <c r="A36" s="1302"/>
      <c r="B36" s="1301"/>
      <c r="C36" s="1502"/>
      <c r="D36" s="1299"/>
      <c r="E36" s="1615"/>
      <c r="F36" s="1614"/>
      <c r="G36" s="1614"/>
      <c r="H36" s="1614"/>
      <c r="I36" s="1524"/>
      <c r="J36" s="1613"/>
      <c r="K36" s="1613"/>
      <c r="L36" s="1613"/>
      <c r="M36" s="1612"/>
      <c r="N36" s="1613"/>
      <c r="O36" s="1613"/>
      <c r="P36" s="1613"/>
      <c r="Q36" s="1612"/>
      <c r="R36" s="1285"/>
    </row>
    <row r="37" spans="1:18" ht="13.5" customHeight="1">
      <c r="A37" s="1302"/>
      <c r="B37" s="1301"/>
      <c r="C37" s="1502"/>
      <c r="D37" s="1299"/>
      <c r="E37" s="1615"/>
      <c r="F37" s="1614"/>
      <c r="G37" s="1614"/>
      <c r="H37" s="1614"/>
      <c r="I37" s="1524"/>
      <c r="J37" s="1613"/>
      <c r="K37" s="1613"/>
      <c r="L37" s="1613"/>
      <c r="M37" s="1612"/>
      <c r="N37" s="1613"/>
      <c r="O37" s="1613"/>
      <c r="P37" s="1613"/>
      <c r="Q37" s="1612"/>
      <c r="R37" s="1285"/>
    </row>
    <row r="38" spans="1:18" ht="13.5" customHeight="1" thickBot="1">
      <c r="A38" s="1405"/>
      <c r="B38" s="1406"/>
      <c r="C38" s="1526"/>
      <c r="D38" s="1408"/>
      <c r="E38" s="1644"/>
      <c r="F38" s="1645"/>
      <c r="G38" s="1645"/>
      <c r="H38" s="1645"/>
      <c r="I38" s="1558"/>
      <c r="J38" s="1646"/>
      <c r="K38" s="1646"/>
      <c r="L38" s="1646"/>
      <c r="M38" s="1647"/>
      <c r="N38" s="1646"/>
      <c r="O38" s="1646"/>
      <c r="P38" s="1646"/>
      <c r="Q38" s="1647"/>
      <c r="R38" s="1422"/>
    </row>
    <row r="39" spans="1:18" ht="18.95" customHeight="1" thickTop="1">
      <c r="A39" s="1585" t="s">
        <v>772</v>
      </c>
      <c r="B39" s="1578"/>
      <c r="C39" s="1579"/>
      <c r="D39" s="1586">
        <v>134.5</v>
      </c>
      <c r="E39" s="1652"/>
      <c r="F39" s="1653"/>
      <c r="G39" s="1653"/>
      <c r="H39" s="1653"/>
      <c r="I39" s="1653"/>
      <c r="J39" s="1654">
        <v>3.2</v>
      </c>
      <c r="K39" s="1655">
        <v>5.5</v>
      </c>
      <c r="L39" s="1656">
        <v>0</v>
      </c>
      <c r="M39" s="1656">
        <v>0</v>
      </c>
      <c r="N39" s="1652">
        <v>2.2999999999999998</v>
      </c>
      <c r="O39" s="1656">
        <v>4.0999999999999996</v>
      </c>
      <c r="P39" s="1656">
        <v>0</v>
      </c>
      <c r="Q39" s="1656">
        <v>0</v>
      </c>
      <c r="R39" s="1657"/>
    </row>
    <row r="40" spans="1:18" ht="13.5" customHeight="1">
      <c r="A40" s="1591" t="s">
        <v>786</v>
      </c>
      <c r="B40" s="1525"/>
      <c r="C40" s="1592"/>
      <c r="D40" s="1593">
        <v>134.5</v>
      </c>
      <c r="E40" s="1658"/>
      <c r="F40" s="1659"/>
      <c r="G40" s="1659"/>
      <c r="H40" s="1659"/>
      <c r="I40" s="1659"/>
      <c r="J40" s="1611">
        <v>23.8</v>
      </c>
      <c r="K40" s="1660"/>
      <c r="L40" s="1660"/>
      <c r="M40" s="1660"/>
      <c r="N40" s="1594">
        <v>17.100000000000001</v>
      </c>
      <c r="O40" s="1660"/>
      <c r="P40" s="1660"/>
      <c r="Q40" s="1660"/>
      <c r="R40" s="1661"/>
    </row>
    <row r="48" spans="1:18" s="1276" customFormat="1" ht="13.5" customHeight="1">
      <c r="C48" s="1283"/>
      <c r="D48" s="1283"/>
      <c r="E48" s="1283"/>
      <c r="M48" s="1280"/>
      <c r="Q48" s="1280"/>
    </row>
    <row r="49" spans="3:17" s="1276" customFormat="1" ht="13.5" customHeight="1">
      <c r="C49" s="1283"/>
      <c r="D49" s="1283"/>
      <c r="E49" s="1283"/>
      <c r="F49" s="1284"/>
      <c r="G49" s="1284"/>
      <c r="H49" s="1284"/>
      <c r="I49" s="1284"/>
      <c r="J49" s="1284"/>
      <c r="K49" s="1284"/>
      <c r="L49" s="1284"/>
      <c r="M49" s="1280"/>
      <c r="N49" s="1284"/>
      <c r="O49" s="1284"/>
      <c r="P49" s="1284"/>
      <c r="Q49" s="1280"/>
    </row>
    <row r="50" spans="3:17" s="1276" customFormat="1" ht="13.5" customHeight="1">
      <c r="C50" s="1283"/>
      <c r="D50" s="1283"/>
      <c r="E50" s="1283"/>
      <c r="F50" s="1282"/>
      <c r="G50" s="1282"/>
      <c r="H50" s="1282"/>
      <c r="I50" s="1282"/>
      <c r="J50" s="1282"/>
      <c r="K50" s="1282"/>
      <c r="L50" s="1282"/>
      <c r="M50" s="1280"/>
      <c r="N50" s="1282"/>
      <c r="O50" s="1282"/>
      <c r="P50" s="1282"/>
      <c r="Q50" s="1280"/>
    </row>
    <row r="51" spans="3:17" s="1276" customFormat="1" ht="13.5" customHeight="1">
      <c r="C51" s="1281"/>
      <c r="D51" s="1281"/>
      <c r="E51" s="1281"/>
      <c r="F51" s="1280"/>
      <c r="G51" s="1280"/>
      <c r="H51" s="1280"/>
      <c r="I51" s="1280"/>
      <c r="J51" s="1280"/>
      <c r="K51" s="1280"/>
      <c r="L51" s="1280"/>
      <c r="N51" s="1280"/>
      <c r="O51" s="1280"/>
      <c r="P51" s="1280"/>
    </row>
  </sheetData>
  <mergeCells count="18">
    <mergeCell ref="A7:C7"/>
    <mergeCell ref="A12:C12"/>
    <mergeCell ref="A39:C39"/>
    <mergeCell ref="A40:C40"/>
    <mergeCell ref="A4:A6"/>
    <mergeCell ref="B4:B6"/>
    <mergeCell ref="C4:C6"/>
    <mergeCell ref="D4:D6"/>
    <mergeCell ref="E4:I4"/>
    <mergeCell ref="J4:Q4"/>
    <mergeCell ref="R4:R6"/>
    <mergeCell ref="E5:E6"/>
    <mergeCell ref="F5:F6"/>
    <mergeCell ref="G5:G6"/>
    <mergeCell ref="H5:H6"/>
    <mergeCell ref="I5:I6"/>
    <mergeCell ref="J5:M5"/>
    <mergeCell ref="N5:Q5"/>
  </mergeCells>
  <phoneticPr fontId="3"/>
  <pageMargins left="0.39370078740157483" right="0.39370078740157483" top="0.78740157480314965" bottom="0.55118110236220474" header="0.31496062992125984" footer="0.31496062992125984"/>
  <pageSetup paperSize="9" scale="75" fitToHeight="0" orientation="landscape" horizontalDpi="1200" verticalDpi="1200" r:id="rId1"/>
  <headerFooter scaleWithDoc="0">
    <oddFooter>&amp;C&amp;"ＭＳ Ｐゴシック,標準"&amp;9( &amp;P /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39"/>
  <sheetViews>
    <sheetView showGridLines="0" zoomScale="80" zoomScaleNormal="80" workbookViewId="0"/>
  </sheetViews>
  <sheetFormatPr defaultColWidth="9.140625" defaultRowHeight="20.100000000000001" customHeight="1"/>
  <cols>
    <col min="1" max="1" width="9.140625" style="15"/>
    <col min="2" max="13" width="8.28515625" style="15" customWidth="1"/>
    <col min="14" max="15" width="9.140625" style="15"/>
    <col min="16" max="27" width="8.28515625" style="15" customWidth="1"/>
    <col min="28" max="29" width="9.140625" style="15" customWidth="1"/>
    <col min="30" max="16384" width="9.140625" style="15"/>
  </cols>
  <sheetData>
    <row r="1" spans="1:27" s="14" customFormat="1" ht="30" customHeight="1">
      <c r="A1" s="10" t="s">
        <v>3</v>
      </c>
      <c r="B1" s="11"/>
      <c r="C1" s="11"/>
      <c r="D1" s="11"/>
      <c r="E1" s="11"/>
      <c r="F1" s="11"/>
      <c r="G1" s="11"/>
      <c r="H1" s="11"/>
      <c r="I1" s="11"/>
      <c r="J1" s="11"/>
      <c r="K1" s="11"/>
      <c r="L1" s="11"/>
      <c r="M1" s="11"/>
      <c r="N1" s="12"/>
      <c r="O1" s="12"/>
      <c r="P1" s="11"/>
      <c r="Q1" s="11"/>
      <c r="R1" s="11"/>
      <c r="S1" s="11"/>
      <c r="T1" s="11"/>
      <c r="U1" s="11"/>
      <c r="V1" s="11"/>
      <c r="W1" s="11"/>
      <c r="X1" s="11"/>
      <c r="Y1" s="11"/>
      <c r="Z1" s="11"/>
      <c r="AA1" s="13"/>
    </row>
    <row r="2" spans="1:27" ht="21" customHeight="1">
      <c r="B2" s="16"/>
      <c r="C2" s="16"/>
      <c r="D2" s="16"/>
      <c r="E2" s="16"/>
      <c r="F2" s="16"/>
      <c r="G2" s="16"/>
      <c r="H2" s="16"/>
      <c r="I2" s="16"/>
      <c r="J2" s="16"/>
      <c r="K2" s="16"/>
      <c r="L2" s="16"/>
      <c r="M2" s="16"/>
      <c r="P2" s="16"/>
      <c r="Q2" s="16"/>
      <c r="R2" s="16"/>
      <c r="S2" s="16"/>
      <c r="T2" s="16"/>
      <c r="U2" s="16"/>
      <c r="V2" s="16"/>
      <c r="W2" s="16"/>
      <c r="X2" s="16"/>
      <c r="Y2" s="16"/>
      <c r="Z2" s="16"/>
      <c r="AA2" s="16"/>
    </row>
    <row r="3" spans="1:27" ht="20.100000000000001" customHeight="1">
      <c r="B3" s="17"/>
      <c r="C3" s="17"/>
      <c r="D3" s="17"/>
      <c r="E3" s="17"/>
      <c r="F3" s="17"/>
      <c r="G3" s="17"/>
      <c r="H3" s="17"/>
      <c r="I3" s="17"/>
      <c r="J3" s="17"/>
      <c r="K3" s="17"/>
      <c r="L3" s="17"/>
      <c r="M3" s="17"/>
      <c r="P3" s="17"/>
      <c r="Q3" s="17"/>
      <c r="R3" s="17"/>
      <c r="S3" s="17"/>
      <c r="T3" s="17"/>
      <c r="U3" s="17"/>
      <c r="V3" s="17"/>
      <c r="W3" s="17"/>
      <c r="X3" s="17"/>
      <c r="Y3" s="17"/>
      <c r="Z3" s="17"/>
      <c r="AA3" s="17"/>
    </row>
    <row r="4" spans="1:27" ht="20.100000000000001" customHeight="1">
      <c r="B4" s="17"/>
      <c r="C4" s="17"/>
      <c r="D4" s="17"/>
      <c r="E4" s="17"/>
      <c r="F4" s="17"/>
      <c r="G4" s="17"/>
      <c r="H4" s="17"/>
      <c r="I4" s="17"/>
      <c r="J4" s="17"/>
      <c r="K4" s="17"/>
      <c r="L4" s="17"/>
      <c r="M4" s="17"/>
      <c r="P4" s="17"/>
      <c r="Q4" s="17"/>
      <c r="R4" s="17"/>
      <c r="S4" s="17"/>
      <c r="T4" s="17"/>
      <c r="U4" s="17"/>
      <c r="V4" s="17"/>
      <c r="W4" s="17"/>
      <c r="X4" s="17"/>
      <c r="Y4" s="17"/>
      <c r="Z4" s="17"/>
      <c r="AA4" s="17"/>
    </row>
    <row r="5" spans="1:27" ht="20.100000000000001" customHeight="1">
      <c r="B5" s="17"/>
      <c r="C5" s="17"/>
      <c r="D5" s="17"/>
      <c r="E5" s="17"/>
      <c r="F5" s="17"/>
      <c r="G5" s="17"/>
      <c r="H5" s="17"/>
      <c r="I5" s="17"/>
      <c r="J5" s="17"/>
      <c r="K5" s="17"/>
      <c r="L5" s="17"/>
      <c r="M5" s="17"/>
      <c r="P5" s="17"/>
      <c r="Q5" s="17"/>
      <c r="R5" s="17"/>
      <c r="S5" s="17"/>
      <c r="T5" s="17"/>
      <c r="U5" s="17"/>
      <c r="V5" s="17"/>
      <c r="W5" s="17"/>
      <c r="X5" s="17"/>
      <c r="Y5" s="17"/>
      <c r="Z5" s="17"/>
      <c r="AA5" s="17"/>
    </row>
    <row r="6" spans="1:27" ht="20.100000000000001" customHeight="1">
      <c r="B6" s="17"/>
      <c r="C6" s="17"/>
      <c r="D6" s="17"/>
      <c r="E6" s="17"/>
      <c r="F6" s="17"/>
      <c r="G6" s="17"/>
      <c r="H6" s="17"/>
      <c r="I6" s="17"/>
      <c r="J6" s="17"/>
      <c r="K6" s="17"/>
      <c r="L6" s="17"/>
      <c r="M6" s="17"/>
      <c r="P6" s="17"/>
      <c r="Q6" s="17"/>
      <c r="R6" s="17"/>
      <c r="S6" s="17"/>
      <c r="T6" s="17"/>
      <c r="U6" s="17"/>
      <c r="V6" s="17"/>
      <c r="W6" s="17"/>
      <c r="X6" s="17"/>
      <c r="Y6" s="17"/>
      <c r="Z6" s="17"/>
      <c r="AA6" s="17"/>
    </row>
    <row r="7" spans="1:27" ht="20.100000000000001" customHeight="1">
      <c r="B7" s="17"/>
      <c r="C7" s="17"/>
      <c r="D7" s="17"/>
      <c r="E7" s="17"/>
      <c r="F7" s="17"/>
      <c r="G7" s="17"/>
      <c r="H7" s="17"/>
      <c r="I7" s="17"/>
      <c r="J7" s="17"/>
      <c r="K7" s="17"/>
      <c r="L7" s="17"/>
      <c r="M7" s="17"/>
      <c r="P7" s="17"/>
      <c r="Q7" s="17"/>
      <c r="R7" s="17"/>
      <c r="S7" s="17"/>
      <c r="T7" s="17"/>
      <c r="U7" s="17"/>
      <c r="V7" s="17"/>
      <c r="W7" s="17"/>
      <c r="X7" s="17"/>
      <c r="Y7" s="17"/>
      <c r="Z7" s="17"/>
      <c r="AA7" s="17"/>
    </row>
    <row r="8" spans="1:27" ht="20.100000000000001" customHeight="1">
      <c r="B8" s="17"/>
      <c r="C8" s="17"/>
      <c r="D8" s="17"/>
      <c r="E8" s="17"/>
      <c r="F8" s="17"/>
      <c r="G8" s="17"/>
      <c r="H8" s="17"/>
      <c r="I8" s="17"/>
      <c r="J8" s="17"/>
      <c r="K8" s="17"/>
      <c r="L8" s="17"/>
      <c r="M8" s="17"/>
      <c r="P8" s="17"/>
      <c r="Q8" s="17"/>
      <c r="R8" s="17"/>
      <c r="S8" s="17"/>
      <c r="T8" s="17"/>
      <c r="U8" s="17"/>
      <c r="V8" s="17"/>
      <c r="W8" s="17"/>
      <c r="X8" s="17"/>
      <c r="Y8" s="17"/>
      <c r="Z8" s="17"/>
      <c r="AA8" s="17"/>
    </row>
    <row r="9" spans="1:27" ht="20.100000000000001" customHeight="1">
      <c r="B9" s="17"/>
      <c r="C9" s="17"/>
      <c r="D9" s="17"/>
      <c r="E9" s="17"/>
      <c r="F9" s="17"/>
      <c r="G9" s="17"/>
      <c r="H9" s="17"/>
      <c r="I9" s="17"/>
      <c r="J9" s="17"/>
      <c r="K9" s="17"/>
      <c r="L9" s="17"/>
      <c r="M9" s="17"/>
      <c r="P9" s="17"/>
      <c r="Q9" s="17"/>
      <c r="R9" s="17"/>
      <c r="S9" s="17"/>
      <c r="T9" s="17"/>
      <c r="U9" s="17"/>
      <c r="V9" s="17"/>
      <c r="W9" s="17"/>
      <c r="X9" s="17"/>
      <c r="Y9" s="17"/>
      <c r="Z9" s="17"/>
      <c r="AA9" s="17"/>
    </row>
    <row r="10" spans="1:27" ht="20.100000000000001" customHeight="1">
      <c r="B10" s="17"/>
      <c r="C10" s="17"/>
      <c r="D10" s="17"/>
      <c r="E10" s="17"/>
      <c r="F10" s="17"/>
      <c r="G10" s="17"/>
      <c r="H10" s="17"/>
      <c r="I10" s="17"/>
      <c r="J10" s="17"/>
      <c r="K10" s="17"/>
      <c r="L10" s="17"/>
      <c r="M10" s="17"/>
      <c r="P10" s="17"/>
      <c r="Q10" s="17"/>
      <c r="R10" s="17"/>
      <c r="S10" s="17"/>
      <c r="T10" s="17"/>
      <c r="U10" s="17"/>
      <c r="V10" s="17"/>
      <c r="W10" s="17"/>
      <c r="X10" s="17"/>
      <c r="Y10" s="17"/>
      <c r="Z10" s="17"/>
      <c r="AA10" s="17"/>
    </row>
    <row r="11" spans="1:27" ht="20.100000000000001" customHeight="1">
      <c r="B11" s="17"/>
      <c r="C11" s="17"/>
      <c r="D11" s="17"/>
      <c r="E11" s="17"/>
      <c r="F11" s="17"/>
      <c r="G11" s="17"/>
      <c r="H11" s="17"/>
      <c r="I11" s="17"/>
      <c r="J11" s="17"/>
      <c r="K11" s="17"/>
      <c r="L11" s="17"/>
      <c r="M11" s="17"/>
      <c r="P11" s="17"/>
      <c r="Q11" s="17"/>
      <c r="R11" s="17"/>
      <c r="S11" s="17"/>
      <c r="T11" s="17"/>
      <c r="U11" s="17"/>
      <c r="V11" s="17"/>
      <c r="W11" s="17"/>
      <c r="X11" s="17"/>
      <c r="Y11" s="17"/>
      <c r="Z11" s="17"/>
      <c r="AA11" s="17"/>
    </row>
    <row r="12" spans="1:27" ht="20.100000000000001" customHeight="1">
      <c r="B12" s="17"/>
      <c r="C12" s="17"/>
      <c r="D12" s="17"/>
      <c r="E12" s="17"/>
      <c r="F12" s="17"/>
      <c r="G12" s="17"/>
      <c r="H12" s="17"/>
      <c r="I12" s="17"/>
      <c r="J12" s="17"/>
      <c r="K12" s="17"/>
      <c r="L12" s="17"/>
      <c r="M12" s="17"/>
      <c r="P12" s="17"/>
      <c r="Q12" s="17"/>
      <c r="R12" s="17"/>
      <c r="S12" s="17"/>
      <c r="T12" s="17"/>
      <c r="U12" s="17"/>
      <c r="V12" s="17"/>
      <c r="W12" s="17"/>
      <c r="X12" s="17"/>
      <c r="Y12" s="17"/>
      <c r="Z12" s="17"/>
      <c r="AA12" s="17"/>
    </row>
    <row r="13" spans="1:27" ht="20.100000000000001" customHeight="1">
      <c r="B13" s="17"/>
      <c r="C13" s="17"/>
      <c r="D13" s="17"/>
      <c r="E13" s="17"/>
      <c r="F13" s="17"/>
      <c r="G13" s="17"/>
      <c r="H13" s="17"/>
      <c r="I13" s="17"/>
      <c r="J13" s="17"/>
      <c r="K13" s="17"/>
      <c r="L13" s="17"/>
      <c r="M13" s="17"/>
      <c r="P13" s="17"/>
      <c r="Q13" s="17"/>
      <c r="R13" s="17"/>
      <c r="S13" s="17"/>
      <c r="T13" s="17"/>
      <c r="U13" s="17"/>
      <c r="V13" s="17"/>
      <c r="W13" s="17"/>
      <c r="X13" s="17"/>
      <c r="Y13" s="17"/>
      <c r="Z13" s="17"/>
      <c r="AA13" s="17"/>
    </row>
    <row r="14" spans="1:27" ht="20.100000000000001" customHeight="1">
      <c r="B14" s="17"/>
      <c r="C14" s="17"/>
      <c r="D14" s="17"/>
      <c r="E14" s="17"/>
      <c r="F14" s="17"/>
      <c r="G14" s="17"/>
      <c r="H14" s="17"/>
      <c r="I14" s="17"/>
      <c r="J14" s="17"/>
      <c r="K14" s="17"/>
      <c r="L14" s="17"/>
      <c r="M14" s="17"/>
      <c r="P14" s="17"/>
      <c r="Q14" s="17"/>
      <c r="R14" s="17"/>
      <c r="S14" s="17"/>
      <c r="T14" s="17"/>
      <c r="U14" s="17"/>
      <c r="V14" s="17"/>
      <c r="W14" s="17"/>
      <c r="X14" s="17"/>
      <c r="Y14" s="17"/>
      <c r="Z14" s="17"/>
      <c r="AA14" s="17"/>
    </row>
    <row r="15" spans="1:27" ht="20.100000000000001" customHeight="1">
      <c r="B15" s="17"/>
      <c r="C15" s="17"/>
      <c r="D15" s="17"/>
      <c r="E15" s="17"/>
      <c r="F15" s="17"/>
      <c r="G15" s="17"/>
      <c r="H15" s="17"/>
      <c r="I15" s="17"/>
      <c r="J15" s="17"/>
      <c r="K15" s="17"/>
      <c r="L15" s="17"/>
      <c r="M15" s="17"/>
      <c r="P15" s="17"/>
      <c r="Q15" s="17"/>
      <c r="R15" s="17"/>
      <c r="S15" s="17"/>
      <c r="T15" s="17"/>
      <c r="U15" s="17"/>
      <c r="V15" s="17"/>
      <c r="W15" s="17"/>
      <c r="X15" s="17"/>
      <c r="Y15" s="17"/>
      <c r="Z15" s="17"/>
      <c r="AA15" s="17"/>
    </row>
    <row r="16" spans="1:27" ht="20.100000000000001" customHeight="1">
      <c r="B16" s="17"/>
      <c r="C16" s="17"/>
      <c r="D16" s="17"/>
      <c r="E16" s="17"/>
      <c r="F16" s="17"/>
      <c r="G16" s="17"/>
      <c r="H16" s="17"/>
      <c r="I16" s="17"/>
      <c r="J16" s="17"/>
      <c r="K16" s="17"/>
      <c r="L16" s="17"/>
      <c r="M16" s="17"/>
      <c r="P16" s="17"/>
      <c r="Q16" s="17"/>
      <c r="R16" s="17"/>
      <c r="S16" s="17"/>
      <c r="T16" s="17"/>
      <c r="U16" s="17"/>
      <c r="V16" s="17"/>
      <c r="W16" s="17"/>
      <c r="X16" s="17"/>
      <c r="Y16" s="17"/>
      <c r="Z16" s="17"/>
      <c r="AA16" s="17"/>
    </row>
    <row r="17" spans="2:27" ht="20.100000000000001" customHeight="1">
      <c r="B17" s="17"/>
      <c r="C17" s="17"/>
      <c r="D17" s="17"/>
      <c r="E17" s="17"/>
      <c r="F17" s="17"/>
      <c r="G17" s="17"/>
      <c r="H17" s="17"/>
      <c r="I17" s="17"/>
      <c r="J17" s="17"/>
      <c r="K17" s="17"/>
      <c r="L17" s="17"/>
      <c r="M17" s="17"/>
      <c r="P17" s="17"/>
      <c r="Q17" s="17"/>
      <c r="R17" s="17"/>
      <c r="S17" s="17"/>
      <c r="T17" s="17"/>
      <c r="U17" s="17"/>
      <c r="V17" s="17"/>
      <c r="W17" s="17"/>
      <c r="X17" s="17"/>
      <c r="Y17" s="17"/>
      <c r="Z17" s="17"/>
      <c r="AA17" s="17"/>
    </row>
    <row r="18" spans="2:27" ht="20.100000000000001" customHeight="1">
      <c r="B18" s="17"/>
      <c r="C18" s="17"/>
      <c r="D18" s="17"/>
      <c r="E18" s="17"/>
      <c r="F18" s="17"/>
      <c r="G18" s="17"/>
      <c r="H18" s="17"/>
      <c r="I18" s="17"/>
      <c r="J18" s="17"/>
      <c r="K18" s="17"/>
      <c r="L18" s="17"/>
      <c r="M18" s="17"/>
      <c r="P18" s="17"/>
      <c r="Q18" s="17"/>
      <c r="R18" s="17"/>
      <c r="S18" s="17"/>
      <c r="T18" s="17"/>
      <c r="U18" s="17"/>
      <c r="V18" s="17"/>
      <c r="W18" s="17"/>
      <c r="X18" s="17"/>
      <c r="Y18" s="17"/>
      <c r="Z18" s="17"/>
      <c r="AA18" s="17"/>
    </row>
    <row r="19" spans="2:27" ht="20.100000000000001" customHeight="1">
      <c r="B19" s="17"/>
      <c r="C19" s="17"/>
      <c r="D19" s="17"/>
      <c r="E19" s="17"/>
      <c r="F19" s="17"/>
      <c r="G19" s="17"/>
      <c r="H19" s="17"/>
      <c r="I19" s="17"/>
      <c r="J19" s="17"/>
      <c r="K19" s="17"/>
      <c r="L19" s="17"/>
      <c r="M19" s="17"/>
      <c r="P19" s="17"/>
      <c r="Q19" s="17"/>
      <c r="R19" s="17"/>
      <c r="S19" s="17"/>
      <c r="T19" s="17"/>
      <c r="U19" s="17"/>
      <c r="V19" s="17"/>
      <c r="W19" s="17"/>
      <c r="X19" s="17"/>
      <c r="Y19" s="17"/>
      <c r="Z19" s="17"/>
      <c r="AA19" s="17"/>
    </row>
    <row r="20" spans="2:27" ht="20.100000000000001" customHeight="1">
      <c r="B20" s="17"/>
      <c r="C20" s="17"/>
      <c r="D20" s="17"/>
      <c r="E20" s="17"/>
      <c r="F20" s="17"/>
      <c r="G20" s="17"/>
      <c r="H20" s="17"/>
      <c r="I20" s="17"/>
      <c r="J20" s="17"/>
      <c r="K20" s="17"/>
      <c r="L20" s="17"/>
      <c r="M20" s="17"/>
      <c r="P20" s="17"/>
      <c r="Q20" s="17"/>
      <c r="R20" s="17"/>
      <c r="S20" s="17"/>
      <c r="T20" s="17"/>
      <c r="U20" s="17"/>
      <c r="V20" s="17"/>
      <c r="W20" s="17"/>
      <c r="X20" s="17"/>
      <c r="Y20" s="17"/>
      <c r="Z20" s="17"/>
      <c r="AA20" s="17"/>
    </row>
    <row r="21" spans="2:27" ht="20.100000000000001" customHeight="1">
      <c r="B21" s="17"/>
      <c r="C21" s="17"/>
      <c r="D21" s="17"/>
      <c r="E21" s="17"/>
      <c r="F21" s="17"/>
      <c r="G21" s="17"/>
      <c r="H21" s="17"/>
      <c r="I21" s="17"/>
      <c r="J21" s="17"/>
      <c r="K21" s="17"/>
      <c r="L21" s="17"/>
      <c r="M21" s="17"/>
      <c r="P21" s="17"/>
      <c r="Q21" s="17"/>
      <c r="R21" s="17"/>
      <c r="S21" s="17"/>
      <c r="T21" s="17"/>
      <c r="U21" s="17"/>
      <c r="V21" s="17"/>
      <c r="W21" s="17"/>
      <c r="X21" s="17"/>
      <c r="Y21" s="17"/>
      <c r="Z21" s="17"/>
      <c r="AA21" s="17"/>
    </row>
    <row r="22" spans="2:27" ht="20.100000000000001" customHeight="1">
      <c r="B22" s="17"/>
      <c r="C22" s="17"/>
      <c r="D22" s="17"/>
      <c r="E22" s="17"/>
      <c r="F22" s="17"/>
      <c r="G22" s="17"/>
      <c r="H22" s="17"/>
      <c r="I22" s="17"/>
      <c r="J22" s="17"/>
      <c r="K22" s="17"/>
      <c r="L22" s="17"/>
      <c r="M22" s="17"/>
      <c r="P22" s="17"/>
      <c r="Q22" s="17"/>
      <c r="R22" s="17"/>
      <c r="S22" s="17"/>
      <c r="T22" s="17"/>
      <c r="U22" s="17"/>
      <c r="V22" s="17"/>
      <c r="W22" s="17"/>
      <c r="X22" s="17"/>
      <c r="Y22" s="17"/>
      <c r="Z22" s="17"/>
      <c r="AA22" s="17"/>
    </row>
    <row r="23" spans="2:27" ht="20.100000000000001" customHeight="1">
      <c r="B23" s="17"/>
      <c r="C23" s="17"/>
      <c r="D23" s="17"/>
      <c r="E23" s="17"/>
      <c r="F23" s="17"/>
      <c r="G23" s="17"/>
      <c r="H23" s="17"/>
      <c r="I23" s="17"/>
      <c r="J23" s="17"/>
      <c r="K23" s="17"/>
      <c r="L23" s="17"/>
      <c r="M23" s="17"/>
      <c r="P23" s="17"/>
      <c r="Q23" s="17"/>
      <c r="R23" s="17"/>
      <c r="S23" s="17"/>
      <c r="T23" s="17"/>
      <c r="U23" s="17"/>
      <c r="V23" s="17"/>
      <c r="W23" s="17"/>
      <c r="X23" s="17"/>
      <c r="Y23" s="17"/>
      <c r="Z23" s="17"/>
      <c r="AA23" s="17"/>
    </row>
    <row r="24" spans="2:27" ht="20.100000000000001" customHeight="1">
      <c r="B24" s="17"/>
      <c r="C24" s="17"/>
      <c r="D24" s="17"/>
      <c r="E24" s="17"/>
      <c r="F24" s="17"/>
      <c r="G24" s="17"/>
      <c r="H24" s="17"/>
      <c r="I24" s="17"/>
      <c r="J24" s="17"/>
      <c r="K24" s="17"/>
      <c r="L24" s="17"/>
      <c r="M24" s="17"/>
      <c r="P24" s="17"/>
      <c r="Q24" s="17"/>
      <c r="R24" s="17"/>
      <c r="S24" s="17"/>
      <c r="T24" s="17"/>
      <c r="U24" s="17"/>
      <c r="V24" s="17"/>
      <c r="W24" s="17"/>
      <c r="X24" s="17"/>
      <c r="Y24" s="17"/>
      <c r="Z24" s="17"/>
      <c r="AA24" s="17"/>
    </row>
    <row r="25" spans="2:27" ht="20.100000000000001" customHeight="1">
      <c r="B25" s="17"/>
      <c r="C25" s="17"/>
      <c r="D25" s="17"/>
      <c r="E25" s="17"/>
      <c r="F25" s="17"/>
      <c r="G25" s="17"/>
      <c r="H25" s="17"/>
      <c r="I25" s="17"/>
      <c r="J25" s="17"/>
      <c r="K25" s="17"/>
      <c r="L25" s="17"/>
      <c r="M25" s="17"/>
      <c r="P25" s="17"/>
      <c r="Q25" s="17"/>
      <c r="R25" s="17"/>
      <c r="S25" s="17"/>
      <c r="T25" s="17"/>
      <c r="U25" s="17"/>
      <c r="V25" s="17"/>
      <c r="W25" s="17"/>
      <c r="X25" s="17"/>
      <c r="Y25" s="17"/>
      <c r="Z25" s="17"/>
      <c r="AA25" s="17"/>
    </row>
    <row r="26" spans="2:27" ht="20.100000000000001" customHeight="1">
      <c r="B26" s="17"/>
      <c r="C26" s="17"/>
      <c r="D26" s="17"/>
      <c r="E26" s="17"/>
      <c r="F26" s="17"/>
      <c r="G26" s="17"/>
      <c r="H26" s="17"/>
      <c r="I26" s="17"/>
      <c r="J26" s="17"/>
      <c r="K26" s="17"/>
      <c r="L26" s="17"/>
      <c r="M26" s="17"/>
      <c r="P26" s="17"/>
      <c r="Q26" s="17"/>
      <c r="R26" s="17"/>
      <c r="S26" s="17"/>
      <c r="T26" s="17"/>
      <c r="U26" s="17"/>
      <c r="V26" s="17"/>
      <c r="W26" s="17"/>
      <c r="X26" s="17"/>
      <c r="Y26" s="17"/>
      <c r="Z26" s="17"/>
      <c r="AA26" s="17"/>
    </row>
    <row r="27" spans="2:27" ht="20.100000000000001" customHeight="1">
      <c r="B27" s="17"/>
      <c r="C27" s="17"/>
      <c r="D27" s="17"/>
      <c r="E27" s="17"/>
      <c r="F27" s="17"/>
      <c r="G27" s="17"/>
      <c r="H27" s="17"/>
      <c r="I27" s="17"/>
      <c r="J27" s="17"/>
      <c r="K27" s="17"/>
      <c r="L27" s="17"/>
      <c r="M27" s="17"/>
      <c r="P27" s="17"/>
      <c r="Q27" s="17"/>
      <c r="R27" s="17"/>
      <c r="S27" s="17"/>
      <c r="T27" s="17"/>
      <c r="U27" s="17"/>
      <c r="V27" s="17"/>
      <c r="W27" s="17"/>
      <c r="X27" s="17"/>
      <c r="Y27" s="17"/>
      <c r="Z27" s="17"/>
      <c r="AA27" s="17"/>
    </row>
    <row r="28" spans="2:27" ht="20.100000000000001" customHeight="1">
      <c r="B28" s="17"/>
      <c r="C28" s="17"/>
      <c r="D28" s="17"/>
      <c r="E28" s="17"/>
      <c r="F28" s="17"/>
      <c r="G28" s="17"/>
      <c r="H28" s="17"/>
      <c r="I28" s="17"/>
      <c r="J28" s="17"/>
      <c r="K28" s="17"/>
      <c r="L28" s="17"/>
      <c r="M28" s="17"/>
      <c r="P28" s="17"/>
      <c r="Q28" s="17"/>
      <c r="R28" s="17"/>
      <c r="S28" s="17"/>
      <c r="T28" s="17"/>
      <c r="U28" s="17"/>
      <c r="V28" s="17"/>
      <c r="W28" s="17"/>
      <c r="X28" s="17"/>
      <c r="Y28" s="17"/>
      <c r="Z28" s="17"/>
      <c r="AA28" s="17"/>
    </row>
    <row r="29" spans="2:27" ht="20.100000000000001" customHeight="1">
      <c r="B29" s="17"/>
      <c r="C29" s="17"/>
      <c r="D29" s="17"/>
      <c r="E29" s="17"/>
      <c r="F29" s="17"/>
      <c r="G29" s="17"/>
      <c r="H29" s="17"/>
      <c r="I29" s="17"/>
      <c r="J29" s="17"/>
      <c r="K29" s="17"/>
      <c r="L29" s="17"/>
      <c r="M29" s="17"/>
      <c r="P29" s="17"/>
      <c r="Q29" s="17"/>
      <c r="R29" s="17"/>
      <c r="S29" s="17"/>
      <c r="T29" s="17"/>
      <c r="U29" s="17"/>
      <c r="V29" s="17"/>
      <c r="W29" s="17"/>
      <c r="X29" s="17"/>
      <c r="Y29" s="17"/>
      <c r="Z29" s="17"/>
      <c r="AA29" s="17"/>
    </row>
    <row r="30" spans="2:27" ht="15.95" customHeight="1"/>
    <row r="31" spans="2:27" ht="15.95" customHeight="1">
      <c r="B31" s="18" t="s">
        <v>4</v>
      </c>
      <c r="C31" s="19"/>
      <c r="D31" s="19"/>
      <c r="E31" s="19"/>
      <c r="F31" s="19"/>
      <c r="I31" s="18" t="s">
        <v>5</v>
      </c>
      <c r="J31" s="19"/>
      <c r="K31" s="19"/>
      <c r="L31" s="19"/>
      <c r="M31" s="19"/>
      <c r="N31" s="17"/>
    </row>
    <row r="32" spans="2:27" ht="15.95" customHeight="1">
      <c r="B32" s="20" t="s">
        <v>6</v>
      </c>
      <c r="C32" s="21"/>
      <c r="D32" s="22" t="s">
        <v>7</v>
      </c>
      <c r="E32" s="22" t="s">
        <v>8</v>
      </c>
      <c r="F32" s="21" t="s">
        <v>9</v>
      </c>
      <c r="G32" s="23"/>
      <c r="I32" s="24" t="s">
        <v>10</v>
      </c>
      <c r="J32" s="25"/>
      <c r="K32" s="26" t="s">
        <v>11</v>
      </c>
      <c r="L32" s="26" t="s">
        <v>12</v>
      </c>
      <c r="M32" s="26" t="s">
        <v>13</v>
      </c>
      <c r="N32" s="27" t="s">
        <v>14</v>
      </c>
    </row>
    <row r="33" spans="2:27" ht="15.95" customHeight="1">
      <c r="B33" s="28" t="s">
        <v>22</v>
      </c>
      <c r="C33" s="29"/>
      <c r="D33" s="30">
        <v>35.69</v>
      </c>
      <c r="E33" s="30">
        <v>139.76</v>
      </c>
      <c r="F33" s="31">
        <v>135</v>
      </c>
      <c r="G33" s="32"/>
      <c r="I33" s="33" t="s">
        <v>15</v>
      </c>
      <c r="J33" s="34"/>
      <c r="K33" s="35">
        <v>200</v>
      </c>
      <c r="L33" s="35">
        <v>-70</v>
      </c>
      <c r="M33" s="35">
        <v>20</v>
      </c>
      <c r="N33" s="36">
        <v>110</v>
      </c>
    </row>
    <row r="34" spans="2:27" ht="15.95" customHeight="1" thickBot="1"/>
    <row r="35" spans="2:27" ht="15.95" customHeight="1">
      <c r="B35" s="15" t="s">
        <v>16</v>
      </c>
      <c r="L35" s="37" t="s">
        <v>17</v>
      </c>
      <c r="M35" s="38" t="s">
        <v>18</v>
      </c>
      <c r="P35" s="15" t="s">
        <v>16</v>
      </c>
      <c r="AA35" s="39" t="s">
        <v>19</v>
      </c>
    </row>
    <row r="36" spans="2:27" ht="15.95" customHeight="1">
      <c r="B36" s="40"/>
      <c r="C36" s="41"/>
      <c r="D36" s="42">
        <v>9</v>
      </c>
      <c r="E36" s="42">
        <v>10</v>
      </c>
      <c r="F36" s="42">
        <v>11</v>
      </c>
      <c r="G36" s="42">
        <v>12</v>
      </c>
      <c r="H36" s="42">
        <v>13</v>
      </c>
      <c r="I36" s="42">
        <v>14</v>
      </c>
      <c r="J36" s="42">
        <v>15</v>
      </c>
      <c r="K36" s="42">
        <v>16</v>
      </c>
      <c r="L36" s="42">
        <v>17</v>
      </c>
      <c r="M36" s="43">
        <v>18</v>
      </c>
      <c r="P36" s="40"/>
      <c r="Q36" s="41"/>
      <c r="R36" s="42">
        <v>9</v>
      </c>
      <c r="S36" s="42">
        <v>10</v>
      </c>
      <c r="T36" s="42">
        <v>11</v>
      </c>
      <c r="U36" s="42">
        <v>12</v>
      </c>
      <c r="V36" s="42">
        <v>13</v>
      </c>
      <c r="W36" s="42">
        <v>14</v>
      </c>
      <c r="X36" s="42">
        <v>15</v>
      </c>
      <c r="Y36" s="42">
        <v>16</v>
      </c>
      <c r="Z36" s="42">
        <v>17</v>
      </c>
      <c r="AA36" s="43">
        <v>18</v>
      </c>
    </row>
    <row r="37" spans="2:27" ht="15.95" customHeight="1">
      <c r="B37" s="44" t="s">
        <v>20</v>
      </c>
      <c r="C37" s="45"/>
      <c r="D37" s="46">
        <v>49.2</v>
      </c>
      <c r="E37" s="46">
        <v>60.5</v>
      </c>
      <c r="F37" s="46">
        <v>69.599999999999994</v>
      </c>
      <c r="G37" s="46">
        <v>72.2</v>
      </c>
      <c r="H37" s="46">
        <v>66.2</v>
      </c>
      <c r="I37" s="46">
        <v>55.8</v>
      </c>
      <c r="J37" s="46">
        <v>44.1</v>
      </c>
      <c r="K37" s="46">
        <v>32</v>
      </c>
      <c r="L37" s="46">
        <v>19.8</v>
      </c>
      <c r="M37" s="47">
        <v>8</v>
      </c>
      <c r="P37" s="44" t="s">
        <v>20</v>
      </c>
      <c r="Q37" s="45"/>
      <c r="R37" s="46">
        <v>41.5</v>
      </c>
      <c r="S37" s="46">
        <v>50.7</v>
      </c>
      <c r="T37" s="46">
        <v>56.5</v>
      </c>
      <c r="U37" s="46">
        <v>57.1</v>
      </c>
      <c r="V37" s="46">
        <v>52.3</v>
      </c>
      <c r="W37" s="46">
        <v>43.7</v>
      </c>
      <c r="X37" s="46">
        <v>33</v>
      </c>
      <c r="Y37" s="46">
        <v>21.4</v>
      </c>
      <c r="Z37" s="46">
        <v>9.3000000000000007</v>
      </c>
      <c r="AA37" s="47">
        <v>0</v>
      </c>
    </row>
    <row r="38" spans="2:27" ht="15.95" customHeight="1">
      <c r="B38" s="44" t="s">
        <v>21</v>
      </c>
      <c r="C38" s="45"/>
      <c r="D38" s="48">
        <v>-75.8</v>
      </c>
      <c r="E38" s="48">
        <v>-60.5</v>
      </c>
      <c r="F38" s="48">
        <v>-33.799999999999997</v>
      </c>
      <c r="G38" s="48">
        <v>10.1</v>
      </c>
      <c r="H38" s="48">
        <v>47.4</v>
      </c>
      <c r="I38" s="48">
        <v>68</v>
      </c>
      <c r="J38" s="48">
        <v>80.7</v>
      </c>
      <c r="K38" s="48">
        <v>90.2</v>
      </c>
      <c r="L38" s="48">
        <v>98.5</v>
      </c>
      <c r="M38" s="49">
        <v>106.7</v>
      </c>
      <c r="P38" s="44" t="s">
        <v>21</v>
      </c>
      <c r="Q38" s="45"/>
      <c r="R38" s="48">
        <v>-57.2</v>
      </c>
      <c r="S38" s="48">
        <v>-40.1</v>
      </c>
      <c r="T38" s="48">
        <v>-16.7</v>
      </c>
      <c r="U38" s="48">
        <v>10.9</v>
      </c>
      <c r="V38" s="48">
        <v>35.5</v>
      </c>
      <c r="W38" s="48">
        <v>54</v>
      </c>
      <c r="X38" s="48">
        <v>67.5</v>
      </c>
      <c r="Y38" s="48">
        <v>78.099999999999994</v>
      </c>
      <c r="Z38" s="48">
        <v>87.3</v>
      </c>
      <c r="AA38" s="49">
        <v>0</v>
      </c>
    </row>
    <row r="39" spans="2:27" ht="20.100000000000001" customHeight="1">
      <c r="B39" s="15" t="s">
        <v>23</v>
      </c>
      <c r="P39" s="15" t="s">
        <v>24</v>
      </c>
    </row>
  </sheetData>
  <mergeCells count="12">
    <mergeCell ref="B36:C36"/>
    <mergeCell ref="P36:Q36"/>
    <mergeCell ref="B37:C37"/>
    <mergeCell ref="P37:Q37"/>
    <mergeCell ref="B38:C38"/>
    <mergeCell ref="P38:Q38"/>
    <mergeCell ref="B32:C32"/>
    <mergeCell ref="F32:G32"/>
    <mergeCell ref="I32:J32"/>
    <mergeCell ref="B33:C33"/>
    <mergeCell ref="F33:G33"/>
    <mergeCell ref="I33:J33"/>
  </mergeCells>
  <phoneticPr fontId="3"/>
  <pageMargins left="0.65" right="0.51" top="0.78740157480314965" bottom="0.47244094488188981" header="0.51181102362204722" footer="0.31496062992125984"/>
  <pageSetup paperSize="9" scale="66" orientation="landscape" horizontalDpi="400" verticalDpi="400" r:id="rId1"/>
  <headerFooter scaleWithDoc="0">
    <oddFooter>&amp;C&amp;"ＭＳ Ｐゴシック,標準"&amp;9( &amp;P / &amp;N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B54"/>
  <sheetViews>
    <sheetView showGridLines="0" zoomScale="80" zoomScaleNormal="80" workbookViewId="0"/>
  </sheetViews>
  <sheetFormatPr defaultColWidth="7.5703125" defaultRowHeight="15.95" customHeight="1"/>
  <cols>
    <col min="1" max="1" width="17.28515625" style="108" customWidth="1"/>
    <col min="2" max="6" width="7.7109375" style="54" customWidth="1"/>
    <col min="7" max="7" width="7.7109375" style="72" customWidth="1"/>
    <col min="8" max="12" width="7.7109375" style="54" customWidth="1"/>
    <col min="13" max="13" width="7.7109375" style="72" customWidth="1"/>
    <col min="14" max="18" width="7.7109375" style="54" customWidth="1"/>
    <col min="19" max="19" width="7.7109375" style="72" customWidth="1"/>
    <col min="20" max="23" width="7.7109375" style="54" customWidth="1"/>
    <col min="24" max="24" width="7.7109375" style="72" customWidth="1"/>
    <col min="25" max="25" width="7.7109375" style="54" customWidth="1"/>
    <col min="26" max="16384" width="7.5703125" style="54"/>
  </cols>
  <sheetData>
    <row r="1" spans="1:25" s="53" customFormat="1" ht="27.95" customHeight="1">
      <c r="A1" s="10" t="s">
        <v>26</v>
      </c>
      <c r="B1" s="50"/>
      <c r="C1" s="50"/>
      <c r="D1" s="50"/>
      <c r="E1" s="50"/>
      <c r="F1" s="50"/>
      <c r="G1" s="51"/>
      <c r="H1" s="50"/>
      <c r="I1" s="50"/>
      <c r="J1" s="50"/>
      <c r="K1" s="50"/>
      <c r="L1" s="50"/>
      <c r="M1" s="51"/>
      <c r="N1" s="50"/>
      <c r="O1" s="50"/>
      <c r="P1" s="50"/>
      <c r="Q1" s="50"/>
      <c r="R1" s="50"/>
      <c r="S1" s="51"/>
      <c r="T1" s="50"/>
      <c r="U1" s="50"/>
      <c r="V1" s="50"/>
      <c r="W1" s="50"/>
      <c r="X1" s="51"/>
      <c r="Y1" s="52"/>
    </row>
    <row r="2" spans="1:25" ht="8.1" customHeight="1">
      <c r="A2" s="54"/>
      <c r="G2" s="54"/>
      <c r="M2" s="54"/>
      <c r="S2" s="54"/>
      <c r="X2" s="54"/>
    </row>
    <row r="3" spans="1:25" ht="15.95" customHeight="1">
      <c r="A3" s="55" t="s">
        <v>27</v>
      </c>
      <c r="B3" s="55" t="s">
        <v>63</v>
      </c>
      <c r="C3" s="55"/>
      <c r="D3" s="56"/>
      <c r="E3" s="56"/>
      <c r="F3" s="56"/>
      <c r="G3" s="56"/>
      <c r="H3" s="56"/>
      <c r="I3" s="56"/>
      <c r="J3" s="56"/>
      <c r="K3" s="56"/>
      <c r="L3" s="56"/>
      <c r="M3" s="56"/>
      <c r="N3" s="56"/>
      <c r="O3" s="56"/>
      <c r="P3" s="56"/>
      <c r="Q3" s="56"/>
      <c r="R3" s="56"/>
      <c r="S3" s="56"/>
      <c r="T3" s="56"/>
      <c r="U3" s="56"/>
      <c r="V3" s="56"/>
      <c r="W3" s="56"/>
      <c r="X3" s="57"/>
      <c r="Y3" s="57"/>
    </row>
    <row r="4" spans="1:25" ht="15.95" customHeight="1" thickBot="1">
      <c r="A4" s="54"/>
      <c r="G4" s="54"/>
      <c r="M4" s="54"/>
      <c r="S4" s="54"/>
      <c r="X4" s="54"/>
    </row>
    <row r="5" spans="1:25" ht="15.95" customHeight="1">
      <c r="A5" s="58" t="s">
        <v>28</v>
      </c>
      <c r="B5" s="59"/>
      <c r="C5" s="60"/>
      <c r="G5" s="54"/>
      <c r="M5" s="54"/>
      <c r="S5" s="54"/>
      <c r="X5" s="54"/>
    </row>
    <row r="6" spans="1:25" ht="15.95" customHeight="1" thickBot="1">
      <c r="A6" s="54"/>
      <c r="G6" s="54"/>
      <c r="M6" s="54"/>
      <c r="S6" s="54"/>
      <c r="X6" s="54"/>
    </row>
    <row r="7" spans="1:25" ht="15.95" customHeight="1">
      <c r="A7" s="37" t="s">
        <v>29</v>
      </c>
      <c r="B7" s="61"/>
      <c r="C7" s="61"/>
      <c r="D7" s="61"/>
      <c r="E7" s="62"/>
      <c r="F7" s="61"/>
      <c r="G7" s="61"/>
      <c r="H7" s="61"/>
      <c r="I7" s="61"/>
      <c r="J7" s="61"/>
      <c r="K7" s="62"/>
      <c r="L7" s="61"/>
      <c r="M7" s="61"/>
      <c r="N7" s="61"/>
      <c r="O7" s="61"/>
      <c r="P7" s="61"/>
      <c r="Q7" s="62"/>
      <c r="R7" s="61"/>
      <c r="S7" s="61"/>
      <c r="T7" s="61"/>
      <c r="U7" s="61"/>
      <c r="V7" s="62"/>
      <c r="X7" s="54"/>
      <c r="Y7" s="63" t="s">
        <v>30</v>
      </c>
    </row>
    <row r="8" spans="1:25" ht="15.95" customHeight="1">
      <c r="A8" s="64"/>
      <c r="B8" s="65">
        <v>1</v>
      </c>
      <c r="C8" s="66">
        <v>2</v>
      </c>
      <c r="D8" s="66">
        <v>3</v>
      </c>
      <c r="E8" s="66">
        <v>4</v>
      </c>
      <c r="F8" s="66">
        <v>5</v>
      </c>
      <c r="G8" s="66">
        <v>6</v>
      </c>
      <c r="H8" s="66">
        <v>7</v>
      </c>
      <c r="I8" s="66">
        <v>8</v>
      </c>
      <c r="J8" s="66">
        <v>9</v>
      </c>
      <c r="K8" s="66">
        <v>10</v>
      </c>
      <c r="L8" s="66">
        <v>11</v>
      </c>
      <c r="M8" s="66">
        <v>12</v>
      </c>
      <c r="N8" s="66">
        <v>13</v>
      </c>
      <c r="O8" s="66">
        <v>14</v>
      </c>
      <c r="P8" s="66">
        <v>15</v>
      </c>
      <c r="Q8" s="66">
        <v>16</v>
      </c>
      <c r="R8" s="66">
        <v>17</v>
      </c>
      <c r="S8" s="66">
        <v>18</v>
      </c>
      <c r="T8" s="66">
        <v>19</v>
      </c>
      <c r="U8" s="66">
        <v>20</v>
      </c>
      <c r="V8" s="66">
        <v>21</v>
      </c>
      <c r="W8" s="66">
        <v>22</v>
      </c>
      <c r="X8" s="66">
        <v>23</v>
      </c>
      <c r="Y8" s="67">
        <v>24</v>
      </c>
    </row>
    <row r="9" spans="1:25" ht="15.95" customHeight="1">
      <c r="A9" s="68" t="s">
        <v>31</v>
      </c>
      <c r="B9" s="69">
        <v>28.5</v>
      </c>
      <c r="C9" s="70">
        <v>28.1</v>
      </c>
      <c r="D9" s="70">
        <v>27.9</v>
      </c>
      <c r="E9" s="70">
        <v>27.7</v>
      </c>
      <c r="F9" s="70">
        <v>27.6</v>
      </c>
      <c r="G9" s="70">
        <v>27.9</v>
      </c>
      <c r="H9" s="70">
        <v>28.9</v>
      </c>
      <c r="I9" s="70">
        <v>30</v>
      </c>
      <c r="J9" s="70">
        <v>31.3</v>
      </c>
      <c r="K9" s="70">
        <v>32.5</v>
      </c>
      <c r="L9" s="70">
        <v>33.200000000000003</v>
      </c>
      <c r="M9" s="138">
        <v>33.700000000000003</v>
      </c>
      <c r="N9" s="70">
        <v>33.9</v>
      </c>
      <c r="O9" s="70">
        <v>33.9</v>
      </c>
      <c r="P9" s="70">
        <v>33.4</v>
      </c>
      <c r="Q9" s="70">
        <v>32.9</v>
      </c>
      <c r="R9" s="70">
        <v>32</v>
      </c>
      <c r="S9" s="70">
        <v>31.3</v>
      </c>
      <c r="T9" s="70">
        <v>30.4</v>
      </c>
      <c r="U9" s="70">
        <v>29.8</v>
      </c>
      <c r="V9" s="70">
        <v>29.5</v>
      </c>
      <c r="W9" s="70">
        <v>29.2</v>
      </c>
      <c r="X9" s="70">
        <v>28.9</v>
      </c>
      <c r="Y9" s="71">
        <v>28.8</v>
      </c>
    </row>
    <row r="10" spans="1:25" ht="15.95" customHeight="1">
      <c r="A10" s="68" t="s">
        <v>32</v>
      </c>
      <c r="B10" s="69">
        <v>19.100000000000001</v>
      </c>
      <c r="C10" s="70">
        <v>19.100000000000001</v>
      </c>
      <c r="D10" s="70">
        <v>19.100000000000001</v>
      </c>
      <c r="E10" s="70">
        <v>19</v>
      </c>
      <c r="F10" s="70">
        <v>18.899999999999999</v>
      </c>
      <c r="G10" s="70">
        <v>19</v>
      </c>
      <c r="H10" s="70">
        <v>18.899999999999999</v>
      </c>
      <c r="I10" s="70">
        <v>18.8</v>
      </c>
      <c r="J10" s="70">
        <v>18.600000000000001</v>
      </c>
      <c r="K10" s="70">
        <v>18.5</v>
      </c>
      <c r="L10" s="70">
        <v>18.3</v>
      </c>
      <c r="M10" s="138">
        <v>18.600000000000001</v>
      </c>
      <c r="N10" s="70">
        <v>18.399999999999999</v>
      </c>
      <c r="O10" s="70">
        <v>18.100000000000001</v>
      </c>
      <c r="P10" s="70">
        <v>18.3</v>
      </c>
      <c r="Q10" s="70">
        <v>18.399999999999999</v>
      </c>
      <c r="R10" s="70">
        <v>18.5</v>
      </c>
      <c r="S10" s="70">
        <v>18.5</v>
      </c>
      <c r="T10" s="70">
        <v>18.5</v>
      </c>
      <c r="U10" s="70">
        <v>18.600000000000001</v>
      </c>
      <c r="V10" s="70">
        <v>18.8</v>
      </c>
      <c r="W10" s="70">
        <v>18.899999999999999</v>
      </c>
      <c r="X10" s="70">
        <v>19</v>
      </c>
      <c r="Y10" s="71">
        <v>19.100000000000001</v>
      </c>
    </row>
    <row r="11" spans="1:25" ht="15.95" customHeight="1">
      <c r="A11" s="68" t="s">
        <v>33</v>
      </c>
      <c r="B11" s="69">
        <v>77.400000000000006</v>
      </c>
      <c r="C11" s="70">
        <v>77</v>
      </c>
      <c r="D11" s="70">
        <v>76.8</v>
      </c>
      <c r="E11" s="70">
        <v>76.3</v>
      </c>
      <c r="F11" s="70">
        <v>76</v>
      </c>
      <c r="G11" s="70">
        <v>76.5</v>
      </c>
      <c r="H11" s="70">
        <v>77.3</v>
      </c>
      <c r="I11" s="70">
        <v>78.2</v>
      </c>
      <c r="J11" s="70">
        <v>79.099999999999994</v>
      </c>
      <c r="K11" s="70">
        <v>80</v>
      </c>
      <c r="L11" s="70">
        <v>80.3</v>
      </c>
      <c r="M11" s="138">
        <v>81.599999999999994</v>
      </c>
      <c r="N11" s="70">
        <v>81.2</v>
      </c>
      <c r="O11" s="70">
        <v>80.5</v>
      </c>
      <c r="P11" s="70">
        <v>80.5</v>
      </c>
      <c r="Q11" s="70">
        <v>80.2</v>
      </c>
      <c r="R11" s="70">
        <v>79.5</v>
      </c>
      <c r="S11" s="70">
        <v>78.8</v>
      </c>
      <c r="T11" s="70">
        <v>77.900000000000006</v>
      </c>
      <c r="U11" s="70">
        <v>77.5</v>
      </c>
      <c r="V11" s="70">
        <v>77.7</v>
      </c>
      <c r="W11" s="70">
        <v>77.599999999999994</v>
      </c>
      <c r="X11" s="70">
        <v>77.599999999999994</v>
      </c>
      <c r="Y11" s="71">
        <v>77.7</v>
      </c>
    </row>
    <row r="12" spans="1:25" ht="15.95" customHeight="1" thickBot="1">
      <c r="A12" s="54"/>
    </row>
    <row r="13" spans="1:25" ht="15.95" customHeight="1">
      <c r="A13" s="38" t="s">
        <v>18</v>
      </c>
      <c r="B13" s="61"/>
      <c r="C13" s="61"/>
      <c r="D13" s="61"/>
      <c r="E13" s="62"/>
      <c r="F13" s="61"/>
      <c r="G13" s="61"/>
      <c r="H13" s="61"/>
      <c r="I13" s="61"/>
      <c r="J13" s="61"/>
      <c r="K13" s="62"/>
      <c r="L13" s="61"/>
      <c r="M13" s="61"/>
      <c r="N13" s="61"/>
      <c r="O13" s="61"/>
      <c r="P13" s="61"/>
      <c r="Q13" s="62"/>
      <c r="R13" s="61"/>
      <c r="S13" s="61"/>
      <c r="T13" s="61"/>
      <c r="U13" s="61"/>
      <c r="V13" s="62"/>
      <c r="X13" s="54"/>
      <c r="Y13" s="63" t="s">
        <v>30</v>
      </c>
    </row>
    <row r="14" spans="1:25" ht="15.95" customHeight="1">
      <c r="A14" s="64"/>
      <c r="B14" s="65">
        <v>1</v>
      </c>
      <c r="C14" s="66">
        <v>2</v>
      </c>
      <c r="D14" s="66">
        <v>3</v>
      </c>
      <c r="E14" s="66">
        <v>4</v>
      </c>
      <c r="F14" s="66">
        <v>5</v>
      </c>
      <c r="G14" s="66">
        <v>6</v>
      </c>
      <c r="H14" s="66">
        <v>7</v>
      </c>
      <c r="I14" s="66">
        <v>8</v>
      </c>
      <c r="J14" s="66">
        <v>9</v>
      </c>
      <c r="K14" s="66">
        <v>10</v>
      </c>
      <c r="L14" s="66">
        <v>11</v>
      </c>
      <c r="M14" s="66">
        <v>12</v>
      </c>
      <c r="N14" s="66">
        <v>13</v>
      </c>
      <c r="O14" s="66">
        <v>14</v>
      </c>
      <c r="P14" s="66">
        <v>15</v>
      </c>
      <c r="Q14" s="66">
        <v>16</v>
      </c>
      <c r="R14" s="66">
        <v>17</v>
      </c>
      <c r="S14" s="66">
        <v>18</v>
      </c>
      <c r="T14" s="66">
        <v>19</v>
      </c>
      <c r="U14" s="66">
        <v>20</v>
      </c>
      <c r="V14" s="66">
        <v>21</v>
      </c>
      <c r="W14" s="66">
        <v>22</v>
      </c>
      <c r="X14" s="66">
        <v>23</v>
      </c>
      <c r="Y14" s="67">
        <v>24</v>
      </c>
    </row>
    <row r="15" spans="1:25" ht="15.95" customHeight="1">
      <c r="A15" s="68" t="s">
        <v>31</v>
      </c>
      <c r="B15" s="69">
        <v>27.8</v>
      </c>
      <c r="C15" s="70">
        <v>27.5</v>
      </c>
      <c r="D15" s="70">
        <v>27.3</v>
      </c>
      <c r="E15" s="70">
        <v>27.1</v>
      </c>
      <c r="F15" s="70">
        <v>27</v>
      </c>
      <c r="G15" s="70">
        <v>27.3</v>
      </c>
      <c r="H15" s="70">
        <v>28.4</v>
      </c>
      <c r="I15" s="70">
        <v>29.8</v>
      </c>
      <c r="J15" s="70">
        <v>31.1</v>
      </c>
      <c r="K15" s="70">
        <v>32.1</v>
      </c>
      <c r="L15" s="70">
        <v>33</v>
      </c>
      <c r="M15" s="70">
        <v>33.4</v>
      </c>
      <c r="N15" s="138">
        <v>33.6</v>
      </c>
      <c r="O15" s="70">
        <v>33.4</v>
      </c>
      <c r="P15" s="70">
        <v>32.9</v>
      </c>
      <c r="Q15" s="70">
        <v>32.5</v>
      </c>
      <c r="R15" s="70">
        <v>32</v>
      </c>
      <c r="S15" s="70">
        <v>31.1</v>
      </c>
      <c r="T15" s="70">
        <v>29.9</v>
      </c>
      <c r="U15" s="70">
        <v>29.1</v>
      </c>
      <c r="V15" s="70">
        <v>28.7</v>
      </c>
      <c r="W15" s="70">
        <v>28.4</v>
      </c>
      <c r="X15" s="70">
        <v>28.3</v>
      </c>
      <c r="Y15" s="71">
        <v>28</v>
      </c>
    </row>
    <row r="16" spans="1:25" ht="15.95" customHeight="1">
      <c r="A16" s="68" t="s">
        <v>32</v>
      </c>
      <c r="B16" s="69">
        <v>17.3</v>
      </c>
      <c r="C16" s="70">
        <v>17.399999999999999</v>
      </c>
      <c r="D16" s="70">
        <v>17.399999999999999</v>
      </c>
      <c r="E16" s="70">
        <v>17.399999999999999</v>
      </c>
      <c r="F16" s="70">
        <v>17.3</v>
      </c>
      <c r="G16" s="70">
        <v>17.3</v>
      </c>
      <c r="H16" s="70">
        <v>17.100000000000001</v>
      </c>
      <c r="I16" s="70">
        <v>16.899999999999999</v>
      </c>
      <c r="J16" s="70">
        <v>16.7</v>
      </c>
      <c r="K16" s="70">
        <v>16.600000000000001</v>
      </c>
      <c r="L16" s="70">
        <v>16.600000000000001</v>
      </c>
      <c r="M16" s="70">
        <v>16.7</v>
      </c>
      <c r="N16" s="138">
        <v>16.8</v>
      </c>
      <c r="O16" s="70">
        <v>16.600000000000001</v>
      </c>
      <c r="P16" s="70">
        <v>16.7</v>
      </c>
      <c r="Q16" s="70">
        <v>16.8</v>
      </c>
      <c r="R16" s="70">
        <v>17</v>
      </c>
      <c r="S16" s="70">
        <v>17.100000000000001</v>
      </c>
      <c r="T16" s="70">
        <v>17.2</v>
      </c>
      <c r="U16" s="70">
        <v>17.2</v>
      </c>
      <c r="V16" s="70">
        <v>17.2</v>
      </c>
      <c r="W16" s="70">
        <v>17.2</v>
      </c>
      <c r="X16" s="70">
        <v>17.3</v>
      </c>
      <c r="Y16" s="71">
        <v>17.399999999999999</v>
      </c>
    </row>
    <row r="17" spans="1:25" ht="15.95" customHeight="1">
      <c r="A17" s="68" t="s">
        <v>33</v>
      </c>
      <c r="B17" s="69">
        <v>72.099999999999994</v>
      </c>
      <c r="C17" s="70">
        <v>72</v>
      </c>
      <c r="D17" s="70">
        <v>71.8</v>
      </c>
      <c r="E17" s="70">
        <v>71.599999999999994</v>
      </c>
      <c r="F17" s="70">
        <v>71.3</v>
      </c>
      <c r="G17" s="70">
        <v>71.599999999999994</v>
      </c>
      <c r="H17" s="70">
        <v>72.2</v>
      </c>
      <c r="I17" s="70">
        <v>73.2</v>
      </c>
      <c r="J17" s="70">
        <v>74</v>
      </c>
      <c r="K17" s="70">
        <v>74.8</v>
      </c>
      <c r="L17" s="70">
        <v>75.7</v>
      </c>
      <c r="M17" s="70">
        <v>76.400000000000006</v>
      </c>
      <c r="N17" s="138">
        <v>76.8</v>
      </c>
      <c r="O17" s="70">
        <v>76.099999999999994</v>
      </c>
      <c r="P17" s="70">
        <v>75.900000000000006</v>
      </c>
      <c r="Q17" s="70">
        <v>75.7</v>
      </c>
      <c r="R17" s="70">
        <v>75.7</v>
      </c>
      <c r="S17" s="70">
        <v>75</v>
      </c>
      <c r="T17" s="70">
        <v>74</v>
      </c>
      <c r="U17" s="70">
        <v>73.2</v>
      </c>
      <c r="V17" s="70">
        <v>72.8</v>
      </c>
      <c r="W17" s="70">
        <v>72.5</v>
      </c>
      <c r="X17" s="70">
        <v>72.599999999999994</v>
      </c>
      <c r="Y17" s="71">
        <v>72.599999999999994</v>
      </c>
    </row>
    <row r="18" spans="1:25" ht="15.95" customHeight="1" thickBot="1">
      <c r="A18" s="54"/>
    </row>
    <row r="19" spans="1:25" ht="15.95" customHeight="1">
      <c r="A19" s="39" t="s">
        <v>34</v>
      </c>
      <c r="B19" s="61"/>
      <c r="C19" s="61"/>
      <c r="D19" s="61"/>
      <c r="E19" s="62"/>
      <c r="F19" s="61"/>
      <c r="G19" s="61"/>
      <c r="H19" s="61"/>
      <c r="I19" s="61"/>
      <c r="J19" s="61"/>
      <c r="K19" s="62"/>
      <c r="L19" s="61"/>
      <c r="M19" s="61"/>
      <c r="N19" s="61"/>
      <c r="O19" s="61"/>
      <c r="P19" s="61"/>
      <c r="Q19" s="62"/>
      <c r="R19" s="61"/>
      <c r="S19" s="61"/>
      <c r="T19" s="61"/>
      <c r="U19" s="61"/>
      <c r="V19" s="62"/>
      <c r="X19" s="54"/>
      <c r="Y19" s="63" t="s">
        <v>30</v>
      </c>
    </row>
    <row r="20" spans="1:25" ht="15.95" customHeight="1">
      <c r="A20" s="64"/>
      <c r="B20" s="65">
        <v>1</v>
      </c>
      <c r="C20" s="66">
        <v>2</v>
      </c>
      <c r="D20" s="66">
        <v>3</v>
      </c>
      <c r="E20" s="66">
        <v>4</v>
      </c>
      <c r="F20" s="66">
        <v>5</v>
      </c>
      <c r="G20" s="66">
        <v>6</v>
      </c>
      <c r="H20" s="66">
        <v>7</v>
      </c>
      <c r="I20" s="66">
        <v>8</v>
      </c>
      <c r="J20" s="66">
        <v>9</v>
      </c>
      <c r="K20" s="66">
        <v>10</v>
      </c>
      <c r="L20" s="66">
        <v>11</v>
      </c>
      <c r="M20" s="66">
        <v>12</v>
      </c>
      <c r="N20" s="66">
        <v>13</v>
      </c>
      <c r="O20" s="66">
        <v>14</v>
      </c>
      <c r="P20" s="66">
        <v>15</v>
      </c>
      <c r="Q20" s="66">
        <v>16</v>
      </c>
      <c r="R20" s="66">
        <v>17</v>
      </c>
      <c r="S20" s="66">
        <v>18</v>
      </c>
      <c r="T20" s="66">
        <v>19</v>
      </c>
      <c r="U20" s="66">
        <v>20</v>
      </c>
      <c r="V20" s="66">
        <v>21</v>
      </c>
      <c r="W20" s="66">
        <v>22</v>
      </c>
      <c r="X20" s="66">
        <v>23</v>
      </c>
      <c r="Y20" s="67">
        <v>24</v>
      </c>
    </row>
    <row r="21" spans="1:25" ht="15.95" customHeight="1">
      <c r="A21" s="68" t="s">
        <v>31</v>
      </c>
      <c r="B21" s="69">
        <v>25.8</v>
      </c>
      <c r="C21" s="70">
        <v>25.5</v>
      </c>
      <c r="D21" s="70">
        <v>25.3</v>
      </c>
      <c r="E21" s="70">
        <v>25.1</v>
      </c>
      <c r="F21" s="70">
        <v>24.9</v>
      </c>
      <c r="G21" s="70">
        <v>25.1</v>
      </c>
      <c r="H21" s="70">
        <v>26</v>
      </c>
      <c r="I21" s="70">
        <v>27.5</v>
      </c>
      <c r="J21" s="70">
        <v>28.8</v>
      </c>
      <c r="K21" s="70">
        <v>30.1</v>
      </c>
      <c r="L21" s="70">
        <v>30.9</v>
      </c>
      <c r="M21" s="137">
        <v>31.6</v>
      </c>
      <c r="N21" s="70">
        <v>31.8</v>
      </c>
      <c r="O21" s="70">
        <v>31.5</v>
      </c>
      <c r="P21" s="70">
        <v>31.1</v>
      </c>
      <c r="Q21" s="70">
        <v>30.7</v>
      </c>
      <c r="R21" s="70">
        <v>29.7</v>
      </c>
      <c r="S21" s="70">
        <v>28.7</v>
      </c>
      <c r="T21" s="70">
        <v>27.9</v>
      </c>
      <c r="U21" s="70">
        <v>27.3</v>
      </c>
      <c r="V21" s="70">
        <v>27</v>
      </c>
      <c r="W21" s="139">
        <v>26.8</v>
      </c>
      <c r="X21" s="70">
        <v>26.6</v>
      </c>
      <c r="Y21" s="71">
        <v>26.2</v>
      </c>
    </row>
    <row r="22" spans="1:25" ht="15.95" customHeight="1">
      <c r="A22" s="68" t="s">
        <v>32</v>
      </c>
      <c r="B22" s="69">
        <v>16.100000000000001</v>
      </c>
      <c r="C22" s="70">
        <v>16</v>
      </c>
      <c r="D22" s="70">
        <v>15.9</v>
      </c>
      <c r="E22" s="70">
        <v>15.7</v>
      </c>
      <c r="F22" s="70">
        <v>15.4</v>
      </c>
      <c r="G22" s="70">
        <v>15.2</v>
      </c>
      <c r="H22" s="70">
        <v>15</v>
      </c>
      <c r="I22" s="70">
        <v>14.6</v>
      </c>
      <c r="J22" s="70">
        <v>14.2</v>
      </c>
      <c r="K22" s="70">
        <v>14.1</v>
      </c>
      <c r="L22" s="70">
        <v>13.8</v>
      </c>
      <c r="M22" s="137">
        <v>13.7</v>
      </c>
      <c r="N22" s="70">
        <v>13.5</v>
      </c>
      <c r="O22" s="70">
        <v>13.4</v>
      </c>
      <c r="P22" s="70">
        <v>13.5</v>
      </c>
      <c r="Q22" s="70">
        <v>13.7</v>
      </c>
      <c r="R22" s="70">
        <v>13.9</v>
      </c>
      <c r="S22" s="70">
        <v>14.5</v>
      </c>
      <c r="T22" s="70">
        <v>15.2</v>
      </c>
      <c r="U22" s="70">
        <v>16</v>
      </c>
      <c r="V22" s="70">
        <v>16.5</v>
      </c>
      <c r="W22" s="139">
        <v>16.600000000000001</v>
      </c>
      <c r="X22" s="70">
        <v>16.399999999999999</v>
      </c>
      <c r="Y22" s="71">
        <v>16.3</v>
      </c>
    </row>
    <row r="23" spans="1:25" ht="15.95" customHeight="1">
      <c r="A23" s="68" t="s">
        <v>33</v>
      </c>
      <c r="B23" s="69">
        <v>67</v>
      </c>
      <c r="C23" s="70">
        <v>66.400000000000006</v>
      </c>
      <c r="D23" s="70">
        <v>65.900000000000006</v>
      </c>
      <c r="E23" s="70">
        <v>65.2</v>
      </c>
      <c r="F23" s="70">
        <v>64.3</v>
      </c>
      <c r="G23" s="70">
        <v>64</v>
      </c>
      <c r="H23" s="70">
        <v>64.400000000000006</v>
      </c>
      <c r="I23" s="70">
        <v>64.900000000000006</v>
      </c>
      <c r="J23" s="70">
        <v>65.2</v>
      </c>
      <c r="K23" s="70">
        <v>66.3</v>
      </c>
      <c r="L23" s="70">
        <v>66.400000000000006</v>
      </c>
      <c r="M23" s="137">
        <v>66.8</v>
      </c>
      <c r="N23" s="70">
        <v>66.5</v>
      </c>
      <c r="O23" s="70">
        <v>66</v>
      </c>
      <c r="P23" s="70">
        <v>65.8</v>
      </c>
      <c r="Q23" s="70">
        <v>65.900000000000006</v>
      </c>
      <c r="R23" s="70">
        <v>65.400000000000006</v>
      </c>
      <c r="S23" s="70">
        <v>65.900000000000006</v>
      </c>
      <c r="T23" s="70">
        <v>66.8</v>
      </c>
      <c r="U23" s="70">
        <v>68.3</v>
      </c>
      <c r="V23" s="70">
        <v>69.2</v>
      </c>
      <c r="W23" s="139">
        <v>69.3</v>
      </c>
      <c r="X23" s="70">
        <v>68.599999999999994</v>
      </c>
      <c r="Y23" s="71">
        <v>67.900000000000006</v>
      </c>
    </row>
    <row r="24" spans="1:25" ht="15.95" customHeight="1" thickBot="1">
      <c r="A24" s="73"/>
    </row>
    <row r="25" spans="1:25" ht="15.95" customHeight="1">
      <c r="A25" s="58" t="s">
        <v>35</v>
      </c>
      <c r="B25" s="59"/>
      <c r="C25" s="60"/>
    </row>
    <row r="26" spans="1:25" ht="15.95" customHeight="1" thickBot="1">
      <c r="A26" s="54"/>
    </row>
    <row r="27" spans="1:25" ht="15.95" customHeight="1">
      <c r="A27" s="74" t="s">
        <v>36</v>
      </c>
      <c r="B27" s="61"/>
      <c r="C27" s="61"/>
      <c r="D27" s="61"/>
      <c r="E27" s="62"/>
      <c r="F27" s="61"/>
      <c r="G27" s="61"/>
      <c r="H27" s="61"/>
      <c r="I27" s="61"/>
      <c r="J27" s="61"/>
      <c r="K27" s="62"/>
      <c r="L27" s="61"/>
      <c r="M27" s="61"/>
      <c r="N27" s="61"/>
      <c r="O27" s="61"/>
      <c r="P27" s="61"/>
      <c r="Q27" s="62"/>
      <c r="R27" s="61"/>
      <c r="S27" s="61"/>
      <c r="T27" s="61"/>
      <c r="U27" s="61"/>
      <c r="V27" s="62"/>
      <c r="X27" s="54"/>
    </row>
    <row r="28" spans="1:25" ht="15.95" customHeight="1">
      <c r="A28" s="75"/>
      <c r="B28" s="76" t="s">
        <v>37</v>
      </c>
      <c r="C28" s="77"/>
      <c r="D28" s="77"/>
      <c r="E28" s="78"/>
      <c r="F28" s="76" t="s">
        <v>38</v>
      </c>
      <c r="G28" s="77"/>
      <c r="H28" s="77"/>
      <c r="I28" s="77"/>
      <c r="J28" s="77"/>
      <c r="K28" s="78"/>
      <c r="L28" s="76" t="s">
        <v>39</v>
      </c>
      <c r="M28" s="77"/>
      <c r="N28" s="77"/>
      <c r="O28" s="78"/>
      <c r="S28" s="54"/>
      <c r="X28" s="54"/>
    </row>
    <row r="29" spans="1:25" ht="15.95" customHeight="1">
      <c r="A29" s="79"/>
      <c r="B29" s="80" t="s">
        <v>40</v>
      </c>
      <c r="C29" s="81"/>
      <c r="D29" s="80" t="s">
        <v>41</v>
      </c>
      <c r="E29" s="81"/>
      <c r="F29" s="80" t="s">
        <v>42</v>
      </c>
      <c r="G29" s="82"/>
      <c r="H29" s="80" t="s">
        <v>43</v>
      </c>
      <c r="I29" s="81"/>
      <c r="J29" s="82" t="s">
        <v>44</v>
      </c>
      <c r="K29" s="81"/>
      <c r="L29" s="80" t="s">
        <v>40</v>
      </c>
      <c r="M29" s="81"/>
      <c r="N29" s="80" t="s">
        <v>41</v>
      </c>
      <c r="O29" s="81"/>
      <c r="Q29" s="83"/>
      <c r="S29" s="54"/>
      <c r="X29" s="54"/>
    </row>
    <row r="30" spans="1:25" ht="15.95" customHeight="1">
      <c r="A30" s="84"/>
      <c r="B30" s="85" t="s">
        <v>46</v>
      </c>
      <c r="C30" s="86" t="s">
        <v>47</v>
      </c>
      <c r="D30" s="87" t="s">
        <v>46</v>
      </c>
      <c r="E30" s="88" t="s">
        <v>47</v>
      </c>
      <c r="F30" s="88" t="s">
        <v>40</v>
      </c>
      <c r="G30" s="89" t="s">
        <v>41</v>
      </c>
      <c r="H30" s="90" t="s">
        <v>40</v>
      </c>
      <c r="I30" s="91" t="s">
        <v>41</v>
      </c>
      <c r="J30" s="92" t="s">
        <v>40</v>
      </c>
      <c r="K30" s="91" t="s">
        <v>41</v>
      </c>
      <c r="L30" s="93" t="s">
        <v>46</v>
      </c>
      <c r="M30" s="86" t="s">
        <v>47</v>
      </c>
      <c r="N30" s="87" t="s">
        <v>46</v>
      </c>
      <c r="O30" s="94" t="s">
        <v>47</v>
      </c>
      <c r="Q30" s="95"/>
      <c r="S30" s="54"/>
      <c r="X30" s="54"/>
    </row>
    <row r="31" spans="1:25" ht="15.95" customHeight="1">
      <c r="A31" s="68" t="s">
        <v>31</v>
      </c>
      <c r="B31" s="96">
        <v>9</v>
      </c>
      <c r="C31" s="97">
        <v>2</v>
      </c>
      <c r="D31" s="98">
        <v>5</v>
      </c>
      <c r="E31" s="97">
        <v>-0.3</v>
      </c>
      <c r="F31" s="99">
        <v>2</v>
      </c>
      <c r="G31" s="97">
        <v>-0.3</v>
      </c>
      <c r="H31" s="97">
        <v>2</v>
      </c>
      <c r="I31" s="97">
        <v>-0.3</v>
      </c>
      <c r="J31" s="97">
        <v>2</v>
      </c>
      <c r="K31" s="97">
        <v>-0.3</v>
      </c>
      <c r="L31" s="100">
        <v>9</v>
      </c>
      <c r="M31" s="97">
        <v>2</v>
      </c>
      <c r="N31" s="98">
        <v>5</v>
      </c>
      <c r="O31" s="101">
        <v>-0.3</v>
      </c>
      <c r="Q31" s="95"/>
      <c r="S31" s="54"/>
      <c r="X31" s="54"/>
    </row>
    <row r="32" spans="1:25" ht="15.95" customHeight="1">
      <c r="A32" s="68" t="s">
        <v>32</v>
      </c>
      <c r="B32" s="102"/>
      <c r="C32" s="103">
        <v>1.4</v>
      </c>
      <c r="D32" s="98"/>
      <c r="E32" s="103">
        <v>1.4</v>
      </c>
      <c r="F32" s="104"/>
      <c r="G32" s="104"/>
      <c r="H32" s="104"/>
      <c r="I32" s="104"/>
      <c r="J32" s="105"/>
      <c r="K32" s="104"/>
      <c r="L32" s="98"/>
      <c r="M32" s="103">
        <v>1.4</v>
      </c>
      <c r="N32" s="98"/>
      <c r="O32" s="101">
        <v>1.4</v>
      </c>
      <c r="S32" s="54"/>
      <c r="X32" s="54"/>
    </row>
    <row r="33" spans="1:28" ht="15.95" customHeight="1">
      <c r="A33" s="68" t="s">
        <v>33</v>
      </c>
      <c r="B33" s="106"/>
      <c r="C33" s="103">
        <v>5.5</v>
      </c>
      <c r="D33" s="107"/>
      <c r="E33" s="103">
        <v>3.2</v>
      </c>
      <c r="F33" s="104"/>
      <c r="G33" s="104"/>
      <c r="H33" s="104"/>
      <c r="I33" s="104"/>
      <c r="J33" s="105"/>
      <c r="K33" s="104"/>
      <c r="L33" s="107"/>
      <c r="M33" s="103">
        <v>5.5</v>
      </c>
      <c r="N33" s="107"/>
      <c r="O33" s="101">
        <v>3.2</v>
      </c>
      <c r="S33" s="54"/>
      <c r="X33" s="54"/>
    </row>
    <row r="34" spans="1:28" ht="15.95" customHeight="1" thickBot="1">
      <c r="G34" s="54"/>
      <c r="I34" s="72"/>
      <c r="M34" s="54"/>
      <c r="Q34" s="72"/>
      <c r="S34" s="54"/>
      <c r="W34" s="72"/>
      <c r="X34" s="54"/>
      <c r="AB34" s="72"/>
    </row>
    <row r="35" spans="1:28" ht="15.95" customHeight="1">
      <c r="A35" s="109" t="s">
        <v>48</v>
      </c>
      <c r="B35" s="61"/>
      <c r="C35" s="61"/>
      <c r="D35" s="61"/>
      <c r="E35" s="61"/>
      <c r="F35" s="61"/>
      <c r="G35" s="62"/>
      <c r="H35" s="61"/>
      <c r="I35" s="61"/>
      <c r="J35" s="61"/>
      <c r="K35" s="61"/>
      <c r="L35" s="61"/>
      <c r="M35" s="61"/>
      <c r="N35" s="61"/>
      <c r="O35" s="62"/>
      <c r="P35" s="61"/>
      <c r="Q35" s="61"/>
      <c r="R35" s="61"/>
      <c r="S35" s="61"/>
      <c r="T35" s="61"/>
      <c r="U35" s="62"/>
      <c r="V35" s="61"/>
      <c r="W35" s="61"/>
      <c r="X35" s="61"/>
      <c r="Y35" s="61"/>
      <c r="Z35" s="62"/>
    </row>
    <row r="36" spans="1:28" ht="15.95" customHeight="1">
      <c r="A36" s="75"/>
      <c r="B36" s="76" t="s">
        <v>37</v>
      </c>
      <c r="C36" s="77"/>
      <c r="D36" s="77"/>
      <c r="E36" s="78"/>
      <c r="F36" s="76" t="s">
        <v>38</v>
      </c>
      <c r="G36" s="77"/>
      <c r="H36" s="77"/>
      <c r="I36" s="77"/>
      <c r="J36" s="77"/>
      <c r="K36" s="78"/>
      <c r="L36" s="76" t="s">
        <v>39</v>
      </c>
      <c r="M36" s="77"/>
      <c r="N36" s="77"/>
      <c r="O36" s="78"/>
      <c r="S36" s="54"/>
      <c r="X36" s="54"/>
    </row>
    <row r="37" spans="1:28" ht="15.95" customHeight="1">
      <c r="A37" s="79"/>
      <c r="B37" s="80" t="s">
        <v>40</v>
      </c>
      <c r="C37" s="81"/>
      <c r="D37" s="80" t="s">
        <v>41</v>
      </c>
      <c r="E37" s="81"/>
      <c r="F37" s="80" t="s">
        <v>42</v>
      </c>
      <c r="G37" s="82"/>
      <c r="H37" s="80" t="s">
        <v>43</v>
      </c>
      <c r="I37" s="81"/>
      <c r="J37" s="82" t="s">
        <v>44</v>
      </c>
      <c r="K37" s="81"/>
      <c r="L37" s="80" t="s">
        <v>40</v>
      </c>
      <c r="M37" s="81"/>
      <c r="N37" s="80" t="s">
        <v>41</v>
      </c>
      <c r="O37" s="81"/>
      <c r="S37" s="54"/>
      <c r="X37" s="54"/>
    </row>
    <row r="38" spans="1:28" ht="15.95" customHeight="1">
      <c r="A38" s="84"/>
      <c r="B38" s="85" t="s">
        <v>46</v>
      </c>
      <c r="C38" s="86" t="s">
        <v>47</v>
      </c>
      <c r="D38" s="87" t="s">
        <v>46</v>
      </c>
      <c r="E38" s="88" t="s">
        <v>47</v>
      </c>
      <c r="F38" s="88" t="s">
        <v>40</v>
      </c>
      <c r="G38" s="89" t="s">
        <v>41</v>
      </c>
      <c r="H38" s="90" t="s">
        <v>40</v>
      </c>
      <c r="I38" s="91" t="s">
        <v>41</v>
      </c>
      <c r="J38" s="92" t="s">
        <v>40</v>
      </c>
      <c r="K38" s="91" t="s">
        <v>41</v>
      </c>
      <c r="L38" s="93" t="s">
        <v>46</v>
      </c>
      <c r="M38" s="86" t="s">
        <v>47</v>
      </c>
      <c r="N38" s="87" t="s">
        <v>46</v>
      </c>
      <c r="O38" s="94" t="s">
        <v>47</v>
      </c>
      <c r="S38" s="54"/>
      <c r="X38" s="54"/>
    </row>
    <row r="39" spans="1:28" ht="15.95" customHeight="1">
      <c r="A39" s="68" t="s">
        <v>31</v>
      </c>
      <c r="B39" s="96">
        <v>9</v>
      </c>
      <c r="C39" s="97">
        <v>1.5</v>
      </c>
      <c r="D39" s="98">
        <v>8</v>
      </c>
      <c r="E39" s="97">
        <v>1.4</v>
      </c>
      <c r="F39" s="99">
        <v>1.5</v>
      </c>
      <c r="G39" s="97">
        <v>1.4</v>
      </c>
      <c r="H39" s="97">
        <v>1.5</v>
      </c>
      <c r="I39" s="97">
        <v>1.4</v>
      </c>
      <c r="J39" s="97">
        <v>1.5</v>
      </c>
      <c r="K39" s="97">
        <v>1.4</v>
      </c>
      <c r="L39" s="100">
        <v>9</v>
      </c>
      <c r="M39" s="97">
        <v>1.5</v>
      </c>
      <c r="N39" s="98">
        <v>5</v>
      </c>
      <c r="O39" s="101">
        <v>1.6</v>
      </c>
      <c r="S39" s="54"/>
      <c r="X39" s="54"/>
    </row>
    <row r="40" spans="1:28" ht="15.95" customHeight="1">
      <c r="A40" s="68" t="s">
        <v>32</v>
      </c>
      <c r="B40" s="102"/>
      <c r="C40" s="103">
        <v>3.1</v>
      </c>
      <c r="D40" s="98"/>
      <c r="E40" s="103">
        <v>3</v>
      </c>
      <c r="F40" s="104"/>
      <c r="G40" s="104"/>
      <c r="H40" s="104"/>
      <c r="I40" s="104"/>
      <c r="J40" s="105"/>
      <c r="K40" s="104"/>
      <c r="L40" s="98"/>
      <c r="M40" s="103">
        <v>3.1</v>
      </c>
      <c r="N40" s="98"/>
      <c r="O40" s="101">
        <v>2.8</v>
      </c>
      <c r="S40" s="54"/>
      <c r="X40" s="54"/>
    </row>
    <row r="41" spans="1:28" ht="15.95" customHeight="1">
      <c r="A41" s="68" t="s">
        <v>49</v>
      </c>
      <c r="B41" s="106"/>
      <c r="C41" s="103">
        <v>9.3000000000000007</v>
      </c>
      <c r="D41" s="107"/>
      <c r="E41" s="103">
        <v>8.9</v>
      </c>
      <c r="F41" s="104"/>
      <c r="G41" s="104"/>
      <c r="H41" s="104"/>
      <c r="I41" s="104"/>
      <c r="J41" s="105"/>
      <c r="K41" s="104"/>
      <c r="L41" s="107"/>
      <c r="M41" s="103">
        <v>9.3000000000000007</v>
      </c>
      <c r="N41" s="107"/>
      <c r="O41" s="101">
        <v>8.6</v>
      </c>
      <c r="Q41" s="83"/>
      <c r="S41" s="54"/>
      <c r="X41" s="54"/>
    </row>
    <row r="42" spans="1:28" ht="15.95" customHeight="1">
      <c r="A42" s="54" t="s">
        <v>50</v>
      </c>
    </row>
    <row r="43" spans="1:28" ht="15.95" customHeight="1">
      <c r="A43" s="83" t="s">
        <v>64</v>
      </c>
    </row>
    <row r="44" spans="1:28" ht="15.95" customHeight="1">
      <c r="A44" s="95" t="s">
        <v>65</v>
      </c>
    </row>
    <row r="45" spans="1:28" ht="15.95" customHeight="1">
      <c r="A45" s="95"/>
    </row>
    <row r="46" spans="1:28" ht="15.95" customHeight="1" thickBot="1">
      <c r="A46" s="54"/>
    </row>
    <row r="47" spans="1:28" ht="15.95" customHeight="1">
      <c r="A47" s="58" t="s">
        <v>51</v>
      </c>
      <c r="B47" s="59"/>
      <c r="C47" s="60"/>
    </row>
    <row r="48" spans="1:28" ht="15.95" customHeight="1">
      <c r="A48" s="54" t="s">
        <v>52</v>
      </c>
      <c r="J48" s="72"/>
      <c r="K48" s="72"/>
      <c r="M48" s="54" t="s">
        <v>53</v>
      </c>
      <c r="S48" s="54"/>
      <c r="U48" s="72"/>
      <c r="X48" s="63" t="s">
        <v>54</v>
      </c>
      <c r="Z48" s="72"/>
    </row>
    <row r="49" spans="1:28" ht="15.95" customHeight="1">
      <c r="A49" s="110"/>
      <c r="B49" s="111" t="s">
        <v>55</v>
      </c>
      <c r="C49" s="112"/>
      <c r="D49" s="113" t="s">
        <v>56</v>
      </c>
      <c r="E49" s="114"/>
      <c r="F49" s="115" t="s">
        <v>57</v>
      </c>
      <c r="G49" s="114"/>
      <c r="H49" s="112" t="s">
        <v>58</v>
      </c>
      <c r="I49" s="116"/>
      <c r="M49" s="117" t="s">
        <v>59</v>
      </c>
      <c r="N49" s="118"/>
      <c r="O49" s="119">
        <v>1</v>
      </c>
      <c r="P49" s="119">
        <v>2</v>
      </c>
      <c r="Q49" s="119">
        <v>3</v>
      </c>
      <c r="R49" s="119">
        <v>4</v>
      </c>
      <c r="S49" s="119">
        <v>5</v>
      </c>
      <c r="T49" s="119">
        <v>6</v>
      </c>
      <c r="U49" s="119">
        <v>7</v>
      </c>
      <c r="V49" s="119">
        <v>8</v>
      </c>
      <c r="W49" s="120">
        <v>9</v>
      </c>
      <c r="X49" s="121">
        <v>10</v>
      </c>
    </row>
    <row r="50" spans="1:28" ht="15.95" customHeight="1">
      <c r="A50" s="122" t="s">
        <v>60</v>
      </c>
      <c r="B50" s="123">
        <v>15.9</v>
      </c>
      <c r="C50" s="123"/>
      <c r="D50" s="124">
        <v>2.6</v>
      </c>
      <c r="E50" s="125"/>
      <c r="F50" s="123">
        <v>2.6</v>
      </c>
      <c r="G50" s="125"/>
      <c r="H50" s="123">
        <v>15.9</v>
      </c>
      <c r="I50" s="125"/>
      <c r="M50" s="126" t="s">
        <v>60</v>
      </c>
      <c r="N50" s="127"/>
      <c r="O50" s="128">
        <v>7.5</v>
      </c>
      <c r="P50" s="128">
        <v>9.3000000000000007</v>
      </c>
      <c r="Q50" s="128">
        <v>11</v>
      </c>
      <c r="R50" s="128">
        <v>12.1</v>
      </c>
      <c r="S50" s="128">
        <v>13.2</v>
      </c>
      <c r="T50" s="128">
        <v>13.9</v>
      </c>
      <c r="U50" s="128">
        <v>14.6</v>
      </c>
      <c r="V50" s="128">
        <v>15.1</v>
      </c>
      <c r="W50" s="129">
        <v>15.5</v>
      </c>
      <c r="X50" s="130">
        <v>16</v>
      </c>
    </row>
    <row r="51" spans="1:28" ht="15.95" customHeight="1">
      <c r="A51" s="131" t="s">
        <v>61</v>
      </c>
      <c r="B51" s="132">
        <v>15.9</v>
      </c>
      <c r="C51" s="132"/>
      <c r="D51" s="133">
        <v>2.6</v>
      </c>
      <c r="E51" s="134"/>
      <c r="F51" s="132">
        <v>2.6</v>
      </c>
      <c r="G51" s="134"/>
      <c r="H51" s="132">
        <v>15.9</v>
      </c>
      <c r="I51" s="134"/>
      <c r="M51" s="135" t="s">
        <v>61</v>
      </c>
      <c r="N51" s="136"/>
      <c r="O51" s="128">
        <v>7.5</v>
      </c>
      <c r="P51" s="128">
        <v>9.3000000000000007</v>
      </c>
      <c r="Q51" s="128">
        <v>11</v>
      </c>
      <c r="R51" s="128">
        <v>12.1</v>
      </c>
      <c r="S51" s="128">
        <v>13.2</v>
      </c>
      <c r="T51" s="128">
        <v>13.9</v>
      </c>
      <c r="U51" s="128">
        <v>14.6</v>
      </c>
      <c r="V51" s="128">
        <v>15.1</v>
      </c>
      <c r="W51" s="129">
        <v>15.5</v>
      </c>
      <c r="X51" s="130">
        <v>16</v>
      </c>
      <c r="AB51" s="72"/>
    </row>
    <row r="52" spans="1:28" ht="15.95" customHeight="1">
      <c r="A52" s="54" t="s">
        <v>50</v>
      </c>
      <c r="B52" s="54" t="s">
        <v>62</v>
      </c>
      <c r="M52" s="54" t="s">
        <v>50</v>
      </c>
      <c r="O52" s="54" t="s">
        <v>66</v>
      </c>
    </row>
    <row r="53" spans="1:28" ht="15.95" customHeight="1">
      <c r="A53" s="54"/>
    </row>
    <row r="54" spans="1:28" ht="15.95" customHeight="1">
      <c r="A54" s="54"/>
    </row>
  </sheetData>
  <mergeCells count="48">
    <mergeCell ref="B51:C51"/>
    <mergeCell ref="D51:E51"/>
    <mergeCell ref="F51:G51"/>
    <mergeCell ref="H51:I51"/>
    <mergeCell ref="M51:N51"/>
    <mergeCell ref="B49:C49"/>
    <mergeCell ref="D49:E49"/>
    <mergeCell ref="F49:G49"/>
    <mergeCell ref="H49:I49"/>
    <mergeCell ref="M49:N49"/>
    <mergeCell ref="B50:C50"/>
    <mergeCell ref="D50:E50"/>
    <mergeCell ref="F50:G50"/>
    <mergeCell ref="H50:I50"/>
    <mergeCell ref="M50:N50"/>
    <mergeCell ref="N37:O37"/>
    <mergeCell ref="B39:B41"/>
    <mergeCell ref="D39:D41"/>
    <mergeCell ref="L39:L41"/>
    <mergeCell ref="N39:N41"/>
    <mergeCell ref="A47:C47"/>
    <mergeCell ref="A36:A38"/>
    <mergeCell ref="B36:E36"/>
    <mergeCell ref="F36:K36"/>
    <mergeCell ref="L36:O36"/>
    <mergeCell ref="B37:C37"/>
    <mergeCell ref="D37:E37"/>
    <mergeCell ref="F37:G37"/>
    <mergeCell ref="H37:I37"/>
    <mergeCell ref="J37:K37"/>
    <mergeCell ref="L37:M37"/>
    <mergeCell ref="J29:K29"/>
    <mergeCell ref="L29:M29"/>
    <mergeCell ref="N29:O29"/>
    <mergeCell ref="B31:B33"/>
    <mergeCell ref="D31:D33"/>
    <mergeCell ref="L31:L33"/>
    <mergeCell ref="N31:N33"/>
    <mergeCell ref="A5:C5"/>
    <mergeCell ref="A25:C25"/>
    <mergeCell ref="A28:A30"/>
    <mergeCell ref="B28:E28"/>
    <mergeCell ref="F28:K28"/>
    <mergeCell ref="L28:O28"/>
    <mergeCell ref="B29:C29"/>
    <mergeCell ref="D29:E29"/>
    <mergeCell ref="F29:G29"/>
    <mergeCell ref="H29:I29"/>
  </mergeCells>
  <phoneticPr fontId="3"/>
  <printOptions horizontalCentered="1"/>
  <pageMargins left="0.70866141732283472" right="0.70866141732283472" top="0.78740157480314965" bottom="0.47244094488188981" header="0.59055118110236227" footer="0.31496062992125984"/>
  <pageSetup paperSize="9" scale="65" orientation="landscape" horizontalDpi="400" verticalDpi="400" r:id="rId1"/>
  <headerFooter scaleWithDoc="0">
    <oddFooter>&amp;C&amp;"ＭＳ Ｐゴシック,標準"&amp;9( &amp;P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Y67"/>
  <sheetViews>
    <sheetView showGridLines="0" zoomScale="80" zoomScaleNormal="80" workbookViewId="0"/>
  </sheetViews>
  <sheetFormatPr defaultColWidth="8" defaultRowHeight="12" customHeight="1"/>
  <cols>
    <col min="1" max="1" width="8.7109375" style="73" customWidth="1"/>
    <col min="2" max="19" width="7.5703125" style="73" customWidth="1"/>
    <col min="20" max="16384" width="8" style="73"/>
  </cols>
  <sheetData>
    <row r="1" spans="1:25" s="144" customFormat="1" ht="24" customHeight="1">
      <c r="A1" s="140" t="s">
        <v>95</v>
      </c>
      <c r="B1" s="141"/>
      <c r="C1" s="141"/>
      <c r="D1" s="141"/>
      <c r="E1" s="141"/>
      <c r="F1" s="141"/>
      <c r="G1" s="141"/>
      <c r="H1" s="141"/>
      <c r="I1" s="141"/>
      <c r="J1" s="141"/>
      <c r="K1" s="141"/>
      <c r="L1" s="141"/>
      <c r="M1" s="141"/>
      <c r="N1" s="141"/>
      <c r="O1" s="141"/>
      <c r="P1" s="141"/>
      <c r="Q1" s="141"/>
      <c r="R1" s="141"/>
      <c r="S1" s="142"/>
      <c r="T1" s="142"/>
      <c r="U1" s="142"/>
      <c r="V1" s="142"/>
      <c r="W1" s="142"/>
      <c r="X1" s="142"/>
      <c r="Y1" s="143"/>
    </row>
    <row r="2" spans="1:25" ht="12" customHeight="1" thickBot="1">
      <c r="S2" s="63"/>
    </row>
    <row r="3" spans="1:25" ht="12" customHeight="1">
      <c r="A3" s="145" t="s">
        <v>67</v>
      </c>
      <c r="B3" s="145"/>
      <c r="C3" s="145"/>
      <c r="D3" s="37" t="s">
        <v>29</v>
      </c>
      <c r="E3" s="145"/>
      <c r="F3" s="145"/>
      <c r="G3" s="145"/>
      <c r="H3" s="145"/>
      <c r="I3" s="145"/>
      <c r="J3" s="145"/>
      <c r="K3" s="145"/>
      <c r="L3" s="145"/>
      <c r="M3" s="145"/>
      <c r="N3" s="145"/>
      <c r="O3" s="145"/>
      <c r="P3" s="145"/>
      <c r="Q3" s="145"/>
      <c r="R3" s="145"/>
      <c r="S3" s="146"/>
      <c r="T3" s="145"/>
      <c r="U3" s="145"/>
      <c r="V3" s="145"/>
      <c r="W3" s="145"/>
      <c r="X3" s="145"/>
      <c r="Y3" s="145"/>
    </row>
    <row r="4" spans="1:25" ht="16.5" customHeight="1">
      <c r="A4" s="147"/>
      <c r="B4" s="148">
        <v>1</v>
      </c>
      <c r="C4" s="149">
        <v>2</v>
      </c>
      <c r="D4" s="150">
        <v>3</v>
      </c>
      <c r="E4" s="149">
        <v>4</v>
      </c>
      <c r="F4" s="149">
        <v>5</v>
      </c>
      <c r="G4" s="149">
        <v>6</v>
      </c>
      <c r="H4" s="149">
        <v>7</v>
      </c>
      <c r="I4" s="149">
        <v>8</v>
      </c>
      <c r="J4" s="149">
        <v>9</v>
      </c>
      <c r="K4" s="149">
        <v>10</v>
      </c>
      <c r="L4" s="149">
        <v>11</v>
      </c>
      <c r="M4" s="149">
        <v>12</v>
      </c>
      <c r="N4" s="149">
        <v>13</v>
      </c>
      <c r="O4" s="149">
        <v>14</v>
      </c>
      <c r="P4" s="149">
        <v>15</v>
      </c>
      <c r="Q4" s="149">
        <v>16</v>
      </c>
      <c r="R4" s="149">
        <v>17</v>
      </c>
      <c r="S4" s="149">
        <v>18</v>
      </c>
      <c r="T4" s="151">
        <v>19</v>
      </c>
      <c r="U4" s="151">
        <v>20</v>
      </c>
      <c r="V4" s="151">
        <v>21</v>
      </c>
      <c r="W4" s="151">
        <v>22</v>
      </c>
      <c r="X4" s="151">
        <v>23</v>
      </c>
      <c r="Y4" s="152">
        <v>24</v>
      </c>
    </row>
    <row r="5" spans="1:25" ht="12" customHeight="1">
      <c r="A5" s="153" t="s">
        <v>81</v>
      </c>
      <c r="B5" s="154">
        <v>3.4</v>
      </c>
      <c r="C5" s="155">
        <v>3</v>
      </c>
      <c r="D5" s="155">
        <v>2.7</v>
      </c>
      <c r="E5" s="155">
        <v>2.4</v>
      </c>
      <c r="F5" s="155">
        <v>2.1</v>
      </c>
      <c r="G5" s="155">
        <v>2.1</v>
      </c>
      <c r="H5" s="155">
        <v>2.5</v>
      </c>
      <c r="I5" s="155">
        <v>3.6</v>
      </c>
      <c r="J5" s="155">
        <v>5.0999999999999996</v>
      </c>
      <c r="K5" s="155">
        <v>6.8</v>
      </c>
      <c r="L5" s="155">
        <v>8.5</v>
      </c>
      <c r="M5" s="155">
        <v>9.9</v>
      </c>
      <c r="N5" s="155">
        <v>11</v>
      </c>
      <c r="O5" s="155">
        <v>11.7</v>
      </c>
      <c r="P5" s="155">
        <v>12</v>
      </c>
      <c r="Q5" s="155">
        <v>11.7</v>
      </c>
      <c r="R5" s="155">
        <v>11</v>
      </c>
      <c r="S5" s="155">
        <v>9.8000000000000007</v>
      </c>
      <c r="T5" s="156">
        <v>8.3000000000000007</v>
      </c>
      <c r="U5" s="156">
        <v>6.9</v>
      </c>
      <c r="V5" s="156">
        <v>5.7</v>
      </c>
      <c r="W5" s="156">
        <v>4.9000000000000004</v>
      </c>
      <c r="X5" s="156">
        <v>4.3</v>
      </c>
      <c r="Y5" s="157">
        <v>3.8</v>
      </c>
    </row>
    <row r="6" spans="1:25" ht="12" customHeight="1">
      <c r="A6" s="158" t="s">
        <v>68</v>
      </c>
      <c r="B6" s="159">
        <v>3.7</v>
      </c>
      <c r="C6" s="160">
        <v>3.2</v>
      </c>
      <c r="D6" s="160">
        <v>2.8</v>
      </c>
      <c r="E6" s="160">
        <v>2.5</v>
      </c>
      <c r="F6" s="160">
        <v>2.2000000000000002</v>
      </c>
      <c r="G6" s="160">
        <v>2.2999999999999998</v>
      </c>
      <c r="H6" s="160">
        <v>3.4</v>
      </c>
      <c r="I6" s="160">
        <v>5.9</v>
      </c>
      <c r="J6" s="160">
        <v>9.4</v>
      </c>
      <c r="K6" s="160">
        <v>13.5</v>
      </c>
      <c r="L6" s="160">
        <v>17.600000000000001</v>
      </c>
      <c r="M6" s="160">
        <v>21.2</v>
      </c>
      <c r="N6" s="160">
        <v>23.8</v>
      </c>
      <c r="O6" s="160">
        <v>25.1</v>
      </c>
      <c r="P6" s="160">
        <v>25.1</v>
      </c>
      <c r="Q6" s="160">
        <v>23.5</v>
      </c>
      <c r="R6" s="160">
        <v>20.7</v>
      </c>
      <c r="S6" s="160">
        <v>17</v>
      </c>
      <c r="T6" s="161">
        <v>13.2</v>
      </c>
      <c r="U6" s="161">
        <v>9.9</v>
      </c>
      <c r="V6" s="161">
        <v>7.6</v>
      </c>
      <c r="W6" s="161">
        <v>6.1</v>
      </c>
      <c r="X6" s="161">
        <v>5</v>
      </c>
      <c r="Y6" s="162">
        <v>4.2</v>
      </c>
    </row>
    <row r="7" spans="1:25" ht="12" customHeight="1">
      <c r="A7" s="158" t="s">
        <v>69</v>
      </c>
      <c r="B7" s="192">
        <v>3.4</v>
      </c>
      <c r="C7" s="193">
        <v>3</v>
      </c>
      <c r="D7" s="193">
        <v>2.7</v>
      </c>
      <c r="E7" s="193">
        <v>2.4</v>
      </c>
      <c r="F7" s="193">
        <v>2.2000000000000002</v>
      </c>
      <c r="G7" s="193">
        <v>2.4</v>
      </c>
      <c r="H7" s="193">
        <v>3.8</v>
      </c>
      <c r="I7" s="193">
        <v>5.5</v>
      </c>
      <c r="J7" s="193">
        <v>7.1</v>
      </c>
      <c r="K7" s="193">
        <v>8.4</v>
      </c>
      <c r="L7" s="193">
        <v>9.6</v>
      </c>
      <c r="M7" s="193">
        <v>10.6</v>
      </c>
      <c r="N7" s="193">
        <v>11.4</v>
      </c>
      <c r="O7" s="193">
        <v>12</v>
      </c>
      <c r="P7" s="193">
        <v>12.1</v>
      </c>
      <c r="Q7" s="193">
        <v>11.8</v>
      </c>
      <c r="R7" s="193">
        <v>11.1</v>
      </c>
      <c r="S7" s="193">
        <v>9.8000000000000007</v>
      </c>
      <c r="T7" s="194">
        <v>8.3000000000000007</v>
      </c>
      <c r="U7" s="194">
        <v>6.9</v>
      </c>
      <c r="V7" s="194">
        <v>5.7</v>
      </c>
      <c r="W7" s="194">
        <v>4.9000000000000004</v>
      </c>
      <c r="X7" s="194">
        <v>4.2</v>
      </c>
      <c r="Y7" s="195">
        <v>3.7</v>
      </c>
    </row>
    <row r="8" spans="1:25" ht="12" customHeight="1">
      <c r="A8" s="158" t="s">
        <v>70</v>
      </c>
      <c r="B8" s="192">
        <v>3.4</v>
      </c>
      <c r="C8" s="193">
        <v>3</v>
      </c>
      <c r="D8" s="193">
        <v>2.7</v>
      </c>
      <c r="E8" s="193">
        <v>2.4</v>
      </c>
      <c r="F8" s="193">
        <v>2.2000000000000002</v>
      </c>
      <c r="G8" s="193">
        <v>2.6</v>
      </c>
      <c r="H8" s="193">
        <v>4.8</v>
      </c>
      <c r="I8" s="193">
        <v>7.6</v>
      </c>
      <c r="J8" s="193">
        <v>10.3</v>
      </c>
      <c r="K8" s="193">
        <v>12.4</v>
      </c>
      <c r="L8" s="193">
        <v>13.5</v>
      </c>
      <c r="M8" s="193">
        <v>13.4</v>
      </c>
      <c r="N8" s="193">
        <v>13.2</v>
      </c>
      <c r="O8" s="193">
        <v>13.1</v>
      </c>
      <c r="P8" s="193">
        <v>12.8</v>
      </c>
      <c r="Q8" s="193">
        <v>12.3</v>
      </c>
      <c r="R8" s="193">
        <v>11.3</v>
      </c>
      <c r="S8" s="193">
        <v>10</v>
      </c>
      <c r="T8" s="194">
        <v>8.4</v>
      </c>
      <c r="U8" s="194">
        <v>6.9</v>
      </c>
      <c r="V8" s="194">
        <v>5.8</v>
      </c>
      <c r="W8" s="194">
        <v>4.9000000000000004</v>
      </c>
      <c r="X8" s="194">
        <v>4.2</v>
      </c>
      <c r="Y8" s="195">
        <v>3.7</v>
      </c>
    </row>
    <row r="9" spans="1:25" ht="12" customHeight="1">
      <c r="A9" s="158" t="s">
        <v>71</v>
      </c>
      <c r="B9" s="192">
        <v>3.4</v>
      </c>
      <c r="C9" s="193">
        <v>3</v>
      </c>
      <c r="D9" s="193">
        <v>2.7</v>
      </c>
      <c r="E9" s="193">
        <v>2.4</v>
      </c>
      <c r="F9" s="193">
        <v>2.2000000000000002</v>
      </c>
      <c r="G9" s="193">
        <v>2.5</v>
      </c>
      <c r="H9" s="193">
        <v>4.5</v>
      </c>
      <c r="I9" s="193">
        <v>7.3</v>
      </c>
      <c r="J9" s="193">
        <v>10.5</v>
      </c>
      <c r="K9" s="193">
        <v>13.2</v>
      </c>
      <c r="L9" s="193">
        <v>15</v>
      </c>
      <c r="M9" s="193">
        <v>15.5</v>
      </c>
      <c r="N9" s="193">
        <v>14.9</v>
      </c>
      <c r="O9" s="193">
        <v>14.2</v>
      </c>
      <c r="P9" s="193">
        <v>13.5</v>
      </c>
      <c r="Q9" s="193">
        <v>12.7</v>
      </c>
      <c r="R9" s="193">
        <v>11.6</v>
      </c>
      <c r="S9" s="193">
        <v>10.199999999999999</v>
      </c>
      <c r="T9" s="194">
        <v>8.5</v>
      </c>
      <c r="U9" s="194">
        <v>7</v>
      </c>
      <c r="V9" s="194">
        <v>5.8</v>
      </c>
      <c r="W9" s="194">
        <v>4.9000000000000004</v>
      </c>
      <c r="X9" s="194">
        <v>4.3</v>
      </c>
      <c r="Y9" s="195">
        <v>3.8</v>
      </c>
    </row>
    <row r="10" spans="1:25" ht="12" customHeight="1">
      <c r="A10" s="158" t="s">
        <v>72</v>
      </c>
      <c r="B10" s="192">
        <v>3.4</v>
      </c>
      <c r="C10" s="193">
        <v>3</v>
      </c>
      <c r="D10" s="193">
        <v>2.7</v>
      </c>
      <c r="E10" s="193">
        <v>2.4</v>
      </c>
      <c r="F10" s="193">
        <v>2.1</v>
      </c>
      <c r="G10" s="193">
        <v>2.2000000000000002</v>
      </c>
      <c r="H10" s="193">
        <v>3.1</v>
      </c>
      <c r="I10" s="193">
        <v>4.9000000000000004</v>
      </c>
      <c r="J10" s="193">
        <v>7.5</v>
      </c>
      <c r="K10" s="193">
        <v>10.3</v>
      </c>
      <c r="L10" s="193">
        <v>12.8</v>
      </c>
      <c r="M10" s="193">
        <v>14.5</v>
      </c>
      <c r="N10" s="193">
        <v>15.3</v>
      </c>
      <c r="O10" s="193">
        <v>15.1</v>
      </c>
      <c r="P10" s="193">
        <v>14.2</v>
      </c>
      <c r="Q10" s="193">
        <v>13.1</v>
      </c>
      <c r="R10" s="193">
        <v>11.8</v>
      </c>
      <c r="S10" s="193">
        <v>10.3</v>
      </c>
      <c r="T10" s="194">
        <v>8.6</v>
      </c>
      <c r="U10" s="194">
        <v>7.1</v>
      </c>
      <c r="V10" s="194">
        <v>5.8</v>
      </c>
      <c r="W10" s="194">
        <v>4.9000000000000004</v>
      </c>
      <c r="X10" s="194">
        <v>4.3</v>
      </c>
      <c r="Y10" s="195">
        <v>3.8</v>
      </c>
    </row>
    <row r="11" spans="1:25" ht="12" customHeight="1">
      <c r="A11" s="158" t="s">
        <v>73</v>
      </c>
      <c r="B11" s="192">
        <v>3.5</v>
      </c>
      <c r="C11" s="193">
        <v>3.1</v>
      </c>
      <c r="D11" s="193">
        <v>2.7</v>
      </c>
      <c r="E11" s="193">
        <v>2.4</v>
      </c>
      <c r="F11" s="193">
        <v>2.1</v>
      </c>
      <c r="G11" s="193">
        <v>2.1</v>
      </c>
      <c r="H11" s="193">
        <v>2.5</v>
      </c>
      <c r="I11" s="193">
        <v>3.6</v>
      </c>
      <c r="J11" s="193">
        <v>5.0999999999999996</v>
      </c>
      <c r="K11" s="193">
        <v>6.9</v>
      </c>
      <c r="L11" s="193">
        <v>9.1</v>
      </c>
      <c r="M11" s="193">
        <v>11.5</v>
      </c>
      <c r="N11" s="193">
        <v>13.7</v>
      </c>
      <c r="O11" s="193">
        <v>15.5</v>
      </c>
      <c r="P11" s="193">
        <v>16.3</v>
      </c>
      <c r="Q11" s="193">
        <v>16</v>
      </c>
      <c r="R11" s="193">
        <v>14.7</v>
      </c>
      <c r="S11" s="193">
        <v>12.6</v>
      </c>
      <c r="T11" s="194">
        <v>10.199999999999999</v>
      </c>
      <c r="U11" s="194">
        <v>8</v>
      </c>
      <c r="V11" s="194">
        <v>6.4</v>
      </c>
      <c r="W11" s="194">
        <v>5.3</v>
      </c>
      <c r="X11" s="194">
        <v>4.5</v>
      </c>
      <c r="Y11" s="195">
        <v>3.9</v>
      </c>
    </row>
    <row r="12" spans="1:25" ht="12" customHeight="1">
      <c r="A12" s="158" t="s">
        <v>74</v>
      </c>
      <c r="B12" s="192">
        <v>3.6</v>
      </c>
      <c r="C12" s="193">
        <v>3.2</v>
      </c>
      <c r="D12" s="193">
        <v>2.8</v>
      </c>
      <c r="E12" s="193">
        <v>2.4</v>
      </c>
      <c r="F12" s="193">
        <v>2.2000000000000002</v>
      </c>
      <c r="G12" s="193">
        <v>2.1</v>
      </c>
      <c r="H12" s="193">
        <v>2.5</v>
      </c>
      <c r="I12" s="193">
        <v>3.6</v>
      </c>
      <c r="J12" s="193">
        <v>5.0999999999999996</v>
      </c>
      <c r="K12" s="193">
        <v>6.8</v>
      </c>
      <c r="L12" s="193">
        <v>8.5</v>
      </c>
      <c r="M12" s="193">
        <v>10.1</v>
      </c>
      <c r="N12" s="193">
        <v>12.2</v>
      </c>
      <c r="O12" s="193">
        <v>14.7</v>
      </c>
      <c r="P12" s="193">
        <v>16.8</v>
      </c>
      <c r="Q12" s="193">
        <v>17.899999999999999</v>
      </c>
      <c r="R12" s="193">
        <v>17.600000000000001</v>
      </c>
      <c r="S12" s="193">
        <v>15.8</v>
      </c>
      <c r="T12" s="194">
        <v>12.7</v>
      </c>
      <c r="U12" s="194">
        <v>9.6999999999999993</v>
      </c>
      <c r="V12" s="194">
        <v>7.5</v>
      </c>
      <c r="W12" s="194">
        <v>6</v>
      </c>
      <c r="X12" s="194">
        <v>4.9000000000000004</v>
      </c>
      <c r="Y12" s="195">
        <v>4.0999999999999996</v>
      </c>
    </row>
    <row r="13" spans="1:25" ht="12" customHeight="1">
      <c r="A13" s="158" t="s">
        <v>75</v>
      </c>
      <c r="B13" s="192">
        <v>3.6</v>
      </c>
      <c r="C13" s="193">
        <v>3.2</v>
      </c>
      <c r="D13" s="193">
        <v>2.8</v>
      </c>
      <c r="E13" s="193">
        <v>2.4</v>
      </c>
      <c r="F13" s="193">
        <v>2.2000000000000002</v>
      </c>
      <c r="G13" s="193">
        <v>2.1</v>
      </c>
      <c r="H13" s="193">
        <v>2.5</v>
      </c>
      <c r="I13" s="193">
        <v>3.6</v>
      </c>
      <c r="J13" s="193">
        <v>5.0999999999999996</v>
      </c>
      <c r="K13" s="193">
        <v>6.8</v>
      </c>
      <c r="L13" s="193">
        <v>8.5</v>
      </c>
      <c r="M13" s="193">
        <v>9.9</v>
      </c>
      <c r="N13" s="193">
        <v>11.2</v>
      </c>
      <c r="O13" s="193">
        <v>13</v>
      </c>
      <c r="P13" s="193">
        <v>15</v>
      </c>
      <c r="Q13" s="193">
        <v>16.5</v>
      </c>
      <c r="R13" s="193">
        <v>16.8</v>
      </c>
      <c r="S13" s="193">
        <v>15.6</v>
      </c>
      <c r="T13" s="194">
        <v>12.7</v>
      </c>
      <c r="U13" s="194">
        <v>9.6999999999999993</v>
      </c>
      <c r="V13" s="194">
        <v>7.5</v>
      </c>
      <c r="W13" s="194">
        <v>6</v>
      </c>
      <c r="X13" s="194">
        <v>4.9000000000000004</v>
      </c>
      <c r="Y13" s="195">
        <v>4.2</v>
      </c>
    </row>
    <row r="14" spans="1:25" ht="12" customHeight="1">
      <c r="A14" s="163" t="s">
        <v>76</v>
      </c>
      <c r="B14" s="196">
        <v>3.5</v>
      </c>
      <c r="C14" s="197">
        <v>3.1</v>
      </c>
      <c r="D14" s="197">
        <v>2.7</v>
      </c>
      <c r="E14" s="197">
        <v>2.4</v>
      </c>
      <c r="F14" s="197">
        <v>2.2000000000000002</v>
      </c>
      <c r="G14" s="197">
        <v>2.1</v>
      </c>
      <c r="H14" s="197">
        <v>2.5</v>
      </c>
      <c r="I14" s="197">
        <v>3.6</v>
      </c>
      <c r="J14" s="197">
        <v>5.0999999999999996</v>
      </c>
      <c r="K14" s="197">
        <v>6.8</v>
      </c>
      <c r="L14" s="197">
        <v>8.5</v>
      </c>
      <c r="M14" s="197">
        <v>9.9</v>
      </c>
      <c r="N14" s="197">
        <v>11</v>
      </c>
      <c r="O14" s="197">
        <v>11.7</v>
      </c>
      <c r="P14" s="197">
        <v>12.3</v>
      </c>
      <c r="Q14" s="197">
        <v>12.8</v>
      </c>
      <c r="R14" s="197">
        <v>12.9</v>
      </c>
      <c r="S14" s="197">
        <v>12.2</v>
      </c>
      <c r="T14" s="198">
        <v>10.3</v>
      </c>
      <c r="U14" s="198">
        <v>8.1999999999999993</v>
      </c>
      <c r="V14" s="198">
        <v>6.5</v>
      </c>
      <c r="W14" s="198">
        <v>5.4</v>
      </c>
      <c r="X14" s="198">
        <v>4.5</v>
      </c>
      <c r="Y14" s="199">
        <v>3.9</v>
      </c>
    </row>
    <row r="15" spans="1:25" ht="12" customHeight="1" thickBot="1"/>
    <row r="16" spans="1:25" ht="12" customHeight="1">
      <c r="A16" s="145" t="s">
        <v>67</v>
      </c>
      <c r="B16" s="145"/>
      <c r="C16" s="145"/>
      <c r="D16" s="38" t="s">
        <v>18</v>
      </c>
      <c r="E16" s="145"/>
      <c r="F16" s="145"/>
      <c r="G16" s="145"/>
      <c r="H16" s="145"/>
      <c r="I16" s="145"/>
      <c r="J16" s="145"/>
      <c r="K16" s="145"/>
      <c r="L16" s="145"/>
      <c r="M16" s="145"/>
      <c r="N16" s="145"/>
      <c r="O16" s="145"/>
      <c r="P16" s="145"/>
      <c r="Q16" s="145"/>
      <c r="R16" s="145"/>
      <c r="S16" s="146"/>
      <c r="T16" s="145"/>
      <c r="U16" s="145"/>
      <c r="V16" s="145"/>
      <c r="W16" s="145"/>
      <c r="X16" s="145"/>
      <c r="Y16" s="145"/>
    </row>
    <row r="17" spans="1:25" ht="16.5" customHeight="1">
      <c r="A17" s="147"/>
      <c r="B17" s="148">
        <v>1</v>
      </c>
      <c r="C17" s="149">
        <v>2</v>
      </c>
      <c r="D17" s="150">
        <v>3</v>
      </c>
      <c r="E17" s="149">
        <v>4</v>
      </c>
      <c r="F17" s="149">
        <v>5</v>
      </c>
      <c r="G17" s="149">
        <v>6</v>
      </c>
      <c r="H17" s="149">
        <v>7</v>
      </c>
      <c r="I17" s="149">
        <v>8</v>
      </c>
      <c r="J17" s="149">
        <v>9</v>
      </c>
      <c r="K17" s="149">
        <v>10</v>
      </c>
      <c r="L17" s="149">
        <v>11</v>
      </c>
      <c r="M17" s="149">
        <v>12</v>
      </c>
      <c r="N17" s="149">
        <v>13</v>
      </c>
      <c r="O17" s="149">
        <v>14</v>
      </c>
      <c r="P17" s="149">
        <v>15</v>
      </c>
      <c r="Q17" s="149">
        <v>16</v>
      </c>
      <c r="R17" s="149">
        <v>17</v>
      </c>
      <c r="S17" s="149">
        <v>18</v>
      </c>
      <c r="T17" s="151">
        <v>19</v>
      </c>
      <c r="U17" s="151">
        <v>20</v>
      </c>
      <c r="V17" s="151">
        <v>21</v>
      </c>
      <c r="W17" s="151">
        <v>22</v>
      </c>
      <c r="X17" s="151">
        <v>23</v>
      </c>
      <c r="Y17" s="152">
        <v>24</v>
      </c>
    </row>
    <row r="18" spans="1:25" ht="12" customHeight="1">
      <c r="A18" s="153" t="s">
        <v>82</v>
      </c>
      <c r="B18" s="154">
        <v>2.7</v>
      </c>
      <c r="C18" s="155">
        <v>2.2999999999999998</v>
      </c>
      <c r="D18" s="155">
        <v>2</v>
      </c>
      <c r="E18" s="155">
        <v>1.8</v>
      </c>
      <c r="F18" s="155">
        <v>1.5</v>
      </c>
      <c r="G18" s="155">
        <v>1.5</v>
      </c>
      <c r="H18" s="155">
        <v>2</v>
      </c>
      <c r="I18" s="155">
        <v>3</v>
      </c>
      <c r="J18" s="155">
        <v>4.5999999999999996</v>
      </c>
      <c r="K18" s="155">
        <v>6.2</v>
      </c>
      <c r="L18" s="155">
        <v>7.7</v>
      </c>
      <c r="M18" s="155">
        <v>9</v>
      </c>
      <c r="N18" s="155">
        <v>9.9</v>
      </c>
      <c r="O18" s="155">
        <v>10.6</v>
      </c>
      <c r="P18" s="155">
        <v>10.9</v>
      </c>
      <c r="Q18" s="155">
        <v>10.7</v>
      </c>
      <c r="R18" s="155">
        <v>10.199999999999999</v>
      </c>
      <c r="S18" s="155">
        <v>9.3000000000000007</v>
      </c>
      <c r="T18" s="156">
        <v>8</v>
      </c>
      <c r="U18" s="156">
        <v>6.5</v>
      </c>
      <c r="V18" s="156">
        <v>5.3</v>
      </c>
      <c r="W18" s="156">
        <v>4.3</v>
      </c>
      <c r="X18" s="156">
        <v>3.6</v>
      </c>
      <c r="Y18" s="157">
        <v>3.1</v>
      </c>
    </row>
    <row r="19" spans="1:25" ht="12" customHeight="1">
      <c r="A19" s="158" t="s">
        <v>68</v>
      </c>
      <c r="B19" s="159">
        <v>3.1</v>
      </c>
      <c r="C19" s="160">
        <v>2.6</v>
      </c>
      <c r="D19" s="160">
        <v>2.2000000000000002</v>
      </c>
      <c r="E19" s="160">
        <v>1.9</v>
      </c>
      <c r="F19" s="160">
        <v>1.6</v>
      </c>
      <c r="G19" s="160">
        <v>1.8</v>
      </c>
      <c r="H19" s="160">
        <v>3.5</v>
      </c>
      <c r="I19" s="160">
        <v>6.8</v>
      </c>
      <c r="J19" s="160">
        <v>11.4</v>
      </c>
      <c r="K19" s="160">
        <v>16.3</v>
      </c>
      <c r="L19" s="160">
        <v>21.1</v>
      </c>
      <c r="M19" s="160">
        <v>25.1</v>
      </c>
      <c r="N19" s="160">
        <v>27.9</v>
      </c>
      <c r="O19" s="160">
        <v>29.3</v>
      </c>
      <c r="P19" s="160">
        <v>29</v>
      </c>
      <c r="Q19" s="160">
        <v>27.2</v>
      </c>
      <c r="R19" s="160">
        <v>24.1</v>
      </c>
      <c r="S19" s="160">
        <v>20</v>
      </c>
      <c r="T19" s="161">
        <v>15.3</v>
      </c>
      <c r="U19" s="161">
        <v>11.2</v>
      </c>
      <c r="V19" s="161">
        <v>8.1999999999999993</v>
      </c>
      <c r="W19" s="161">
        <v>6.1</v>
      </c>
      <c r="X19" s="161">
        <v>4.7</v>
      </c>
      <c r="Y19" s="162">
        <v>3.8</v>
      </c>
    </row>
    <row r="20" spans="1:25" ht="12" customHeight="1">
      <c r="A20" s="158" t="s">
        <v>69</v>
      </c>
      <c r="B20" s="192">
        <v>2.7</v>
      </c>
      <c r="C20" s="193">
        <v>2.2999999999999998</v>
      </c>
      <c r="D20" s="193">
        <v>2</v>
      </c>
      <c r="E20" s="193">
        <v>1.7</v>
      </c>
      <c r="F20" s="193">
        <v>1.6</v>
      </c>
      <c r="G20" s="193">
        <v>2.5</v>
      </c>
      <c r="H20" s="193">
        <v>4.9000000000000004</v>
      </c>
      <c r="I20" s="193">
        <v>7.4</v>
      </c>
      <c r="J20" s="193">
        <v>8.9</v>
      </c>
      <c r="K20" s="193">
        <v>9.6</v>
      </c>
      <c r="L20" s="193">
        <v>9.9</v>
      </c>
      <c r="M20" s="193">
        <v>10.4</v>
      </c>
      <c r="N20" s="193">
        <v>10.8</v>
      </c>
      <c r="O20" s="193">
        <v>11.2</v>
      </c>
      <c r="P20" s="193">
        <v>11.2</v>
      </c>
      <c r="Q20" s="193">
        <v>11</v>
      </c>
      <c r="R20" s="193">
        <v>10.3</v>
      </c>
      <c r="S20" s="193">
        <v>9.4</v>
      </c>
      <c r="T20" s="194">
        <v>8</v>
      </c>
      <c r="U20" s="194">
        <v>6.5</v>
      </c>
      <c r="V20" s="194">
        <v>5.3</v>
      </c>
      <c r="W20" s="194">
        <v>4.3</v>
      </c>
      <c r="X20" s="194">
        <v>3.6</v>
      </c>
      <c r="Y20" s="195">
        <v>3.1</v>
      </c>
    </row>
    <row r="21" spans="1:25" ht="12" customHeight="1">
      <c r="A21" s="158" t="s">
        <v>70</v>
      </c>
      <c r="B21" s="192">
        <v>2.7</v>
      </c>
      <c r="C21" s="193">
        <v>2.2999999999999998</v>
      </c>
      <c r="D21" s="193">
        <v>2</v>
      </c>
      <c r="E21" s="193">
        <v>1.7</v>
      </c>
      <c r="F21" s="193">
        <v>1.7</v>
      </c>
      <c r="G21" s="193">
        <v>3.1</v>
      </c>
      <c r="H21" s="193">
        <v>7.4</v>
      </c>
      <c r="I21" s="193">
        <v>12</v>
      </c>
      <c r="J21" s="193">
        <v>15.5</v>
      </c>
      <c r="K21" s="193">
        <v>17.100000000000001</v>
      </c>
      <c r="L21" s="193">
        <v>17</v>
      </c>
      <c r="M21" s="193">
        <v>15.4</v>
      </c>
      <c r="N21" s="193">
        <v>14</v>
      </c>
      <c r="O21" s="193">
        <v>13.2</v>
      </c>
      <c r="P21" s="193">
        <v>12.5</v>
      </c>
      <c r="Q21" s="193">
        <v>11.7</v>
      </c>
      <c r="R21" s="193">
        <v>10.8</v>
      </c>
      <c r="S21" s="193">
        <v>9.6999999999999993</v>
      </c>
      <c r="T21" s="194">
        <v>8.1999999999999993</v>
      </c>
      <c r="U21" s="194">
        <v>6.6</v>
      </c>
      <c r="V21" s="194">
        <v>5.3</v>
      </c>
      <c r="W21" s="194">
        <v>4.3</v>
      </c>
      <c r="X21" s="194">
        <v>3.6</v>
      </c>
      <c r="Y21" s="195">
        <v>3.1</v>
      </c>
    </row>
    <row r="22" spans="1:25" ht="12" customHeight="1">
      <c r="A22" s="158" t="s">
        <v>71</v>
      </c>
      <c r="B22" s="192">
        <v>2.7</v>
      </c>
      <c r="C22" s="193">
        <v>2.2999999999999998</v>
      </c>
      <c r="D22" s="193">
        <v>2</v>
      </c>
      <c r="E22" s="193">
        <v>1.7</v>
      </c>
      <c r="F22" s="193">
        <v>1.6</v>
      </c>
      <c r="G22" s="193">
        <v>2.8</v>
      </c>
      <c r="H22" s="193">
        <v>6.6</v>
      </c>
      <c r="I22" s="193">
        <v>11.4</v>
      </c>
      <c r="J22" s="193">
        <v>15.6</v>
      </c>
      <c r="K22" s="193">
        <v>18.5</v>
      </c>
      <c r="L22" s="193">
        <v>19.5</v>
      </c>
      <c r="M22" s="193">
        <v>18.8</v>
      </c>
      <c r="N22" s="193">
        <v>16.8</v>
      </c>
      <c r="O22" s="193">
        <v>14.9</v>
      </c>
      <c r="P22" s="193">
        <v>13.6</v>
      </c>
      <c r="Q22" s="193">
        <v>12.4</v>
      </c>
      <c r="R22" s="193">
        <v>11.2</v>
      </c>
      <c r="S22" s="193">
        <v>9.9</v>
      </c>
      <c r="T22" s="194">
        <v>8.4</v>
      </c>
      <c r="U22" s="194">
        <v>6.7</v>
      </c>
      <c r="V22" s="194">
        <v>5.4</v>
      </c>
      <c r="W22" s="194">
        <v>4.4000000000000004</v>
      </c>
      <c r="X22" s="194">
        <v>3.6</v>
      </c>
      <c r="Y22" s="195">
        <v>3.1</v>
      </c>
    </row>
    <row r="23" spans="1:25" ht="12" customHeight="1">
      <c r="A23" s="158" t="s">
        <v>72</v>
      </c>
      <c r="B23" s="192">
        <v>2.7</v>
      </c>
      <c r="C23" s="193">
        <v>2.2999999999999998</v>
      </c>
      <c r="D23" s="193">
        <v>2</v>
      </c>
      <c r="E23" s="193">
        <v>1.7</v>
      </c>
      <c r="F23" s="193">
        <v>1.5</v>
      </c>
      <c r="G23" s="193">
        <v>1.7</v>
      </c>
      <c r="H23" s="193">
        <v>3.2</v>
      </c>
      <c r="I23" s="193">
        <v>5.9</v>
      </c>
      <c r="J23" s="193">
        <v>9.3000000000000007</v>
      </c>
      <c r="K23" s="193">
        <v>12.6</v>
      </c>
      <c r="L23" s="193">
        <v>15.2</v>
      </c>
      <c r="M23" s="193">
        <v>16.7</v>
      </c>
      <c r="N23" s="193">
        <v>17</v>
      </c>
      <c r="O23" s="193">
        <v>16.100000000000001</v>
      </c>
      <c r="P23" s="193">
        <v>14.5</v>
      </c>
      <c r="Q23" s="193">
        <v>13</v>
      </c>
      <c r="R23" s="193">
        <v>11.6</v>
      </c>
      <c r="S23" s="193">
        <v>10.1</v>
      </c>
      <c r="T23" s="194">
        <v>8.5</v>
      </c>
      <c r="U23" s="194">
        <v>6.8</v>
      </c>
      <c r="V23" s="194">
        <v>5.4</v>
      </c>
      <c r="W23" s="194">
        <v>4.4000000000000004</v>
      </c>
      <c r="X23" s="194">
        <v>3.6</v>
      </c>
      <c r="Y23" s="195">
        <v>3.1</v>
      </c>
    </row>
    <row r="24" spans="1:25" ht="12" customHeight="1">
      <c r="A24" s="158" t="s">
        <v>73</v>
      </c>
      <c r="B24" s="192">
        <v>2.9</v>
      </c>
      <c r="C24" s="193">
        <v>2.4</v>
      </c>
      <c r="D24" s="193">
        <v>2.1</v>
      </c>
      <c r="E24" s="193">
        <v>1.8</v>
      </c>
      <c r="F24" s="193">
        <v>1.5</v>
      </c>
      <c r="G24" s="193">
        <v>1.5</v>
      </c>
      <c r="H24" s="193">
        <v>2</v>
      </c>
      <c r="I24" s="193">
        <v>3.1</v>
      </c>
      <c r="J24" s="193">
        <v>4.5999999999999996</v>
      </c>
      <c r="K24" s="193">
        <v>6.4</v>
      </c>
      <c r="L24" s="193">
        <v>8.6999999999999993</v>
      </c>
      <c r="M24" s="193">
        <v>11.5</v>
      </c>
      <c r="N24" s="193">
        <v>14.2</v>
      </c>
      <c r="O24" s="193">
        <v>16.5</v>
      </c>
      <c r="P24" s="193">
        <v>17.7</v>
      </c>
      <c r="Q24" s="193">
        <v>17.8</v>
      </c>
      <c r="R24" s="193">
        <v>16.600000000000001</v>
      </c>
      <c r="S24" s="193">
        <v>14.4</v>
      </c>
      <c r="T24" s="194">
        <v>11.4</v>
      </c>
      <c r="U24" s="194">
        <v>8.6999999999999993</v>
      </c>
      <c r="V24" s="194">
        <v>6.6</v>
      </c>
      <c r="W24" s="194">
        <v>5.0999999999999996</v>
      </c>
      <c r="X24" s="194">
        <v>4.0999999999999996</v>
      </c>
      <c r="Y24" s="195">
        <v>3.4</v>
      </c>
    </row>
    <row r="25" spans="1:25" ht="12" customHeight="1">
      <c r="A25" s="158" t="s">
        <v>74</v>
      </c>
      <c r="B25" s="192">
        <v>3.2</v>
      </c>
      <c r="C25" s="193">
        <v>2.7</v>
      </c>
      <c r="D25" s="193">
        <v>2.2000000000000002</v>
      </c>
      <c r="E25" s="193">
        <v>1.9</v>
      </c>
      <c r="F25" s="193">
        <v>1.6</v>
      </c>
      <c r="G25" s="193">
        <v>1.5</v>
      </c>
      <c r="H25" s="193">
        <v>2</v>
      </c>
      <c r="I25" s="193">
        <v>3.1</v>
      </c>
      <c r="J25" s="193">
        <v>4.5999999999999996</v>
      </c>
      <c r="K25" s="193">
        <v>6.2</v>
      </c>
      <c r="L25" s="193">
        <v>7.7</v>
      </c>
      <c r="M25" s="193">
        <v>9.3000000000000007</v>
      </c>
      <c r="N25" s="193">
        <v>11.9</v>
      </c>
      <c r="O25" s="193">
        <v>15.3</v>
      </c>
      <c r="P25" s="193">
        <v>18.600000000000001</v>
      </c>
      <c r="Q25" s="193">
        <v>21</v>
      </c>
      <c r="R25" s="193">
        <v>22</v>
      </c>
      <c r="S25" s="193">
        <v>21.1</v>
      </c>
      <c r="T25" s="194">
        <v>17.600000000000001</v>
      </c>
      <c r="U25" s="194">
        <v>12.8</v>
      </c>
      <c r="V25" s="194">
        <v>9.1999999999999993</v>
      </c>
      <c r="W25" s="194">
        <v>6.7</v>
      </c>
      <c r="X25" s="194">
        <v>5.0999999999999996</v>
      </c>
      <c r="Y25" s="195">
        <v>4</v>
      </c>
    </row>
    <row r="26" spans="1:25" ht="12" customHeight="1">
      <c r="A26" s="158" t="s">
        <v>75</v>
      </c>
      <c r="B26" s="192">
        <v>3.3</v>
      </c>
      <c r="C26" s="193">
        <v>2.7</v>
      </c>
      <c r="D26" s="193">
        <v>2.2000000000000002</v>
      </c>
      <c r="E26" s="193">
        <v>1.9</v>
      </c>
      <c r="F26" s="193">
        <v>1.6</v>
      </c>
      <c r="G26" s="193">
        <v>1.5</v>
      </c>
      <c r="H26" s="193">
        <v>2</v>
      </c>
      <c r="I26" s="193">
        <v>3.1</v>
      </c>
      <c r="J26" s="193">
        <v>4.5999999999999996</v>
      </c>
      <c r="K26" s="193">
        <v>6.2</v>
      </c>
      <c r="L26" s="193">
        <v>7.7</v>
      </c>
      <c r="M26" s="193">
        <v>9</v>
      </c>
      <c r="N26" s="193">
        <v>10.3</v>
      </c>
      <c r="O26" s="193">
        <v>12.6</v>
      </c>
      <c r="P26" s="193">
        <v>15.8</v>
      </c>
      <c r="Q26" s="193">
        <v>18.8</v>
      </c>
      <c r="R26" s="193">
        <v>20.8</v>
      </c>
      <c r="S26" s="193">
        <v>21.1</v>
      </c>
      <c r="T26" s="194">
        <v>18.2</v>
      </c>
      <c r="U26" s="194">
        <v>13.3</v>
      </c>
      <c r="V26" s="194">
        <v>9.5</v>
      </c>
      <c r="W26" s="194">
        <v>6.9</v>
      </c>
      <c r="X26" s="194">
        <v>5.2</v>
      </c>
      <c r="Y26" s="195">
        <v>4.0999999999999996</v>
      </c>
    </row>
    <row r="27" spans="1:25" ht="12" customHeight="1">
      <c r="A27" s="163" t="s">
        <v>76</v>
      </c>
      <c r="B27" s="196">
        <v>3</v>
      </c>
      <c r="C27" s="197">
        <v>2.5</v>
      </c>
      <c r="D27" s="197">
        <v>2.1</v>
      </c>
      <c r="E27" s="197">
        <v>1.8</v>
      </c>
      <c r="F27" s="197">
        <v>1.6</v>
      </c>
      <c r="G27" s="197">
        <v>1.5</v>
      </c>
      <c r="H27" s="197">
        <v>2</v>
      </c>
      <c r="I27" s="197">
        <v>3.1</v>
      </c>
      <c r="J27" s="197">
        <v>4.5999999999999996</v>
      </c>
      <c r="K27" s="197">
        <v>6.2</v>
      </c>
      <c r="L27" s="197">
        <v>7.7</v>
      </c>
      <c r="M27" s="197">
        <v>9</v>
      </c>
      <c r="N27" s="197">
        <v>10</v>
      </c>
      <c r="O27" s="197">
        <v>10.7</v>
      </c>
      <c r="P27" s="197">
        <v>11.4</v>
      </c>
      <c r="Q27" s="197">
        <v>12.6</v>
      </c>
      <c r="R27" s="197">
        <v>13.9</v>
      </c>
      <c r="S27" s="197">
        <v>14.5</v>
      </c>
      <c r="T27" s="198">
        <v>13.1</v>
      </c>
      <c r="U27" s="198">
        <v>10</v>
      </c>
      <c r="V27" s="198">
        <v>7.4</v>
      </c>
      <c r="W27" s="198">
        <v>5.6</v>
      </c>
      <c r="X27" s="198">
        <v>4.4000000000000004</v>
      </c>
      <c r="Y27" s="199">
        <v>3.6</v>
      </c>
    </row>
    <row r="28" spans="1:25" ht="12" customHeight="1" thickBot="1"/>
    <row r="29" spans="1:25" ht="12" customHeight="1">
      <c r="A29" s="145" t="s">
        <v>67</v>
      </c>
      <c r="B29" s="145"/>
      <c r="C29" s="145"/>
      <c r="D29" s="39" t="s">
        <v>34</v>
      </c>
      <c r="E29" s="145"/>
      <c r="F29" s="145"/>
      <c r="G29" s="145"/>
      <c r="H29" s="145"/>
      <c r="I29" s="145"/>
      <c r="J29" s="145"/>
      <c r="K29" s="145"/>
      <c r="L29" s="145"/>
      <c r="M29" s="145"/>
      <c r="N29" s="145"/>
      <c r="O29" s="145"/>
      <c r="P29" s="145"/>
      <c r="Q29" s="145"/>
      <c r="R29" s="145"/>
      <c r="S29" s="146"/>
      <c r="T29" s="145"/>
      <c r="U29" s="145"/>
      <c r="V29" s="145"/>
      <c r="W29" s="145"/>
      <c r="X29" s="145"/>
      <c r="Y29" s="145"/>
    </row>
    <row r="30" spans="1:25" ht="16.5" customHeight="1">
      <c r="A30" s="147"/>
      <c r="B30" s="148">
        <v>1</v>
      </c>
      <c r="C30" s="149">
        <v>2</v>
      </c>
      <c r="D30" s="150">
        <v>3</v>
      </c>
      <c r="E30" s="149">
        <v>4</v>
      </c>
      <c r="F30" s="149">
        <v>5</v>
      </c>
      <c r="G30" s="149">
        <v>6</v>
      </c>
      <c r="H30" s="149">
        <v>7</v>
      </c>
      <c r="I30" s="149">
        <v>8</v>
      </c>
      <c r="J30" s="149">
        <v>9</v>
      </c>
      <c r="K30" s="149">
        <v>10</v>
      </c>
      <c r="L30" s="149">
        <v>11</v>
      </c>
      <c r="M30" s="149">
        <v>12</v>
      </c>
      <c r="N30" s="149">
        <v>13</v>
      </c>
      <c r="O30" s="149">
        <v>14</v>
      </c>
      <c r="P30" s="149">
        <v>15</v>
      </c>
      <c r="Q30" s="149">
        <v>16</v>
      </c>
      <c r="R30" s="149">
        <v>17</v>
      </c>
      <c r="S30" s="149">
        <v>18</v>
      </c>
      <c r="T30" s="151">
        <v>19</v>
      </c>
      <c r="U30" s="151">
        <v>20</v>
      </c>
      <c r="V30" s="151">
        <v>21</v>
      </c>
      <c r="W30" s="151">
        <v>22</v>
      </c>
      <c r="X30" s="151">
        <v>23</v>
      </c>
      <c r="Y30" s="152">
        <v>24</v>
      </c>
    </row>
    <row r="31" spans="1:25" ht="12" customHeight="1">
      <c r="A31" s="153" t="s">
        <v>83</v>
      </c>
      <c r="B31" s="154">
        <v>0.9</v>
      </c>
      <c r="C31" s="155">
        <v>0.5</v>
      </c>
      <c r="D31" s="155">
        <v>0.1</v>
      </c>
      <c r="E31" s="155">
        <v>-0.2</v>
      </c>
      <c r="F31" s="155">
        <v>-0.5</v>
      </c>
      <c r="G31" s="155">
        <v>-0.6</v>
      </c>
      <c r="H31" s="155">
        <v>-0.4</v>
      </c>
      <c r="I31" s="155">
        <v>0.5</v>
      </c>
      <c r="J31" s="155">
        <v>1.9</v>
      </c>
      <c r="K31" s="155">
        <v>3.5</v>
      </c>
      <c r="L31" s="155">
        <v>5</v>
      </c>
      <c r="M31" s="155">
        <v>6.4</v>
      </c>
      <c r="N31" s="155">
        <v>7.5</v>
      </c>
      <c r="O31" s="155">
        <v>8.1999999999999993</v>
      </c>
      <c r="P31" s="155">
        <v>8.4</v>
      </c>
      <c r="Q31" s="155">
        <v>8.1999999999999993</v>
      </c>
      <c r="R31" s="155">
        <v>7.6</v>
      </c>
      <c r="S31" s="155">
        <v>6.5</v>
      </c>
      <c r="T31" s="156">
        <v>5.0999999999999996</v>
      </c>
      <c r="U31" s="156">
        <v>3.9</v>
      </c>
      <c r="V31" s="156">
        <v>2.9</v>
      </c>
      <c r="W31" s="156">
        <v>2.2000000000000002</v>
      </c>
      <c r="X31" s="156">
        <v>1.7</v>
      </c>
      <c r="Y31" s="157">
        <v>1.3</v>
      </c>
    </row>
    <row r="32" spans="1:25" ht="12" customHeight="1">
      <c r="A32" s="158" t="s">
        <v>68</v>
      </c>
      <c r="B32" s="159">
        <v>1.1000000000000001</v>
      </c>
      <c r="C32" s="160">
        <v>0.6</v>
      </c>
      <c r="D32" s="160">
        <v>0.2</v>
      </c>
      <c r="E32" s="160">
        <v>-0.1</v>
      </c>
      <c r="F32" s="160">
        <v>-0.4</v>
      </c>
      <c r="G32" s="160">
        <v>-0.5</v>
      </c>
      <c r="H32" s="160">
        <v>0.3</v>
      </c>
      <c r="I32" s="160">
        <v>3</v>
      </c>
      <c r="J32" s="160">
        <v>7</v>
      </c>
      <c r="K32" s="160">
        <v>11.8</v>
      </c>
      <c r="L32" s="160">
        <v>16.399999999999999</v>
      </c>
      <c r="M32" s="160">
        <v>20.3</v>
      </c>
      <c r="N32" s="160">
        <v>23</v>
      </c>
      <c r="O32" s="160">
        <v>24.2</v>
      </c>
      <c r="P32" s="160">
        <v>23.7</v>
      </c>
      <c r="Q32" s="160">
        <v>21.6</v>
      </c>
      <c r="R32" s="160">
        <v>18.100000000000001</v>
      </c>
      <c r="S32" s="160">
        <v>13.8</v>
      </c>
      <c r="T32" s="161">
        <v>9.8000000000000007</v>
      </c>
      <c r="U32" s="161">
        <v>6.9</v>
      </c>
      <c r="V32" s="161">
        <v>4.8</v>
      </c>
      <c r="W32" s="161">
        <v>3.4</v>
      </c>
      <c r="X32" s="161">
        <v>2.4</v>
      </c>
      <c r="Y32" s="162">
        <v>1.7</v>
      </c>
    </row>
    <row r="33" spans="1:25" ht="12" customHeight="1">
      <c r="A33" s="158" t="s">
        <v>69</v>
      </c>
      <c r="B33" s="192">
        <v>0.8</v>
      </c>
      <c r="C33" s="193">
        <v>0.4</v>
      </c>
      <c r="D33" s="193">
        <v>0.1</v>
      </c>
      <c r="E33" s="193">
        <v>-0.2</v>
      </c>
      <c r="F33" s="193">
        <v>-0.5</v>
      </c>
      <c r="G33" s="193">
        <v>-0.4</v>
      </c>
      <c r="H33" s="193">
        <v>0.8</v>
      </c>
      <c r="I33" s="193">
        <v>2.2000000000000002</v>
      </c>
      <c r="J33" s="193">
        <v>3.1</v>
      </c>
      <c r="K33" s="193">
        <v>4.2</v>
      </c>
      <c r="L33" s="193">
        <v>5.6</v>
      </c>
      <c r="M33" s="193">
        <v>6.7</v>
      </c>
      <c r="N33" s="193">
        <v>7.7</v>
      </c>
      <c r="O33" s="193">
        <v>8.4</v>
      </c>
      <c r="P33" s="193">
        <v>8.5</v>
      </c>
      <c r="Q33" s="193">
        <v>8.3000000000000007</v>
      </c>
      <c r="R33" s="193">
        <v>7.6</v>
      </c>
      <c r="S33" s="193">
        <v>6.5</v>
      </c>
      <c r="T33" s="194">
        <v>5.0999999999999996</v>
      </c>
      <c r="U33" s="194">
        <v>3.9</v>
      </c>
      <c r="V33" s="194">
        <v>2.9</v>
      </c>
      <c r="W33" s="194">
        <v>2.2000000000000002</v>
      </c>
      <c r="X33" s="194">
        <v>1.7</v>
      </c>
      <c r="Y33" s="195">
        <v>1.2</v>
      </c>
    </row>
    <row r="34" spans="1:25" ht="12" customHeight="1">
      <c r="A34" s="158" t="s">
        <v>70</v>
      </c>
      <c r="B34" s="192">
        <v>0.8</v>
      </c>
      <c r="C34" s="193">
        <v>0.4</v>
      </c>
      <c r="D34" s="193">
        <v>0.1</v>
      </c>
      <c r="E34" s="193">
        <v>-0.2</v>
      </c>
      <c r="F34" s="193">
        <v>-0.5</v>
      </c>
      <c r="G34" s="193">
        <v>0</v>
      </c>
      <c r="H34" s="193">
        <v>3.3</v>
      </c>
      <c r="I34" s="193">
        <v>7.4</v>
      </c>
      <c r="J34" s="193">
        <v>10.7</v>
      </c>
      <c r="K34" s="193">
        <v>12.2</v>
      </c>
      <c r="L34" s="193">
        <v>12</v>
      </c>
      <c r="M34" s="193">
        <v>10.9</v>
      </c>
      <c r="N34" s="193">
        <v>10.3</v>
      </c>
      <c r="O34" s="193">
        <v>10</v>
      </c>
      <c r="P34" s="193">
        <v>9.6</v>
      </c>
      <c r="Q34" s="193">
        <v>8.9</v>
      </c>
      <c r="R34" s="193">
        <v>8</v>
      </c>
      <c r="S34" s="193">
        <v>6.7</v>
      </c>
      <c r="T34" s="194">
        <v>5.3</v>
      </c>
      <c r="U34" s="194">
        <v>4</v>
      </c>
      <c r="V34" s="194">
        <v>3</v>
      </c>
      <c r="W34" s="194">
        <v>2.2000000000000002</v>
      </c>
      <c r="X34" s="194">
        <v>1.7</v>
      </c>
      <c r="Y34" s="195">
        <v>1.3</v>
      </c>
    </row>
    <row r="35" spans="1:25" ht="12" customHeight="1">
      <c r="A35" s="158" t="s">
        <v>71</v>
      </c>
      <c r="B35" s="192">
        <v>0.9</v>
      </c>
      <c r="C35" s="193">
        <v>0.5</v>
      </c>
      <c r="D35" s="193">
        <v>0.1</v>
      </c>
      <c r="E35" s="193">
        <v>-0.2</v>
      </c>
      <c r="F35" s="193">
        <v>-0.5</v>
      </c>
      <c r="G35" s="193">
        <v>0</v>
      </c>
      <c r="H35" s="193">
        <v>3.6</v>
      </c>
      <c r="I35" s="193">
        <v>8.6999999999999993</v>
      </c>
      <c r="J35" s="193">
        <v>13.4</v>
      </c>
      <c r="K35" s="193">
        <v>16.600000000000001</v>
      </c>
      <c r="L35" s="193">
        <v>18</v>
      </c>
      <c r="M35" s="193">
        <v>17.399999999999999</v>
      </c>
      <c r="N35" s="193">
        <v>15.3</v>
      </c>
      <c r="O35" s="193">
        <v>13.2</v>
      </c>
      <c r="P35" s="193">
        <v>11.6</v>
      </c>
      <c r="Q35" s="193">
        <v>10.199999999999999</v>
      </c>
      <c r="R35" s="193">
        <v>8.8000000000000007</v>
      </c>
      <c r="S35" s="193">
        <v>7.2</v>
      </c>
      <c r="T35" s="194">
        <v>5.6</v>
      </c>
      <c r="U35" s="194">
        <v>4.2</v>
      </c>
      <c r="V35" s="194">
        <v>3.1</v>
      </c>
      <c r="W35" s="194">
        <v>2.2999999999999998</v>
      </c>
      <c r="X35" s="194">
        <v>1.7</v>
      </c>
      <c r="Y35" s="195">
        <v>1.3</v>
      </c>
    </row>
    <row r="36" spans="1:25" ht="12" customHeight="1">
      <c r="A36" s="158" t="s">
        <v>72</v>
      </c>
      <c r="B36" s="192">
        <v>0.9</v>
      </c>
      <c r="C36" s="193">
        <v>0.5</v>
      </c>
      <c r="D36" s="193">
        <v>0.1</v>
      </c>
      <c r="E36" s="193">
        <v>-0.2</v>
      </c>
      <c r="F36" s="193">
        <v>-0.5</v>
      </c>
      <c r="G36" s="193">
        <v>-0.3</v>
      </c>
      <c r="H36" s="193">
        <v>1.6</v>
      </c>
      <c r="I36" s="193">
        <v>5.0999999999999996</v>
      </c>
      <c r="J36" s="193">
        <v>9.3000000000000007</v>
      </c>
      <c r="K36" s="193">
        <v>13.4</v>
      </c>
      <c r="L36" s="193">
        <v>16.600000000000001</v>
      </c>
      <c r="M36" s="193">
        <v>18.5</v>
      </c>
      <c r="N36" s="193">
        <v>19</v>
      </c>
      <c r="O36" s="193">
        <v>18</v>
      </c>
      <c r="P36" s="193">
        <v>15.7</v>
      </c>
      <c r="Q36" s="193">
        <v>13</v>
      </c>
      <c r="R36" s="193">
        <v>10.5</v>
      </c>
      <c r="S36" s="193">
        <v>8.3000000000000007</v>
      </c>
      <c r="T36" s="194">
        <v>6.2</v>
      </c>
      <c r="U36" s="194">
        <v>4.5999999999999996</v>
      </c>
      <c r="V36" s="194">
        <v>3.4</v>
      </c>
      <c r="W36" s="194">
        <v>2.5</v>
      </c>
      <c r="X36" s="194">
        <v>1.8</v>
      </c>
      <c r="Y36" s="195">
        <v>1.3</v>
      </c>
    </row>
    <row r="37" spans="1:25" ht="12" customHeight="1">
      <c r="A37" s="158" t="s">
        <v>73</v>
      </c>
      <c r="B37" s="192">
        <v>1.1000000000000001</v>
      </c>
      <c r="C37" s="193">
        <v>0.6</v>
      </c>
      <c r="D37" s="193">
        <v>0.2</v>
      </c>
      <c r="E37" s="193">
        <v>-0.1</v>
      </c>
      <c r="F37" s="193">
        <v>-0.4</v>
      </c>
      <c r="G37" s="193">
        <v>-0.6</v>
      </c>
      <c r="H37" s="193">
        <v>-0.4</v>
      </c>
      <c r="I37" s="193">
        <v>0.5</v>
      </c>
      <c r="J37" s="193">
        <v>2.2000000000000002</v>
      </c>
      <c r="K37" s="193">
        <v>5.0999999999999996</v>
      </c>
      <c r="L37" s="193">
        <v>8.9</v>
      </c>
      <c r="M37" s="193">
        <v>12.9</v>
      </c>
      <c r="N37" s="193">
        <v>16.399999999999999</v>
      </c>
      <c r="O37" s="193">
        <v>18.899999999999999</v>
      </c>
      <c r="P37" s="193">
        <v>20.2</v>
      </c>
      <c r="Q37" s="193">
        <v>19.8</v>
      </c>
      <c r="R37" s="193">
        <v>17.7</v>
      </c>
      <c r="S37" s="193">
        <v>14.1</v>
      </c>
      <c r="T37" s="194">
        <v>10.1</v>
      </c>
      <c r="U37" s="194">
        <v>7</v>
      </c>
      <c r="V37" s="194">
        <v>4.8</v>
      </c>
      <c r="W37" s="194">
        <v>3.4</v>
      </c>
      <c r="X37" s="194">
        <v>2.4</v>
      </c>
      <c r="Y37" s="195">
        <v>1.7</v>
      </c>
    </row>
    <row r="38" spans="1:25" ht="12" customHeight="1">
      <c r="A38" s="158" t="s">
        <v>74</v>
      </c>
      <c r="B38" s="192">
        <v>1.3</v>
      </c>
      <c r="C38" s="193">
        <v>0.7</v>
      </c>
      <c r="D38" s="193">
        <v>0.3</v>
      </c>
      <c r="E38" s="193">
        <v>-0.1</v>
      </c>
      <c r="F38" s="193">
        <v>-0.4</v>
      </c>
      <c r="G38" s="193">
        <v>-0.6</v>
      </c>
      <c r="H38" s="193">
        <v>-0.4</v>
      </c>
      <c r="I38" s="193">
        <v>0.5</v>
      </c>
      <c r="J38" s="193">
        <v>1.9</v>
      </c>
      <c r="K38" s="193">
        <v>3.5</v>
      </c>
      <c r="L38" s="193">
        <v>5.2</v>
      </c>
      <c r="M38" s="193">
        <v>7.6</v>
      </c>
      <c r="N38" s="193">
        <v>11.2</v>
      </c>
      <c r="O38" s="193">
        <v>15.2</v>
      </c>
      <c r="P38" s="193">
        <v>18.8</v>
      </c>
      <c r="Q38" s="193">
        <v>20.9</v>
      </c>
      <c r="R38" s="193">
        <v>20.7</v>
      </c>
      <c r="S38" s="193">
        <v>17.8</v>
      </c>
      <c r="T38" s="194">
        <v>12.6</v>
      </c>
      <c r="U38" s="194">
        <v>8.6</v>
      </c>
      <c r="V38" s="194">
        <v>5.9</v>
      </c>
      <c r="W38" s="194">
        <v>4</v>
      </c>
      <c r="X38" s="194">
        <v>2.8</v>
      </c>
      <c r="Y38" s="195">
        <v>1.9</v>
      </c>
    </row>
    <row r="39" spans="1:25" ht="12" customHeight="1">
      <c r="A39" s="158" t="s">
        <v>75</v>
      </c>
      <c r="B39" s="192">
        <v>1.2</v>
      </c>
      <c r="C39" s="193">
        <v>0.7</v>
      </c>
      <c r="D39" s="193">
        <v>0.2</v>
      </c>
      <c r="E39" s="193">
        <v>-0.1</v>
      </c>
      <c r="F39" s="193">
        <v>-0.4</v>
      </c>
      <c r="G39" s="193">
        <v>-0.6</v>
      </c>
      <c r="H39" s="193">
        <v>-0.4</v>
      </c>
      <c r="I39" s="193">
        <v>0.5</v>
      </c>
      <c r="J39" s="193">
        <v>1.9</v>
      </c>
      <c r="K39" s="193">
        <v>3.5</v>
      </c>
      <c r="L39" s="193">
        <v>5.0999999999999996</v>
      </c>
      <c r="M39" s="193">
        <v>6.5</v>
      </c>
      <c r="N39" s="193">
        <v>7.8</v>
      </c>
      <c r="O39" s="193">
        <v>10</v>
      </c>
      <c r="P39" s="193">
        <v>13</v>
      </c>
      <c r="Q39" s="193">
        <v>15.7</v>
      </c>
      <c r="R39" s="193">
        <v>16.7</v>
      </c>
      <c r="S39" s="193">
        <v>15.2</v>
      </c>
      <c r="T39" s="194">
        <v>11</v>
      </c>
      <c r="U39" s="194">
        <v>7.6</v>
      </c>
      <c r="V39" s="194">
        <v>5.2</v>
      </c>
      <c r="W39" s="194">
        <v>3.6</v>
      </c>
      <c r="X39" s="194">
        <v>2.6</v>
      </c>
      <c r="Y39" s="195">
        <v>1.8</v>
      </c>
    </row>
    <row r="40" spans="1:25" ht="12" customHeight="1">
      <c r="A40" s="163" t="s">
        <v>76</v>
      </c>
      <c r="B40" s="196">
        <v>0.9</v>
      </c>
      <c r="C40" s="197">
        <v>0.5</v>
      </c>
      <c r="D40" s="197">
        <v>0.1</v>
      </c>
      <c r="E40" s="197">
        <v>-0.2</v>
      </c>
      <c r="F40" s="197">
        <v>-0.5</v>
      </c>
      <c r="G40" s="197">
        <v>-0.6</v>
      </c>
      <c r="H40" s="197">
        <v>-0.4</v>
      </c>
      <c r="I40" s="197">
        <v>0.5</v>
      </c>
      <c r="J40" s="197">
        <v>1.9</v>
      </c>
      <c r="K40" s="197">
        <v>3.5</v>
      </c>
      <c r="L40" s="197">
        <v>5.0999999999999996</v>
      </c>
      <c r="M40" s="197">
        <v>6.5</v>
      </c>
      <c r="N40" s="197">
        <v>7.5</v>
      </c>
      <c r="O40" s="197">
        <v>8.1999999999999993</v>
      </c>
      <c r="P40" s="197">
        <v>8.5</v>
      </c>
      <c r="Q40" s="197">
        <v>8.6999999999999993</v>
      </c>
      <c r="R40" s="197">
        <v>9.1</v>
      </c>
      <c r="S40" s="197">
        <v>8.5</v>
      </c>
      <c r="T40" s="198">
        <v>6.6</v>
      </c>
      <c r="U40" s="198">
        <v>4.8</v>
      </c>
      <c r="V40" s="198">
        <v>3.5</v>
      </c>
      <c r="W40" s="198">
        <v>2.6</v>
      </c>
      <c r="X40" s="198">
        <v>1.9</v>
      </c>
      <c r="Y40" s="199">
        <v>1.4</v>
      </c>
    </row>
    <row r="42" spans="1:25" ht="12" customHeight="1">
      <c r="A42" s="145" t="s">
        <v>77</v>
      </c>
      <c r="B42" s="145"/>
      <c r="C42" s="145"/>
      <c r="D42" s="145"/>
      <c r="E42" s="145"/>
      <c r="G42" s="145"/>
      <c r="H42" s="145"/>
      <c r="I42" s="145"/>
      <c r="J42" s="145"/>
      <c r="K42" s="145"/>
    </row>
    <row r="43" spans="1:25" ht="15" customHeight="1">
      <c r="A43" s="168" t="s">
        <v>78</v>
      </c>
      <c r="B43" s="169" t="s">
        <v>79</v>
      </c>
      <c r="C43" s="170" t="s">
        <v>80</v>
      </c>
      <c r="D43" s="169" t="s">
        <v>79</v>
      </c>
      <c r="E43" s="170" t="s">
        <v>80</v>
      </c>
      <c r="F43" s="169" t="s">
        <v>79</v>
      </c>
      <c r="G43" s="170" t="s">
        <v>80</v>
      </c>
      <c r="H43" s="169" t="s">
        <v>79</v>
      </c>
      <c r="I43" s="170" t="s">
        <v>80</v>
      </c>
      <c r="J43" s="169" t="s">
        <v>79</v>
      </c>
      <c r="K43" s="170" t="s">
        <v>80</v>
      </c>
      <c r="L43" s="169" t="s">
        <v>79</v>
      </c>
      <c r="M43" s="171" t="s">
        <v>79</v>
      </c>
      <c r="N43" s="169" t="s">
        <v>79</v>
      </c>
      <c r="P43" s="73" t="s">
        <v>50</v>
      </c>
    </row>
    <row r="44" spans="1:25" ht="12" customHeight="1">
      <c r="A44" s="172">
        <v>0</v>
      </c>
      <c r="B44" s="173">
        <v>6.8000000000000005E-2</v>
      </c>
      <c r="C44" s="174">
        <f t="shared" ref="C44:C67" si="0">A44+24</f>
        <v>24</v>
      </c>
      <c r="D44" s="173">
        <v>0</v>
      </c>
      <c r="E44" s="174">
        <f t="shared" ref="E44:E67" si="1">C44+24</f>
        <v>48</v>
      </c>
      <c r="F44" s="173">
        <v>0</v>
      </c>
      <c r="G44" s="174">
        <f t="shared" ref="G44:G67" si="2">E44+24</f>
        <v>72</v>
      </c>
      <c r="H44" s="175">
        <v>0</v>
      </c>
      <c r="I44" s="174">
        <f t="shared" ref="I44:I67" si="3">G44+24</f>
        <v>96</v>
      </c>
      <c r="J44" s="175">
        <v>0</v>
      </c>
      <c r="K44" s="174">
        <f t="shared" ref="K44:K67" si="4">I44+24</f>
        <v>120</v>
      </c>
      <c r="L44" s="175">
        <v>0</v>
      </c>
      <c r="M44" s="176">
        <f t="shared" ref="M44:M67" si="5">K44+24</f>
        <v>144</v>
      </c>
      <c r="N44" s="177">
        <v>0</v>
      </c>
      <c r="P44" s="178" t="s">
        <v>84</v>
      </c>
    </row>
    <row r="45" spans="1:25" ht="12" customHeight="1">
      <c r="A45" s="179">
        <v>1</v>
      </c>
      <c r="B45" s="180">
        <v>0.29799999999999999</v>
      </c>
      <c r="C45" s="181">
        <f t="shared" si="0"/>
        <v>25</v>
      </c>
      <c r="D45" s="180">
        <v>0</v>
      </c>
      <c r="E45" s="181">
        <f t="shared" si="1"/>
        <v>49</v>
      </c>
      <c r="F45" s="180">
        <v>0</v>
      </c>
      <c r="G45" s="181">
        <f t="shared" si="2"/>
        <v>73</v>
      </c>
      <c r="H45" s="182">
        <v>0</v>
      </c>
      <c r="I45" s="181">
        <f t="shared" si="3"/>
        <v>97</v>
      </c>
      <c r="J45" s="182">
        <v>0</v>
      </c>
      <c r="K45" s="181">
        <f t="shared" si="4"/>
        <v>121</v>
      </c>
      <c r="L45" s="182">
        <v>0</v>
      </c>
      <c r="M45" s="183">
        <f t="shared" si="5"/>
        <v>145</v>
      </c>
      <c r="N45" s="184">
        <v>0</v>
      </c>
      <c r="P45" s="185" t="s">
        <v>85</v>
      </c>
    </row>
    <row r="46" spans="1:25" ht="12" customHeight="1">
      <c r="A46" s="179">
        <v>2</v>
      </c>
      <c r="B46" s="180">
        <v>0.23799999999999999</v>
      </c>
      <c r="C46" s="181">
        <f t="shared" si="0"/>
        <v>26</v>
      </c>
      <c r="D46" s="180">
        <v>0</v>
      </c>
      <c r="E46" s="181">
        <f t="shared" si="1"/>
        <v>50</v>
      </c>
      <c r="F46" s="180">
        <v>0</v>
      </c>
      <c r="G46" s="181">
        <f t="shared" si="2"/>
        <v>74</v>
      </c>
      <c r="H46" s="182">
        <v>0</v>
      </c>
      <c r="I46" s="181">
        <f t="shared" si="3"/>
        <v>98</v>
      </c>
      <c r="J46" s="182">
        <v>0</v>
      </c>
      <c r="K46" s="181">
        <f t="shared" si="4"/>
        <v>122</v>
      </c>
      <c r="L46" s="182">
        <v>0</v>
      </c>
      <c r="M46" s="183">
        <f t="shared" si="5"/>
        <v>146</v>
      </c>
      <c r="N46" s="184">
        <v>0</v>
      </c>
      <c r="P46" s="178" t="s">
        <v>86</v>
      </c>
    </row>
    <row r="47" spans="1:25" ht="12" customHeight="1">
      <c r="A47" s="179">
        <v>3</v>
      </c>
      <c r="B47" s="180">
        <v>0.14899999999999999</v>
      </c>
      <c r="C47" s="181">
        <f t="shared" si="0"/>
        <v>27</v>
      </c>
      <c r="D47" s="180">
        <v>0</v>
      </c>
      <c r="E47" s="181">
        <f t="shared" si="1"/>
        <v>51</v>
      </c>
      <c r="F47" s="180">
        <v>0</v>
      </c>
      <c r="G47" s="181">
        <f t="shared" si="2"/>
        <v>75</v>
      </c>
      <c r="H47" s="182">
        <v>0</v>
      </c>
      <c r="I47" s="181">
        <f t="shared" si="3"/>
        <v>99</v>
      </c>
      <c r="J47" s="182">
        <v>0</v>
      </c>
      <c r="K47" s="181">
        <f t="shared" si="4"/>
        <v>123</v>
      </c>
      <c r="L47" s="182">
        <v>0</v>
      </c>
      <c r="M47" s="183">
        <f t="shared" si="5"/>
        <v>147</v>
      </c>
      <c r="N47" s="184">
        <v>0</v>
      </c>
      <c r="P47" s="178" t="s">
        <v>87</v>
      </c>
    </row>
    <row r="48" spans="1:25" ht="12" customHeight="1">
      <c r="A48" s="179">
        <v>4</v>
      </c>
      <c r="B48" s="180">
        <v>9.2999999999999999E-2</v>
      </c>
      <c r="C48" s="181">
        <f t="shared" si="0"/>
        <v>28</v>
      </c>
      <c r="D48" s="180">
        <v>0</v>
      </c>
      <c r="E48" s="181">
        <f t="shared" si="1"/>
        <v>52</v>
      </c>
      <c r="F48" s="180">
        <v>0</v>
      </c>
      <c r="G48" s="181">
        <f t="shared" si="2"/>
        <v>76</v>
      </c>
      <c r="H48" s="182">
        <v>0</v>
      </c>
      <c r="I48" s="181">
        <f t="shared" si="3"/>
        <v>100</v>
      </c>
      <c r="J48" s="182">
        <v>0</v>
      </c>
      <c r="K48" s="181">
        <f t="shared" si="4"/>
        <v>124</v>
      </c>
      <c r="L48" s="182">
        <v>0</v>
      </c>
      <c r="M48" s="183">
        <f t="shared" si="5"/>
        <v>148</v>
      </c>
      <c r="N48" s="184">
        <v>0</v>
      </c>
      <c r="P48" s="178" t="s">
        <v>88</v>
      </c>
    </row>
    <row r="49" spans="1:16" ht="12" customHeight="1">
      <c r="A49" s="179">
        <v>5</v>
      </c>
      <c r="B49" s="180">
        <v>5.8000000000000003E-2</v>
      </c>
      <c r="C49" s="181">
        <f t="shared" si="0"/>
        <v>29</v>
      </c>
      <c r="D49" s="180">
        <v>0</v>
      </c>
      <c r="E49" s="181">
        <f t="shared" si="1"/>
        <v>53</v>
      </c>
      <c r="F49" s="180">
        <v>0</v>
      </c>
      <c r="G49" s="181">
        <f t="shared" si="2"/>
        <v>77</v>
      </c>
      <c r="H49" s="182">
        <v>0</v>
      </c>
      <c r="I49" s="181">
        <f t="shared" si="3"/>
        <v>101</v>
      </c>
      <c r="J49" s="182">
        <v>0</v>
      </c>
      <c r="K49" s="181">
        <f t="shared" si="4"/>
        <v>125</v>
      </c>
      <c r="L49" s="182">
        <v>0</v>
      </c>
      <c r="M49" s="183">
        <f t="shared" si="5"/>
        <v>149</v>
      </c>
      <c r="N49" s="184">
        <v>0</v>
      </c>
      <c r="P49" s="178" t="s">
        <v>89</v>
      </c>
    </row>
    <row r="50" spans="1:16" ht="12" customHeight="1">
      <c r="A50" s="179">
        <v>6</v>
      </c>
      <c r="B50" s="180">
        <v>3.5999999999999997E-2</v>
      </c>
      <c r="C50" s="181">
        <f t="shared" si="0"/>
        <v>30</v>
      </c>
      <c r="D50" s="180">
        <v>0</v>
      </c>
      <c r="E50" s="181">
        <f t="shared" si="1"/>
        <v>54</v>
      </c>
      <c r="F50" s="180">
        <v>0</v>
      </c>
      <c r="G50" s="181">
        <f t="shared" si="2"/>
        <v>78</v>
      </c>
      <c r="H50" s="182">
        <v>0</v>
      </c>
      <c r="I50" s="181">
        <f t="shared" si="3"/>
        <v>102</v>
      </c>
      <c r="J50" s="182">
        <v>0</v>
      </c>
      <c r="K50" s="181">
        <f t="shared" si="4"/>
        <v>126</v>
      </c>
      <c r="L50" s="182">
        <v>0</v>
      </c>
      <c r="M50" s="183">
        <f t="shared" si="5"/>
        <v>150</v>
      </c>
      <c r="N50" s="184">
        <v>0</v>
      </c>
      <c r="P50" s="178" t="s">
        <v>90</v>
      </c>
    </row>
    <row r="51" spans="1:16" ht="12" customHeight="1">
      <c r="A51" s="179">
        <v>7</v>
      </c>
      <c r="B51" s="180">
        <v>2.1999999999999999E-2</v>
      </c>
      <c r="C51" s="181">
        <f t="shared" si="0"/>
        <v>31</v>
      </c>
      <c r="D51" s="180">
        <v>0</v>
      </c>
      <c r="E51" s="181">
        <f t="shared" si="1"/>
        <v>55</v>
      </c>
      <c r="F51" s="180">
        <v>0</v>
      </c>
      <c r="G51" s="181">
        <f t="shared" si="2"/>
        <v>79</v>
      </c>
      <c r="H51" s="182">
        <v>0</v>
      </c>
      <c r="I51" s="181">
        <f t="shared" si="3"/>
        <v>103</v>
      </c>
      <c r="J51" s="182">
        <v>0</v>
      </c>
      <c r="K51" s="181">
        <f t="shared" si="4"/>
        <v>127</v>
      </c>
      <c r="L51" s="182">
        <v>0</v>
      </c>
      <c r="M51" s="183">
        <f t="shared" si="5"/>
        <v>151</v>
      </c>
      <c r="N51" s="184">
        <v>0</v>
      </c>
      <c r="P51" s="178" t="s">
        <v>91</v>
      </c>
    </row>
    <row r="52" spans="1:16" ht="12" customHeight="1">
      <c r="A52" s="179">
        <v>8</v>
      </c>
      <c r="B52" s="180">
        <v>1.4E-2</v>
      </c>
      <c r="C52" s="181">
        <f t="shared" si="0"/>
        <v>32</v>
      </c>
      <c r="D52" s="180">
        <v>0</v>
      </c>
      <c r="E52" s="181">
        <f t="shared" si="1"/>
        <v>56</v>
      </c>
      <c r="F52" s="180">
        <v>0</v>
      </c>
      <c r="G52" s="181">
        <f t="shared" si="2"/>
        <v>80</v>
      </c>
      <c r="H52" s="182">
        <v>0</v>
      </c>
      <c r="I52" s="181">
        <f t="shared" si="3"/>
        <v>104</v>
      </c>
      <c r="J52" s="182">
        <v>0</v>
      </c>
      <c r="K52" s="181">
        <f t="shared" si="4"/>
        <v>128</v>
      </c>
      <c r="L52" s="182">
        <v>0</v>
      </c>
      <c r="M52" s="183">
        <f t="shared" si="5"/>
        <v>152</v>
      </c>
      <c r="N52" s="184">
        <v>0</v>
      </c>
      <c r="P52" s="178" t="s">
        <v>92</v>
      </c>
    </row>
    <row r="53" spans="1:16" ht="12" customHeight="1">
      <c r="A53" s="179">
        <v>9</v>
      </c>
      <c r="B53" s="180">
        <v>8.9999999999999993E-3</v>
      </c>
      <c r="C53" s="181">
        <f t="shared" si="0"/>
        <v>33</v>
      </c>
      <c r="D53" s="180">
        <v>0</v>
      </c>
      <c r="E53" s="181">
        <f t="shared" si="1"/>
        <v>57</v>
      </c>
      <c r="F53" s="180">
        <v>0</v>
      </c>
      <c r="G53" s="181">
        <f t="shared" si="2"/>
        <v>81</v>
      </c>
      <c r="H53" s="182">
        <v>0</v>
      </c>
      <c r="I53" s="181">
        <f t="shared" si="3"/>
        <v>105</v>
      </c>
      <c r="J53" s="182">
        <v>0</v>
      </c>
      <c r="K53" s="181">
        <f t="shared" si="4"/>
        <v>129</v>
      </c>
      <c r="L53" s="182">
        <v>0</v>
      </c>
      <c r="M53" s="183">
        <f t="shared" si="5"/>
        <v>153</v>
      </c>
      <c r="N53" s="184">
        <v>0</v>
      </c>
      <c r="P53" s="178" t="s">
        <v>93</v>
      </c>
    </row>
    <row r="54" spans="1:16" ht="12" customHeight="1">
      <c r="A54" s="179">
        <v>10</v>
      </c>
      <c r="B54" s="180">
        <v>5.0000000000000001E-3</v>
      </c>
      <c r="C54" s="181">
        <f t="shared" si="0"/>
        <v>34</v>
      </c>
      <c r="D54" s="180">
        <v>0</v>
      </c>
      <c r="E54" s="181">
        <f t="shared" si="1"/>
        <v>58</v>
      </c>
      <c r="F54" s="180">
        <v>0</v>
      </c>
      <c r="G54" s="181">
        <f t="shared" si="2"/>
        <v>82</v>
      </c>
      <c r="H54" s="182">
        <v>0</v>
      </c>
      <c r="I54" s="181">
        <f t="shared" si="3"/>
        <v>106</v>
      </c>
      <c r="J54" s="182">
        <v>0</v>
      </c>
      <c r="K54" s="181">
        <f t="shared" si="4"/>
        <v>130</v>
      </c>
      <c r="L54" s="182">
        <v>0</v>
      </c>
      <c r="M54" s="183">
        <f t="shared" si="5"/>
        <v>154</v>
      </c>
      <c r="N54" s="184">
        <v>0</v>
      </c>
      <c r="P54" s="178" t="s">
        <v>94</v>
      </c>
    </row>
    <row r="55" spans="1:16" ht="12" customHeight="1">
      <c r="A55" s="179">
        <v>11</v>
      </c>
      <c r="B55" s="180">
        <v>3.0000000000000001E-3</v>
      </c>
      <c r="C55" s="181">
        <f t="shared" si="0"/>
        <v>35</v>
      </c>
      <c r="D55" s="180">
        <v>0</v>
      </c>
      <c r="E55" s="181">
        <f t="shared" si="1"/>
        <v>59</v>
      </c>
      <c r="F55" s="180">
        <v>0</v>
      </c>
      <c r="G55" s="181">
        <f t="shared" si="2"/>
        <v>83</v>
      </c>
      <c r="H55" s="182">
        <v>0</v>
      </c>
      <c r="I55" s="181">
        <f t="shared" si="3"/>
        <v>107</v>
      </c>
      <c r="J55" s="182">
        <v>0</v>
      </c>
      <c r="K55" s="181">
        <f t="shared" si="4"/>
        <v>131</v>
      </c>
      <c r="L55" s="182">
        <v>0</v>
      </c>
      <c r="M55" s="183">
        <f t="shared" si="5"/>
        <v>155</v>
      </c>
      <c r="N55" s="184">
        <v>0</v>
      </c>
      <c r="P55" s="178"/>
    </row>
    <row r="56" spans="1:16" ht="12" customHeight="1">
      <c r="A56" s="179">
        <v>12</v>
      </c>
      <c r="B56" s="180">
        <v>2E-3</v>
      </c>
      <c r="C56" s="181">
        <f t="shared" si="0"/>
        <v>36</v>
      </c>
      <c r="D56" s="180">
        <v>0</v>
      </c>
      <c r="E56" s="181">
        <f t="shared" si="1"/>
        <v>60</v>
      </c>
      <c r="F56" s="180">
        <v>0</v>
      </c>
      <c r="G56" s="181">
        <f t="shared" si="2"/>
        <v>84</v>
      </c>
      <c r="H56" s="182">
        <v>0</v>
      </c>
      <c r="I56" s="181">
        <f t="shared" si="3"/>
        <v>108</v>
      </c>
      <c r="J56" s="182">
        <v>0</v>
      </c>
      <c r="K56" s="181">
        <f t="shared" si="4"/>
        <v>132</v>
      </c>
      <c r="L56" s="182">
        <v>0</v>
      </c>
      <c r="M56" s="183">
        <f t="shared" si="5"/>
        <v>156</v>
      </c>
      <c r="N56" s="184">
        <v>0</v>
      </c>
      <c r="P56" s="178"/>
    </row>
    <row r="57" spans="1:16" ht="12" customHeight="1">
      <c r="A57" s="179">
        <v>13</v>
      </c>
      <c r="B57" s="180">
        <v>1E-3</v>
      </c>
      <c r="C57" s="181">
        <f t="shared" si="0"/>
        <v>37</v>
      </c>
      <c r="D57" s="180">
        <v>0</v>
      </c>
      <c r="E57" s="181">
        <f t="shared" si="1"/>
        <v>61</v>
      </c>
      <c r="F57" s="180">
        <v>0</v>
      </c>
      <c r="G57" s="181">
        <f t="shared" si="2"/>
        <v>85</v>
      </c>
      <c r="H57" s="182">
        <v>0</v>
      </c>
      <c r="I57" s="181">
        <f t="shared" si="3"/>
        <v>109</v>
      </c>
      <c r="J57" s="182">
        <v>0</v>
      </c>
      <c r="K57" s="181">
        <f t="shared" si="4"/>
        <v>133</v>
      </c>
      <c r="L57" s="182">
        <v>0</v>
      </c>
      <c r="M57" s="183">
        <f t="shared" si="5"/>
        <v>157</v>
      </c>
      <c r="N57" s="184">
        <v>0</v>
      </c>
      <c r="P57" s="178"/>
    </row>
    <row r="58" spans="1:16" ht="12" customHeight="1">
      <c r="A58" s="179">
        <v>14</v>
      </c>
      <c r="B58" s="180">
        <v>1E-3</v>
      </c>
      <c r="C58" s="181">
        <f t="shared" si="0"/>
        <v>38</v>
      </c>
      <c r="D58" s="180">
        <v>0</v>
      </c>
      <c r="E58" s="181">
        <f t="shared" si="1"/>
        <v>62</v>
      </c>
      <c r="F58" s="180">
        <v>0</v>
      </c>
      <c r="G58" s="181">
        <f t="shared" si="2"/>
        <v>86</v>
      </c>
      <c r="H58" s="182">
        <v>0</v>
      </c>
      <c r="I58" s="181">
        <f t="shared" si="3"/>
        <v>110</v>
      </c>
      <c r="J58" s="182">
        <v>0</v>
      </c>
      <c r="K58" s="181">
        <f t="shared" si="4"/>
        <v>134</v>
      </c>
      <c r="L58" s="182">
        <v>0</v>
      </c>
      <c r="M58" s="183">
        <f t="shared" si="5"/>
        <v>158</v>
      </c>
      <c r="N58" s="184">
        <v>0</v>
      </c>
      <c r="P58" s="178"/>
    </row>
    <row r="59" spans="1:16" ht="12" customHeight="1">
      <c r="A59" s="179">
        <v>15</v>
      </c>
      <c r="B59" s="180">
        <v>1E-3</v>
      </c>
      <c r="C59" s="181">
        <f t="shared" si="0"/>
        <v>39</v>
      </c>
      <c r="D59" s="180">
        <v>0</v>
      </c>
      <c r="E59" s="181">
        <f t="shared" si="1"/>
        <v>63</v>
      </c>
      <c r="F59" s="180">
        <v>0</v>
      </c>
      <c r="G59" s="181">
        <f t="shared" si="2"/>
        <v>87</v>
      </c>
      <c r="H59" s="182">
        <v>0</v>
      </c>
      <c r="I59" s="181">
        <f t="shared" si="3"/>
        <v>111</v>
      </c>
      <c r="J59" s="182">
        <v>0</v>
      </c>
      <c r="K59" s="181">
        <f t="shared" si="4"/>
        <v>135</v>
      </c>
      <c r="L59" s="182">
        <v>0</v>
      </c>
      <c r="M59" s="183">
        <f t="shared" si="5"/>
        <v>159</v>
      </c>
      <c r="N59" s="184">
        <v>0</v>
      </c>
      <c r="P59" s="178"/>
    </row>
    <row r="60" spans="1:16" ht="12" customHeight="1">
      <c r="A60" s="179">
        <v>16</v>
      </c>
      <c r="B60" s="180">
        <v>0</v>
      </c>
      <c r="C60" s="181">
        <f t="shared" si="0"/>
        <v>40</v>
      </c>
      <c r="D60" s="180">
        <v>0</v>
      </c>
      <c r="E60" s="181">
        <f t="shared" si="1"/>
        <v>64</v>
      </c>
      <c r="F60" s="180">
        <v>0</v>
      </c>
      <c r="G60" s="181">
        <f t="shared" si="2"/>
        <v>88</v>
      </c>
      <c r="H60" s="182">
        <v>0</v>
      </c>
      <c r="I60" s="181">
        <f t="shared" si="3"/>
        <v>112</v>
      </c>
      <c r="J60" s="182">
        <v>0</v>
      </c>
      <c r="K60" s="181">
        <f t="shared" si="4"/>
        <v>136</v>
      </c>
      <c r="L60" s="182">
        <v>0</v>
      </c>
      <c r="M60" s="183">
        <f t="shared" si="5"/>
        <v>160</v>
      </c>
      <c r="N60" s="184">
        <v>0</v>
      </c>
      <c r="P60" s="178"/>
    </row>
    <row r="61" spans="1:16" ht="12" customHeight="1">
      <c r="A61" s="179">
        <v>17</v>
      </c>
      <c r="B61" s="180">
        <v>0</v>
      </c>
      <c r="C61" s="181">
        <f t="shared" si="0"/>
        <v>41</v>
      </c>
      <c r="D61" s="180">
        <v>0</v>
      </c>
      <c r="E61" s="181">
        <f t="shared" si="1"/>
        <v>65</v>
      </c>
      <c r="F61" s="180">
        <v>0</v>
      </c>
      <c r="G61" s="181">
        <f t="shared" si="2"/>
        <v>89</v>
      </c>
      <c r="H61" s="182">
        <v>0</v>
      </c>
      <c r="I61" s="181">
        <f t="shared" si="3"/>
        <v>113</v>
      </c>
      <c r="J61" s="182">
        <v>0</v>
      </c>
      <c r="K61" s="181">
        <f t="shared" si="4"/>
        <v>137</v>
      </c>
      <c r="L61" s="182">
        <v>0</v>
      </c>
      <c r="M61" s="183">
        <f t="shared" si="5"/>
        <v>161</v>
      </c>
      <c r="N61" s="184">
        <v>0</v>
      </c>
      <c r="P61" s="178"/>
    </row>
    <row r="62" spans="1:16" ht="12" customHeight="1">
      <c r="A62" s="179">
        <v>18</v>
      </c>
      <c r="B62" s="180">
        <v>0</v>
      </c>
      <c r="C62" s="181">
        <f t="shared" si="0"/>
        <v>42</v>
      </c>
      <c r="D62" s="180">
        <v>0</v>
      </c>
      <c r="E62" s="181">
        <f t="shared" si="1"/>
        <v>66</v>
      </c>
      <c r="F62" s="180">
        <v>0</v>
      </c>
      <c r="G62" s="181">
        <f t="shared" si="2"/>
        <v>90</v>
      </c>
      <c r="H62" s="182">
        <v>0</v>
      </c>
      <c r="I62" s="181">
        <f t="shared" si="3"/>
        <v>114</v>
      </c>
      <c r="J62" s="182">
        <v>0</v>
      </c>
      <c r="K62" s="181">
        <f t="shared" si="4"/>
        <v>138</v>
      </c>
      <c r="L62" s="182">
        <v>0</v>
      </c>
      <c r="M62" s="183">
        <f t="shared" si="5"/>
        <v>162</v>
      </c>
      <c r="N62" s="184">
        <v>0</v>
      </c>
      <c r="P62" s="178"/>
    </row>
    <row r="63" spans="1:16" ht="12" customHeight="1">
      <c r="A63" s="179">
        <v>19</v>
      </c>
      <c r="B63" s="180">
        <v>0</v>
      </c>
      <c r="C63" s="181">
        <f t="shared" si="0"/>
        <v>43</v>
      </c>
      <c r="D63" s="180">
        <v>0</v>
      </c>
      <c r="E63" s="181">
        <f t="shared" si="1"/>
        <v>67</v>
      </c>
      <c r="F63" s="180">
        <v>0</v>
      </c>
      <c r="G63" s="181">
        <f t="shared" si="2"/>
        <v>91</v>
      </c>
      <c r="H63" s="182">
        <v>0</v>
      </c>
      <c r="I63" s="181">
        <f t="shared" si="3"/>
        <v>115</v>
      </c>
      <c r="J63" s="182">
        <v>0</v>
      </c>
      <c r="K63" s="181">
        <f t="shared" si="4"/>
        <v>139</v>
      </c>
      <c r="L63" s="182">
        <v>0</v>
      </c>
      <c r="M63" s="183">
        <f t="shared" si="5"/>
        <v>163</v>
      </c>
      <c r="N63" s="184">
        <v>0</v>
      </c>
      <c r="P63" s="178"/>
    </row>
    <row r="64" spans="1:16" ht="12" customHeight="1">
      <c r="A64" s="179">
        <v>20</v>
      </c>
      <c r="B64" s="180">
        <v>0</v>
      </c>
      <c r="C64" s="181">
        <f t="shared" si="0"/>
        <v>44</v>
      </c>
      <c r="D64" s="180">
        <v>0</v>
      </c>
      <c r="E64" s="181">
        <f t="shared" si="1"/>
        <v>68</v>
      </c>
      <c r="F64" s="180">
        <v>0</v>
      </c>
      <c r="G64" s="181">
        <f t="shared" si="2"/>
        <v>92</v>
      </c>
      <c r="H64" s="182">
        <v>0</v>
      </c>
      <c r="I64" s="181">
        <f t="shared" si="3"/>
        <v>116</v>
      </c>
      <c r="J64" s="182">
        <v>0</v>
      </c>
      <c r="K64" s="181">
        <f t="shared" si="4"/>
        <v>140</v>
      </c>
      <c r="L64" s="182">
        <v>0</v>
      </c>
      <c r="M64" s="183">
        <f t="shared" si="5"/>
        <v>164</v>
      </c>
      <c r="N64" s="184">
        <v>0</v>
      </c>
      <c r="P64" s="178"/>
    </row>
    <row r="65" spans="1:16" ht="12" customHeight="1">
      <c r="A65" s="179">
        <v>21</v>
      </c>
      <c r="B65" s="180">
        <v>0</v>
      </c>
      <c r="C65" s="181">
        <f t="shared" si="0"/>
        <v>45</v>
      </c>
      <c r="D65" s="180">
        <v>0</v>
      </c>
      <c r="E65" s="181">
        <f t="shared" si="1"/>
        <v>69</v>
      </c>
      <c r="F65" s="180">
        <v>0</v>
      </c>
      <c r="G65" s="181">
        <f t="shared" si="2"/>
        <v>93</v>
      </c>
      <c r="H65" s="182">
        <v>0</v>
      </c>
      <c r="I65" s="181">
        <f t="shared" si="3"/>
        <v>117</v>
      </c>
      <c r="J65" s="182">
        <v>0</v>
      </c>
      <c r="K65" s="181">
        <f t="shared" si="4"/>
        <v>141</v>
      </c>
      <c r="L65" s="182">
        <v>0</v>
      </c>
      <c r="M65" s="183">
        <f t="shared" si="5"/>
        <v>165</v>
      </c>
      <c r="N65" s="184">
        <v>0</v>
      </c>
      <c r="P65" s="178"/>
    </row>
    <row r="66" spans="1:16" ht="12" customHeight="1">
      <c r="A66" s="179">
        <v>22</v>
      </c>
      <c r="B66" s="180">
        <v>0</v>
      </c>
      <c r="C66" s="181">
        <f t="shared" si="0"/>
        <v>46</v>
      </c>
      <c r="D66" s="180">
        <v>0</v>
      </c>
      <c r="E66" s="181">
        <f t="shared" si="1"/>
        <v>70</v>
      </c>
      <c r="F66" s="180">
        <v>0</v>
      </c>
      <c r="G66" s="181">
        <f t="shared" si="2"/>
        <v>94</v>
      </c>
      <c r="H66" s="182">
        <v>0</v>
      </c>
      <c r="I66" s="181">
        <f t="shared" si="3"/>
        <v>118</v>
      </c>
      <c r="J66" s="182">
        <v>0</v>
      </c>
      <c r="K66" s="181">
        <f t="shared" si="4"/>
        <v>142</v>
      </c>
      <c r="L66" s="182">
        <v>0</v>
      </c>
      <c r="M66" s="183">
        <f t="shared" si="5"/>
        <v>166</v>
      </c>
      <c r="N66" s="184">
        <v>0</v>
      </c>
      <c r="P66" s="178"/>
    </row>
    <row r="67" spans="1:16" ht="12" customHeight="1">
      <c r="A67" s="186">
        <v>23</v>
      </c>
      <c r="B67" s="187">
        <v>0</v>
      </c>
      <c r="C67" s="188">
        <f t="shared" si="0"/>
        <v>47</v>
      </c>
      <c r="D67" s="187">
        <v>0</v>
      </c>
      <c r="E67" s="188">
        <f t="shared" si="1"/>
        <v>71</v>
      </c>
      <c r="F67" s="187">
        <v>0</v>
      </c>
      <c r="G67" s="188">
        <f t="shared" si="2"/>
        <v>95</v>
      </c>
      <c r="H67" s="189">
        <v>0</v>
      </c>
      <c r="I67" s="188">
        <f t="shared" si="3"/>
        <v>119</v>
      </c>
      <c r="J67" s="189">
        <v>0</v>
      </c>
      <c r="K67" s="188">
        <f t="shared" si="4"/>
        <v>143</v>
      </c>
      <c r="L67" s="189">
        <v>0</v>
      </c>
      <c r="M67" s="190">
        <f t="shared" si="5"/>
        <v>167</v>
      </c>
      <c r="N67" s="191">
        <v>0</v>
      </c>
      <c r="P67" s="178"/>
    </row>
  </sheetData>
  <phoneticPr fontId="3"/>
  <pageMargins left="1.1811023622047245" right="0.70866141732283472" top="0.59055118110236227" bottom="0.39370078740157483" header="0.31496062992125984" footer="0.11811023622047245"/>
  <pageSetup paperSize="9" scale="67" orientation="landscape" horizontalDpi="1200" verticalDpi="1200" r:id="rId1"/>
  <headerFooter scaleWithDoc="0">
    <oddFooter>&amp;C&amp;"ＭＳ Ｐゴシック,標準"&amp;9( &amp;P /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Y67"/>
  <sheetViews>
    <sheetView showGridLines="0" zoomScale="80" zoomScaleNormal="80" workbookViewId="0"/>
  </sheetViews>
  <sheetFormatPr defaultColWidth="8" defaultRowHeight="12" customHeight="1"/>
  <cols>
    <col min="1" max="1" width="8.7109375" style="73" customWidth="1"/>
    <col min="2" max="19" width="7.5703125" style="73" customWidth="1"/>
    <col min="20" max="16384" width="8" style="73"/>
  </cols>
  <sheetData>
    <row r="1" spans="1:25" s="144" customFormat="1" ht="24" customHeight="1">
      <c r="A1" s="140" t="s">
        <v>98</v>
      </c>
      <c r="B1" s="141"/>
      <c r="C1" s="141"/>
      <c r="D1" s="141"/>
      <c r="E1" s="141"/>
      <c r="F1" s="141"/>
      <c r="G1" s="141"/>
      <c r="H1" s="141"/>
      <c r="I1" s="141"/>
      <c r="J1" s="141"/>
      <c r="K1" s="141"/>
      <c r="L1" s="141"/>
      <c r="M1" s="141"/>
      <c r="N1" s="141"/>
      <c r="O1" s="141"/>
      <c r="P1" s="141"/>
      <c r="Q1" s="141"/>
      <c r="R1" s="141"/>
      <c r="S1" s="142"/>
      <c r="T1" s="142"/>
      <c r="U1" s="142"/>
      <c r="V1" s="142"/>
      <c r="W1" s="142"/>
      <c r="X1" s="142"/>
      <c r="Y1" s="143"/>
    </row>
    <row r="2" spans="1:25" ht="12" customHeight="1" thickBot="1">
      <c r="S2" s="63"/>
    </row>
    <row r="3" spans="1:25" ht="12" customHeight="1">
      <c r="A3" s="145" t="s">
        <v>67</v>
      </c>
      <c r="B3" s="145"/>
      <c r="C3" s="145"/>
      <c r="D3" s="37" t="s">
        <v>29</v>
      </c>
      <c r="E3" s="145"/>
      <c r="F3" s="145"/>
      <c r="G3" s="145"/>
      <c r="H3" s="145"/>
      <c r="I3" s="145"/>
      <c r="J3" s="145"/>
      <c r="K3" s="145"/>
      <c r="L3" s="145"/>
      <c r="M3" s="145"/>
      <c r="N3" s="145"/>
      <c r="O3" s="145"/>
      <c r="P3" s="145"/>
      <c r="Q3" s="145"/>
      <c r="R3" s="145"/>
      <c r="S3" s="146"/>
      <c r="T3" s="145"/>
      <c r="U3" s="145"/>
      <c r="V3" s="145"/>
      <c r="W3" s="145"/>
      <c r="X3" s="145"/>
      <c r="Y3" s="145"/>
    </row>
    <row r="4" spans="1:25" ht="16.5" customHeight="1">
      <c r="A4" s="147"/>
      <c r="B4" s="148">
        <v>1</v>
      </c>
      <c r="C4" s="149">
        <v>2</v>
      </c>
      <c r="D4" s="150">
        <v>3</v>
      </c>
      <c r="E4" s="149">
        <v>4</v>
      </c>
      <c r="F4" s="149">
        <v>5</v>
      </c>
      <c r="G4" s="149">
        <v>6</v>
      </c>
      <c r="H4" s="149">
        <v>7</v>
      </c>
      <c r="I4" s="149">
        <v>8</v>
      </c>
      <c r="J4" s="149">
        <v>9</v>
      </c>
      <c r="K4" s="149">
        <v>10</v>
      </c>
      <c r="L4" s="149">
        <v>11</v>
      </c>
      <c r="M4" s="149">
        <v>12</v>
      </c>
      <c r="N4" s="149">
        <v>13</v>
      </c>
      <c r="O4" s="149">
        <v>14</v>
      </c>
      <c r="P4" s="149">
        <v>15</v>
      </c>
      <c r="Q4" s="149">
        <v>16</v>
      </c>
      <c r="R4" s="149">
        <v>17</v>
      </c>
      <c r="S4" s="149">
        <v>18</v>
      </c>
      <c r="T4" s="151">
        <v>19</v>
      </c>
      <c r="U4" s="151">
        <v>20</v>
      </c>
      <c r="V4" s="151">
        <v>21</v>
      </c>
      <c r="W4" s="151">
        <v>22</v>
      </c>
      <c r="X4" s="151">
        <v>23</v>
      </c>
      <c r="Y4" s="152">
        <v>24</v>
      </c>
    </row>
    <row r="5" spans="1:25" ht="12" customHeight="1">
      <c r="A5" s="153" t="s">
        <v>82</v>
      </c>
      <c r="B5" s="154">
        <v>3.4</v>
      </c>
      <c r="C5" s="155">
        <v>3</v>
      </c>
      <c r="D5" s="155">
        <v>2.7</v>
      </c>
      <c r="E5" s="155">
        <v>2.4</v>
      </c>
      <c r="F5" s="155">
        <v>2.1</v>
      </c>
      <c r="G5" s="155">
        <v>2.1</v>
      </c>
      <c r="H5" s="155">
        <v>2.5</v>
      </c>
      <c r="I5" s="155">
        <v>3.6</v>
      </c>
      <c r="J5" s="155">
        <v>5.0999999999999996</v>
      </c>
      <c r="K5" s="155">
        <v>6.8</v>
      </c>
      <c r="L5" s="155">
        <v>8.5</v>
      </c>
      <c r="M5" s="155">
        <v>9.9</v>
      </c>
      <c r="N5" s="155">
        <v>11</v>
      </c>
      <c r="O5" s="155">
        <v>11.7</v>
      </c>
      <c r="P5" s="155">
        <v>12</v>
      </c>
      <c r="Q5" s="155">
        <v>11.7</v>
      </c>
      <c r="R5" s="155">
        <v>11</v>
      </c>
      <c r="S5" s="155">
        <v>9.8000000000000007</v>
      </c>
      <c r="T5" s="156">
        <v>8.3000000000000007</v>
      </c>
      <c r="U5" s="156">
        <v>6.9</v>
      </c>
      <c r="V5" s="156">
        <v>5.7</v>
      </c>
      <c r="W5" s="156">
        <v>4.9000000000000004</v>
      </c>
      <c r="X5" s="156">
        <v>4.3</v>
      </c>
      <c r="Y5" s="157">
        <v>3.8</v>
      </c>
    </row>
    <row r="6" spans="1:25" ht="12" customHeight="1">
      <c r="A6" s="158" t="s">
        <v>68</v>
      </c>
      <c r="B6" s="159">
        <v>3.7</v>
      </c>
      <c r="C6" s="160">
        <v>3.2</v>
      </c>
      <c r="D6" s="160">
        <v>2.8</v>
      </c>
      <c r="E6" s="160">
        <v>2.5</v>
      </c>
      <c r="F6" s="160">
        <v>2.2000000000000002</v>
      </c>
      <c r="G6" s="160">
        <v>2.2999999999999998</v>
      </c>
      <c r="H6" s="160">
        <v>3.4</v>
      </c>
      <c r="I6" s="160">
        <v>5.9</v>
      </c>
      <c r="J6" s="160">
        <v>9.4</v>
      </c>
      <c r="K6" s="160">
        <v>13.5</v>
      </c>
      <c r="L6" s="160">
        <v>17.600000000000001</v>
      </c>
      <c r="M6" s="160">
        <v>21.2</v>
      </c>
      <c r="N6" s="160">
        <v>23.8</v>
      </c>
      <c r="O6" s="160">
        <v>25.1</v>
      </c>
      <c r="P6" s="160">
        <v>25.1</v>
      </c>
      <c r="Q6" s="160">
        <v>23.5</v>
      </c>
      <c r="R6" s="160">
        <v>20.7</v>
      </c>
      <c r="S6" s="160">
        <v>17</v>
      </c>
      <c r="T6" s="161">
        <v>13.2</v>
      </c>
      <c r="U6" s="161">
        <v>9.9</v>
      </c>
      <c r="V6" s="161">
        <v>7.6</v>
      </c>
      <c r="W6" s="161">
        <v>6.1</v>
      </c>
      <c r="X6" s="161">
        <v>5</v>
      </c>
      <c r="Y6" s="162">
        <v>4.2</v>
      </c>
    </row>
    <row r="7" spans="1:25" ht="12" customHeight="1">
      <c r="A7" s="158" t="s">
        <v>69</v>
      </c>
      <c r="B7" s="192">
        <v>3.4</v>
      </c>
      <c r="C7" s="193">
        <v>3</v>
      </c>
      <c r="D7" s="193">
        <v>2.7</v>
      </c>
      <c r="E7" s="193">
        <v>2.4</v>
      </c>
      <c r="F7" s="193">
        <v>2.2000000000000002</v>
      </c>
      <c r="G7" s="193">
        <v>2.4</v>
      </c>
      <c r="H7" s="193">
        <v>3.8</v>
      </c>
      <c r="I7" s="193">
        <v>5.5</v>
      </c>
      <c r="J7" s="193">
        <v>7.1</v>
      </c>
      <c r="K7" s="193">
        <v>8.4</v>
      </c>
      <c r="L7" s="193">
        <v>9.6</v>
      </c>
      <c r="M7" s="193">
        <v>10.6</v>
      </c>
      <c r="N7" s="193">
        <v>11.4</v>
      </c>
      <c r="O7" s="193">
        <v>12</v>
      </c>
      <c r="P7" s="193">
        <v>12.1</v>
      </c>
      <c r="Q7" s="193">
        <v>11.8</v>
      </c>
      <c r="R7" s="193">
        <v>11.1</v>
      </c>
      <c r="S7" s="193">
        <v>9.8000000000000007</v>
      </c>
      <c r="T7" s="194">
        <v>8.3000000000000007</v>
      </c>
      <c r="U7" s="194">
        <v>6.9</v>
      </c>
      <c r="V7" s="194">
        <v>5.7</v>
      </c>
      <c r="W7" s="194">
        <v>4.9000000000000004</v>
      </c>
      <c r="X7" s="194">
        <v>4.2</v>
      </c>
      <c r="Y7" s="195">
        <v>3.7</v>
      </c>
    </row>
    <row r="8" spans="1:25" ht="12" customHeight="1">
      <c r="A8" s="158" t="s">
        <v>70</v>
      </c>
      <c r="B8" s="192">
        <v>3.4</v>
      </c>
      <c r="C8" s="193">
        <v>3</v>
      </c>
      <c r="D8" s="193">
        <v>2.7</v>
      </c>
      <c r="E8" s="193">
        <v>2.4</v>
      </c>
      <c r="F8" s="193">
        <v>2.2000000000000002</v>
      </c>
      <c r="G8" s="193">
        <v>2.6</v>
      </c>
      <c r="H8" s="193">
        <v>4.8</v>
      </c>
      <c r="I8" s="193">
        <v>7.6</v>
      </c>
      <c r="J8" s="193">
        <v>10.3</v>
      </c>
      <c r="K8" s="193">
        <v>12.4</v>
      </c>
      <c r="L8" s="193">
        <v>13.5</v>
      </c>
      <c r="M8" s="193">
        <v>13.4</v>
      </c>
      <c r="N8" s="193">
        <v>13.2</v>
      </c>
      <c r="O8" s="193">
        <v>13.1</v>
      </c>
      <c r="P8" s="193">
        <v>12.8</v>
      </c>
      <c r="Q8" s="193">
        <v>12.3</v>
      </c>
      <c r="R8" s="193">
        <v>11.3</v>
      </c>
      <c r="S8" s="193">
        <v>10</v>
      </c>
      <c r="T8" s="194">
        <v>8.4</v>
      </c>
      <c r="U8" s="194">
        <v>6.9</v>
      </c>
      <c r="V8" s="194">
        <v>5.8</v>
      </c>
      <c r="W8" s="194">
        <v>4.9000000000000004</v>
      </c>
      <c r="X8" s="194">
        <v>4.2</v>
      </c>
      <c r="Y8" s="195">
        <v>3.7</v>
      </c>
    </row>
    <row r="9" spans="1:25" ht="12" customHeight="1">
      <c r="A9" s="158" t="s">
        <v>71</v>
      </c>
      <c r="B9" s="192">
        <v>3.4</v>
      </c>
      <c r="C9" s="193">
        <v>3</v>
      </c>
      <c r="D9" s="193">
        <v>2.7</v>
      </c>
      <c r="E9" s="193">
        <v>2.4</v>
      </c>
      <c r="F9" s="193">
        <v>2.2000000000000002</v>
      </c>
      <c r="G9" s="193">
        <v>2.5</v>
      </c>
      <c r="H9" s="193">
        <v>4.5</v>
      </c>
      <c r="I9" s="193">
        <v>7.3</v>
      </c>
      <c r="J9" s="193">
        <v>10.5</v>
      </c>
      <c r="K9" s="193">
        <v>13.2</v>
      </c>
      <c r="L9" s="193">
        <v>15</v>
      </c>
      <c r="M9" s="193">
        <v>15.5</v>
      </c>
      <c r="N9" s="193">
        <v>14.9</v>
      </c>
      <c r="O9" s="193">
        <v>14.2</v>
      </c>
      <c r="P9" s="193">
        <v>13.5</v>
      </c>
      <c r="Q9" s="193">
        <v>12.7</v>
      </c>
      <c r="R9" s="193">
        <v>11.6</v>
      </c>
      <c r="S9" s="193">
        <v>10.199999999999999</v>
      </c>
      <c r="T9" s="194">
        <v>8.5</v>
      </c>
      <c r="U9" s="194">
        <v>7</v>
      </c>
      <c r="V9" s="194">
        <v>5.8</v>
      </c>
      <c r="W9" s="194">
        <v>4.9000000000000004</v>
      </c>
      <c r="X9" s="194">
        <v>4.3</v>
      </c>
      <c r="Y9" s="195">
        <v>3.8</v>
      </c>
    </row>
    <row r="10" spans="1:25" ht="12" customHeight="1">
      <c r="A10" s="158" t="s">
        <v>72</v>
      </c>
      <c r="B10" s="192">
        <v>3.4</v>
      </c>
      <c r="C10" s="193">
        <v>3</v>
      </c>
      <c r="D10" s="193">
        <v>2.7</v>
      </c>
      <c r="E10" s="193">
        <v>2.4</v>
      </c>
      <c r="F10" s="193">
        <v>2.1</v>
      </c>
      <c r="G10" s="193">
        <v>2.2000000000000002</v>
      </c>
      <c r="H10" s="193">
        <v>3.1</v>
      </c>
      <c r="I10" s="193">
        <v>4.9000000000000004</v>
      </c>
      <c r="J10" s="193">
        <v>7.5</v>
      </c>
      <c r="K10" s="193">
        <v>10.3</v>
      </c>
      <c r="L10" s="193">
        <v>12.8</v>
      </c>
      <c r="M10" s="193">
        <v>14.5</v>
      </c>
      <c r="N10" s="193">
        <v>15.3</v>
      </c>
      <c r="O10" s="193">
        <v>15.1</v>
      </c>
      <c r="P10" s="193">
        <v>14.2</v>
      </c>
      <c r="Q10" s="193">
        <v>13.1</v>
      </c>
      <c r="R10" s="193">
        <v>11.8</v>
      </c>
      <c r="S10" s="193">
        <v>10.3</v>
      </c>
      <c r="T10" s="194">
        <v>8.6</v>
      </c>
      <c r="U10" s="194">
        <v>7.1</v>
      </c>
      <c r="V10" s="194">
        <v>5.8</v>
      </c>
      <c r="W10" s="194">
        <v>4.9000000000000004</v>
      </c>
      <c r="X10" s="194">
        <v>4.3</v>
      </c>
      <c r="Y10" s="195">
        <v>3.8</v>
      </c>
    </row>
    <row r="11" spans="1:25" ht="12" customHeight="1">
      <c r="A11" s="158" t="s">
        <v>73</v>
      </c>
      <c r="B11" s="192">
        <v>3.5</v>
      </c>
      <c r="C11" s="193">
        <v>3.1</v>
      </c>
      <c r="D11" s="193">
        <v>2.7</v>
      </c>
      <c r="E11" s="193">
        <v>2.4</v>
      </c>
      <c r="F11" s="193">
        <v>2.1</v>
      </c>
      <c r="G11" s="193">
        <v>2.1</v>
      </c>
      <c r="H11" s="193">
        <v>2.5</v>
      </c>
      <c r="I11" s="193">
        <v>3.6</v>
      </c>
      <c r="J11" s="193">
        <v>5.0999999999999996</v>
      </c>
      <c r="K11" s="193">
        <v>6.9</v>
      </c>
      <c r="L11" s="193">
        <v>9.1</v>
      </c>
      <c r="M11" s="193">
        <v>11.5</v>
      </c>
      <c r="N11" s="193">
        <v>13.7</v>
      </c>
      <c r="O11" s="193">
        <v>15.5</v>
      </c>
      <c r="P11" s="193">
        <v>16.3</v>
      </c>
      <c r="Q11" s="193">
        <v>16</v>
      </c>
      <c r="R11" s="193">
        <v>14.7</v>
      </c>
      <c r="S11" s="193">
        <v>12.6</v>
      </c>
      <c r="T11" s="194">
        <v>10.199999999999999</v>
      </c>
      <c r="U11" s="194">
        <v>8</v>
      </c>
      <c r="V11" s="194">
        <v>6.4</v>
      </c>
      <c r="W11" s="194">
        <v>5.3</v>
      </c>
      <c r="X11" s="194">
        <v>4.5</v>
      </c>
      <c r="Y11" s="195">
        <v>3.9</v>
      </c>
    </row>
    <row r="12" spans="1:25" ht="12" customHeight="1">
      <c r="A12" s="158" t="s">
        <v>74</v>
      </c>
      <c r="B12" s="192">
        <v>3.6</v>
      </c>
      <c r="C12" s="193">
        <v>3.2</v>
      </c>
      <c r="D12" s="193">
        <v>2.8</v>
      </c>
      <c r="E12" s="193">
        <v>2.4</v>
      </c>
      <c r="F12" s="193">
        <v>2.2000000000000002</v>
      </c>
      <c r="G12" s="193">
        <v>2.1</v>
      </c>
      <c r="H12" s="193">
        <v>2.5</v>
      </c>
      <c r="I12" s="193">
        <v>3.6</v>
      </c>
      <c r="J12" s="193">
        <v>5.0999999999999996</v>
      </c>
      <c r="K12" s="193">
        <v>6.8</v>
      </c>
      <c r="L12" s="193">
        <v>8.5</v>
      </c>
      <c r="M12" s="193">
        <v>10.1</v>
      </c>
      <c r="N12" s="193">
        <v>12.2</v>
      </c>
      <c r="O12" s="193">
        <v>14.7</v>
      </c>
      <c r="P12" s="193">
        <v>16.8</v>
      </c>
      <c r="Q12" s="193">
        <v>17.899999999999999</v>
      </c>
      <c r="R12" s="193">
        <v>17.600000000000001</v>
      </c>
      <c r="S12" s="193">
        <v>15.8</v>
      </c>
      <c r="T12" s="194">
        <v>12.7</v>
      </c>
      <c r="U12" s="194">
        <v>9.6999999999999993</v>
      </c>
      <c r="V12" s="194">
        <v>7.5</v>
      </c>
      <c r="W12" s="194">
        <v>6</v>
      </c>
      <c r="X12" s="194">
        <v>4.9000000000000004</v>
      </c>
      <c r="Y12" s="195">
        <v>4.0999999999999996</v>
      </c>
    </row>
    <row r="13" spans="1:25" ht="12" customHeight="1">
      <c r="A13" s="158" t="s">
        <v>75</v>
      </c>
      <c r="B13" s="192">
        <v>3.6</v>
      </c>
      <c r="C13" s="193">
        <v>3.2</v>
      </c>
      <c r="D13" s="193">
        <v>2.8</v>
      </c>
      <c r="E13" s="193">
        <v>2.4</v>
      </c>
      <c r="F13" s="193">
        <v>2.2000000000000002</v>
      </c>
      <c r="G13" s="193">
        <v>2.1</v>
      </c>
      <c r="H13" s="193">
        <v>2.5</v>
      </c>
      <c r="I13" s="193">
        <v>3.6</v>
      </c>
      <c r="J13" s="193">
        <v>5.0999999999999996</v>
      </c>
      <c r="K13" s="193">
        <v>6.8</v>
      </c>
      <c r="L13" s="193">
        <v>8.5</v>
      </c>
      <c r="M13" s="193">
        <v>9.9</v>
      </c>
      <c r="N13" s="193">
        <v>11.2</v>
      </c>
      <c r="O13" s="193">
        <v>13</v>
      </c>
      <c r="P13" s="193">
        <v>15</v>
      </c>
      <c r="Q13" s="193">
        <v>16.5</v>
      </c>
      <c r="R13" s="193">
        <v>16.8</v>
      </c>
      <c r="S13" s="193">
        <v>15.6</v>
      </c>
      <c r="T13" s="194">
        <v>12.7</v>
      </c>
      <c r="U13" s="194">
        <v>9.6999999999999993</v>
      </c>
      <c r="V13" s="194">
        <v>7.5</v>
      </c>
      <c r="W13" s="194">
        <v>6</v>
      </c>
      <c r="X13" s="194">
        <v>4.9000000000000004</v>
      </c>
      <c r="Y13" s="195">
        <v>4.2</v>
      </c>
    </row>
    <row r="14" spans="1:25" ht="12" customHeight="1">
      <c r="A14" s="163" t="s">
        <v>76</v>
      </c>
      <c r="B14" s="196">
        <v>3.5</v>
      </c>
      <c r="C14" s="197">
        <v>3.1</v>
      </c>
      <c r="D14" s="197">
        <v>2.7</v>
      </c>
      <c r="E14" s="197">
        <v>2.4</v>
      </c>
      <c r="F14" s="197">
        <v>2.2000000000000002</v>
      </c>
      <c r="G14" s="197">
        <v>2.1</v>
      </c>
      <c r="H14" s="197">
        <v>2.5</v>
      </c>
      <c r="I14" s="197">
        <v>3.6</v>
      </c>
      <c r="J14" s="197">
        <v>5.0999999999999996</v>
      </c>
      <c r="K14" s="197">
        <v>6.8</v>
      </c>
      <c r="L14" s="197">
        <v>8.5</v>
      </c>
      <c r="M14" s="197">
        <v>9.9</v>
      </c>
      <c r="N14" s="197">
        <v>11</v>
      </c>
      <c r="O14" s="197">
        <v>11.7</v>
      </c>
      <c r="P14" s="197">
        <v>12.3</v>
      </c>
      <c r="Q14" s="197">
        <v>12.8</v>
      </c>
      <c r="R14" s="197">
        <v>12.9</v>
      </c>
      <c r="S14" s="197">
        <v>12.2</v>
      </c>
      <c r="T14" s="198">
        <v>10.3</v>
      </c>
      <c r="U14" s="198">
        <v>8.1999999999999993</v>
      </c>
      <c r="V14" s="198">
        <v>6.5</v>
      </c>
      <c r="W14" s="198">
        <v>5.4</v>
      </c>
      <c r="X14" s="198">
        <v>4.5</v>
      </c>
      <c r="Y14" s="199">
        <v>3.9</v>
      </c>
    </row>
    <row r="15" spans="1:25" ht="12" customHeight="1" thickBot="1"/>
    <row r="16" spans="1:25" ht="12" customHeight="1">
      <c r="A16" s="145" t="s">
        <v>67</v>
      </c>
      <c r="B16" s="145"/>
      <c r="C16" s="145"/>
      <c r="D16" s="38" t="s">
        <v>18</v>
      </c>
      <c r="E16" s="145"/>
      <c r="F16" s="145"/>
      <c r="G16" s="145"/>
      <c r="H16" s="145"/>
      <c r="I16" s="145"/>
      <c r="J16" s="145"/>
      <c r="K16" s="145"/>
      <c r="L16" s="145"/>
      <c r="M16" s="145"/>
      <c r="N16" s="145"/>
      <c r="O16" s="145"/>
      <c r="P16" s="145"/>
      <c r="Q16" s="145"/>
      <c r="R16" s="145"/>
      <c r="S16" s="146"/>
      <c r="T16" s="145"/>
      <c r="U16" s="145"/>
      <c r="V16" s="145"/>
      <c r="W16" s="145"/>
      <c r="X16" s="145"/>
      <c r="Y16" s="145"/>
    </row>
    <row r="17" spans="1:25" ht="16.5" customHeight="1">
      <c r="A17" s="147"/>
      <c r="B17" s="148">
        <v>1</v>
      </c>
      <c r="C17" s="149">
        <v>2</v>
      </c>
      <c r="D17" s="150">
        <v>3</v>
      </c>
      <c r="E17" s="149">
        <v>4</v>
      </c>
      <c r="F17" s="149">
        <v>5</v>
      </c>
      <c r="G17" s="149">
        <v>6</v>
      </c>
      <c r="H17" s="149">
        <v>7</v>
      </c>
      <c r="I17" s="149">
        <v>8</v>
      </c>
      <c r="J17" s="149">
        <v>9</v>
      </c>
      <c r="K17" s="149">
        <v>10</v>
      </c>
      <c r="L17" s="149">
        <v>11</v>
      </c>
      <c r="M17" s="149">
        <v>12</v>
      </c>
      <c r="N17" s="149">
        <v>13</v>
      </c>
      <c r="O17" s="149">
        <v>14</v>
      </c>
      <c r="P17" s="149">
        <v>15</v>
      </c>
      <c r="Q17" s="149">
        <v>16</v>
      </c>
      <c r="R17" s="149">
        <v>17</v>
      </c>
      <c r="S17" s="149">
        <v>18</v>
      </c>
      <c r="T17" s="151">
        <v>19</v>
      </c>
      <c r="U17" s="151">
        <v>20</v>
      </c>
      <c r="V17" s="151">
        <v>21</v>
      </c>
      <c r="W17" s="151">
        <v>22</v>
      </c>
      <c r="X17" s="151">
        <v>23</v>
      </c>
      <c r="Y17" s="152">
        <v>24</v>
      </c>
    </row>
    <row r="18" spans="1:25" ht="12" customHeight="1">
      <c r="A18" s="153" t="s">
        <v>96</v>
      </c>
      <c r="B18" s="154">
        <v>2.7</v>
      </c>
      <c r="C18" s="155">
        <v>2.2999999999999998</v>
      </c>
      <c r="D18" s="155">
        <v>2</v>
      </c>
      <c r="E18" s="155">
        <v>1.8</v>
      </c>
      <c r="F18" s="155">
        <v>1.5</v>
      </c>
      <c r="G18" s="155">
        <v>1.5</v>
      </c>
      <c r="H18" s="155">
        <v>2</v>
      </c>
      <c r="I18" s="155">
        <v>3</v>
      </c>
      <c r="J18" s="155">
        <v>4.5999999999999996</v>
      </c>
      <c r="K18" s="155">
        <v>6.2</v>
      </c>
      <c r="L18" s="155">
        <v>7.7</v>
      </c>
      <c r="M18" s="155">
        <v>9</v>
      </c>
      <c r="N18" s="155">
        <v>9.9</v>
      </c>
      <c r="O18" s="155">
        <v>10.6</v>
      </c>
      <c r="P18" s="155">
        <v>10.9</v>
      </c>
      <c r="Q18" s="155">
        <v>10.7</v>
      </c>
      <c r="R18" s="155">
        <v>10.199999999999999</v>
      </c>
      <c r="S18" s="155">
        <v>9.3000000000000007</v>
      </c>
      <c r="T18" s="156">
        <v>8</v>
      </c>
      <c r="U18" s="156">
        <v>6.5</v>
      </c>
      <c r="V18" s="156">
        <v>5.3</v>
      </c>
      <c r="W18" s="156">
        <v>4.3</v>
      </c>
      <c r="X18" s="156">
        <v>3.6</v>
      </c>
      <c r="Y18" s="157">
        <v>3.1</v>
      </c>
    </row>
    <row r="19" spans="1:25" ht="12" customHeight="1">
      <c r="A19" s="158" t="s">
        <v>68</v>
      </c>
      <c r="B19" s="159">
        <v>3.1</v>
      </c>
      <c r="C19" s="160">
        <v>2.6</v>
      </c>
      <c r="D19" s="160">
        <v>2.2000000000000002</v>
      </c>
      <c r="E19" s="160">
        <v>1.9</v>
      </c>
      <c r="F19" s="160">
        <v>1.6</v>
      </c>
      <c r="G19" s="160">
        <v>1.8</v>
      </c>
      <c r="H19" s="160">
        <v>3.5</v>
      </c>
      <c r="I19" s="160">
        <v>6.8</v>
      </c>
      <c r="J19" s="160">
        <v>11.4</v>
      </c>
      <c r="K19" s="160">
        <v>16.3</v>
      </c>
      <c r="L19" s="160">
        <v>21.1</v>
      </c>
      <c r="M19" s="160">
        <v>25.1</v>
      </c>
      <c r="N19" s="160">
        <v>27.9</v>
      </c>
      <c r="O19" s="160">
        <v>29.3</v>
      </c>
      <c r="P19" s="160">
        <v>29</v>
      </c>
      <c r="Q19" s="160">
        <v>27.2</v>
      </c>
      <c r="R19" s="160">
        <v>24.1</v>
      </c>
      <c r="S19" s="160">
        <v>20</v>
      </c>
      <c r="T19" s="161">
        <v>15.3</v>
      </c>
      <c r="U19" s="161">
        <v>11.2</v>
      </c>
      <c r="V19" s="161">
        <v>8.1999999999999993</v>
      </c>
      <c r="W19" s="161">
        <v>6.1</v>
      </c>
      <c r="X19" s="161">
        <v>4.7</v>
      </c>
      <c r="Y19" s="162">
        <v>3.8</v>
      </c>
    </row>
    <row r="20" spans="1:25" ht="12" customHeight="1">
      <c r="A20" s="158" t="s">
        <v>69</v>
      </c>
      <c r="B20" s="192">
        <v>2.7</v>
      </c>
      <c r="C20" s="193">
        <v>2.2999999999999998</v>
      </c>
      <c r="D20" s="193">
        <v>2</v>
      </c>
      <c r="E20" s="193">
        <v>1.7</v>
      </c>
      <c r="F20" s="193">
        <v>1.6</v>
      </c>
      <c r="G20" s="193">
        <v>2.5</v>
      </c>
      <c r="H20" s="193">
        <v>4.9000000000000004</v>
      </c>
      <c r="I20" s="193">
        <v>7.4</v>
      </c>
      <c r="J20" s="193">
        <v>8.9</v>
      </c>
      <c r="K20" s="193">
        <v>9.6</v>
      </c>
      <c r="L20" s="193">
        <v>9.9</v>
      </c>
      <c r="M20" s="193">
        <v>10.4</v>
      </c>
      <c r="N20" s="193">
        <v>10.8</v>
      </c>
      <c r="O20" s="193">
        <v>11.2</v>
      </c>
      <c r="P20" s="193">
        <v>11.2</v>
      </c>
      <c r="Q20" s="193">
        <v>11</v>
      </c>
      <c r="R20" s="193">
        <v>10.3</v>
      </c>
      <c r="S20" s="193">
        <v>9.4</v>
      </c>
      <c r="T20" s="194">
        <v>8</v>
      </c>
      <c r="U20" s="194">
        <v>6.5</v>
      </c>
      <c r="V20" s="194">
        <v>5.3</v>
      </c>
      <c r="W20" s="194">
        <v>4.3</v>
      </c>
      <c r="X20" s="194">
        <v>3.6</v>
      </c>
      <c r="Y20" s="195">
        <v>3.1</v>
      </c>
    </row>
    <row r="21" spans="1:25" ht="12" customHeight="1">
      <c r="A21" s="158" t="s">
        <v>70</v>
      </c>
      <c r="B21" s="192">
        <v>2.7</v>
      </c>
      <c r="C21" s="193">
        <v>2.2999999999999998</v>
      </c>
      <c r="D21" s="193">
        <v>2</v>
      </c>
      <c r="E21" s="193">
        <v>1.7</v>
      </c>
      <c r="F21" s="193">
        <v>1.7</v>
      </c>
      <c r="G21" s="193">
        <v>3.1</v>
      </c>
      <c r="H21" s="193">
        <v>7.4</v>
      </c>
      <c r="I21" s="193">
        <v>12</v>
      </c>
      <c r="J21" s="193">
        <v>15.5</v>
      </c>
      <c r="K21" s="193">
        <v>17.100000000000001</v>
      </c>
      <c r="L21" s="193">
        <v>17</v>
      </c>
      <c r="M21" s="193">
        <v>15.4</v>
      </c>
      <c r="N21" s="193">
        <v>14</v>
      </c>
      <c r="O21" s="193">
        <v>13.2</v>
      </c>
      <c r="P21" s="193">
        <v>12.5</v>
      </c>
      <c r="Q21" s="193">
        <v>11.7</v>
      </c>
      <c r="R21" s="193">
        <v>10.8</v>
      </c>
      <c r="S21" s="193">
        <v>9.6999999999999993</v>
      </c>
      <c r="T21" s="194">
        <v>8.1999999999999993</v>
      </c>
      <c r="U21" s="194">
        <v>6.6</v>
      </c>
      <c r="V21" s="194">
        <v>5.3</v>
      </c>
      <c r="W21" s="194">
        <v>4.3</v>
      </c>
      <c r="X21" s="194">
        <v>3.6</v>
      </c>
      <c r="Y21" s="195">
        <v>3.1</v>
      </c>
    </row>
    <row r="22" spans="1:25" ht="12" customHeight="1">
      <c r="A22" s="158" t="s">
        <v>71</v>
      </c>
      <c r="B22" s="192">
        <v>2.7</v>
      </c>
      <c r="C22" s="193">
        <v>2.2999999999999998</v>
      </c>
      <c r="D22" s="193">
        <v>2</v>
      </c>
      <c r="E22" s="193">
        <v>1.7</v>
      </c>
      <c r="F22" s="193">
        <v>1.6</v>
      </c>
      <c r="G22" s="193">
        <v>2.8</v>
      </c>
      <c r="H22" s="193">
        <v>6.6</v>
      </c>
      <c r="I22" s="193">
        <v>11.4</v>
      </c>
      <c r="J22" s="193">
        <v>15.6</v>
      </c>
      <c r="K22" s="193">
        <v>18.5</v>
      </c>
      <c r="L22" s="193">
        <v>19.5</v>
      </c>
      <c r="M22" s="193">
        <v>18.8</v>
      </c>
      <c r="N22" s="193">
        <v>16.8</v>
      </c>
      <c r="O22" s="193">
        <v>14.9</v>
      </c>
      <c r="P22" s="193">
        <v>13.6</v>
      </c>
      <c r="Q22" s="193">
        <v>12.4</v>
      </c>
      <c r="R22" s="193">
        <v>11.2</v>
      </c>
      <c r="S22" s="193">
        <v>9.9</v>
      </c>
      <c r="T22" s="194">
        <v>8.4</v>
      </c>
      <c r="U22" s="194">
        <v>6.7</v>
      </c>
      <c r="V22" s="194">
        <v>5.4</v>
      </c>
      <c r="W22" s="194">
        <v>4.4000000000000004</v>
      </c>
      <c r="X22" s="194">
        <v>3.6</v>
      </c>
      <c r="Y22" s="195">
        <v>3.1</v>
      </c>
    </row>
    <row r="23" spans="1:25" ht="12" customHeight="1">
      <c r="A23" s="158" t="s">
        <v>72</v>
      </c>
      <c r="B23" s="192">
        <v>2.7</v>
      </c>
      <c r="C23" s="193">
        <v>2.2999999999999998</v>
      </c>
      <c r="D23" s="193">
        <v>2</v>
      </c>
      <c r="E23" s="193">
        <v>1.7</v>
      </c>
      <c r="F23" s="193">
        <v>1.5</v>
      </c>
      <c r="G23" s="193">
        <v>1.7</v>
      </c>
      <c r="H23" s="193">
        <v>3.2</v>
      </c>
      <c r="I23" s="193">
        <v>5.9</v>
      </c>
      <c r="J23" s="193">
        <v>9.3000000000000007</v>
      </c>
      <c r="K23" s="193">
        <v>12.6</v>
      </c>
      <c r="L23" s="193">
        <v>15.2</v>
      </c>
      <c r="M23" s="193">
        <v>16.7</v>
      </c>
      <c r="N23" s="193">
        <v>17</v>
      </c>
      <c r="O23" s="193">
        <v>16.100000000000001</v>
      </c>
      <c r="P23" s="193">
        <v>14.5</v>
      </c>
      <c r="Q23" s="193">
        <v>13</v>
      </c>
      <c r="R23" s="193">
        <v>11.6</v>
      </c>
      <c r="S23" s="193">
        <v>10.1</v>
      </c>
      <c r="T23" s="194">
        <v>8.5</v>
      </c>
      <c r="U23" s="194">
        <v>6.8</v>
      </c>
      <c r="V23" s="194">
        <v>5.4</v>
      </c>
      <c r="W23" s="194">
        <v>4.4000000000000004</v>
      </c>
      <c r="X23" s="194">
        <v>3.6</v>
      </c>
      <c r="Y23" s="195">
        <v>3.1</v>
      </c>
    </row>
    <row r="24" spans="1:25" ht="12" customHeight="1">
      <c r="A24" s="158" t="s">
        <v>73</v>
      </c>
      <c r="B24" s="192">
        <v>2.9</v>
      </c>
      <c r="C24" s="193">
        <v>2.4</v>
      </c>
      <c r="D24" s="193">
        <v>2.1</v>
      </c>
      <c r="E24" s="193">
        <v>1.8</v>
      </c>
      <c r="F24" s="193">
        <v>1.5</v>
      </c>
      <c r="G24" s="193">
        <v>1.5</v>
      </c>
      <c r="H24" s="193">
        <v>2</v>
      </c>
      <c r="I24" s="193">
        <v>3.1</v>
      </c>
      <c r="J24" s="193">
        <v>4.5999999999999996</v>
      </c>
      <c r="K24" s="193">
        <v>6.4</v>
      </c>
      <c r="L24" s="193">
        <v>8.6999999999999993</v>
      </c>
      <c r="M24" s="193">
        <v>11.5</v>
      </c>
      <c r="N24" s="193">
        <v>14.2</v>
      </c>
      <c r="O24" s="193">
        <v>16.5</v>
      </c>
      <c r="P24" s="193">
        <v>17.7</v>
      </c>
      <c r="Q24" s="193">
        <v>17.8</v>
      </c>
      <c r="R24" s="193">
        <v>16.600000000000001</v>
      </c>
      <c r="S24" s="193">
        <v>14.4</v>
      </c>
      <c r="T24" s="194">
        <v>11.4</v>
      </c>
      <c r="U24" s="194">
        <v>8.6999999999999993</v>
      </c>
      <c r="V24" s="194">
        <v>6.6</v>
      </c>
      <c r="W24" s="194">
        <v>5.0999999999999996</v>
      </c>
      <c r="X24" s="194">
        <v>4.0999999999999996</v>
      </c>
      <c r="Y24" s="195">
        <v>3.4</v>
      </c>
    </row>
    <row r="25" spans="1:25" ht="12" customHeight="1">
      <c r="A25" s="158" t="s">
        <v>74</v>
      </c>
      <c r="B25" s="192">
        <v>3.2</v>
      </c>
      <c r="C25" s="193">
        <v>2.7</v>
      </c>
      <c r="D25" s="193">
        <v>2.2000000000000002</v>
      </c>
      <c r="E25" s="193">
        <v>1.9</v>
      </c>
      <c r="F25" s="193">
        <v>1.6</v>
      </c>
      <c r="G25" s="193">
        <v>1.5</v>
      </c>
      <c r="H25" s="193">
        <v>2</v>
      </c>
      <c r="I25" s="193">
        <v>3.1</v>
      </c>
      <c r="J25" s="193">
        <v>4.5999999999999996</v>
      </c>
      <c r="K25" s="193">
        <v>6.2</v>
      </c>
      <c r="L25" s="193">
        <v>7.7</v>
      </c>
      <c r="M25" s="193">
        <v>9.3000000000000007</v>
      </c>
      <c r="N25" s="193">
        <v>11.9</v>
      </c>
      <c r="O25" s="193">
        <v>15.3</v>
      </c>
      <c r="P25" s="193">
        <v>18.600000000000001</v>
      </c>
      <c r="Q25" s="193">
        <v>21</v>
      </c>
      <c r="R25" s="193">
        <v>22</v>
      </c>
      <c r="S25" s="193">
        <v>21.1</v>
      </c>
      <c r="T25" s="194">
        <v>17.600000000000001</v>
      </c>
      <c r="U25" s="194">
        <v>12.8</v>
      </c>
      <c r="V25" s="194">
        <v>9.1999999999999993</v>
      </c>
      <c r="W25" s="194">
        <v>6.7</v>
      </c>
      <c r="X25" s="194">
        <v>5.0999999999999996</v>
      </c>
      <c r="Y25" s="195">
        <v>4</v>
      </c>
    </row>
    <row r="26" spans="1:25" ht="12" customHeight="1">
      <c r="A26" s="158" t="s">
        <v>75</v>
      </c>
      <c r="B26" s="192">
        <v>3.3</v>
      </c>
      <c r="C26" s="193">
        <v>2.7</v>
      </c>
      <c r="D26" s="193">
        <v>2.2000000000000002</v>
      </c>
      <c r="E26" s="193">
        <v>1.9</v>
      </c>
      <c r="F26" s="193">
        <v>1.6</v>
      </c>
      <c r="G26" s="193">
        <v>1.5</v>
      </c>
      <c r="H26" s="193">
        <v>2</v>
      </c>
      <c r="I26" s="193">
        <v>3.1</v>
      </c>
      <c r="J26" s="193">
        <v>4.5999999999999996</v>
      </c>
      <c r="K26" s="193">
        <v>6.2</v>
      </c>
      <c r="L26" s="193">
        <v>7.7</v>
      </c>
      <c r="M26" s="193">
        <v>9</v>
      </c>
      <c r="N26" s="193">
        <v>10.3</v>
      </c>
      <c r="O26" s="193">
        <v>12.6</v>
      </c>
      <c r="P26" s="193">
        <v>15.8</v>
      </c>
      <c r="Q26" s="193">
        <v>18.8</v>
      </c>
      <c r="R26" s="193">
        <v>20.8</v>
      </c>
      <c r="S26" s="193">
        <v>21.1</v>
      </c>
      <c r="T26" s="194">
        <v>18.2</v>
      </c>
      <c r="U26" s="194">
        <v>13.3</v>
      </c>
      <c r="V26" s="194">
        <v>9.5</v>
      </c>
      <c r="W26" s="194">
        <v>6.9</v>
      </c>
      <c r="X26" s="194">
        <v>5.2</v>
      </c>
      <c r="Y26" s="195">
        <v>4.0999999999999996</v>
      </c>
    </row>
    <row r="27" spans="1:25" ht="12" customHeight="1">
      <c r="A27" s="163" t="s">
        <v>76</v>
      </c>
      <c r="B27" s="196">
        <v>3</v>
      </c>
      <c r="C27" s="197">
        <v>2.5</v>
      </c>
      <c r="D27" s="197">
        <v>2.1</v>
      </c>
      <c r="E27" s="197">
        <v>1.8</v>
      </c>
      <c r="F27" s="197">
        <v>1.6</v>
      </c>
      <c r="G27" s="197">
        <v>1.5</v>
      </c>
      <c r="H27" s="197">
        <v>2</v>
      </c>
      <c r="I27" s="197">
        <v>3.1</v>
      </c>
      <c r="J27" s="197">
        <v>4.5999999999999996</v>
      </c>
      <c r="K27" s="197">
        <v>6.2</v>
      </c>
      <c r="L27" s="197">
        <v>7.7</v>
      </c>
      <c r="M27" s="197">
        <v>9</v>
      </c>
      <c r="N27" s="197">
        <v>10</v>
      </c>
      <c r="O27" s="197">
        <v>10.7</v>
      </c>
      <c r="P27" s="197">
        <v>11.4</v>
      </c>
      <c r="Q27" s="197">
        <v>12.6</v>
      </c>
      <c r="R27" s="197">
        <v>13.9</v>
      </c>
      <c r="S27" s="197">
        <v>14.5</v>
      </c>
      <c r="T27" s="198">
        <v>13.1</v>
      </c>
      <c r="U27" s="198">
        <v>10</v>
      </c>
      <c r="V27" s="198">
        <v>7.4</v>
      </c>
      <c r="W27" s="198">
        <v>5.6</v>
      </c>
      <c r="X27" s="198">
        <v>4.4000000000000004</v>
      </c>
      <c r="Y27" s="199">
        <v>3.6</v>
      </c>
    </row>
    <row r="28" spans="1:25" ht="12" customHeight="1" thickBot="1"/>
    <row r="29" spans="1:25" ht="12" customHeight="1">
      <c r="A29" s="145" t="s">
        <v>67</v>
      </c>
      <c r="B29" s="145"/>
      <c r="C29" s="145"/>
      <c r="D29" s="39" t="s">
        <v>34</v>
      </c>
      <c r="E29" s="145"/>
      <c r="F29" s="145"/>
      <c r="G29" s="145"/>
      <c r="H29" s="145"/>
      <c r="I29" s="145"/>
      <c r="J29" s="145"/>
      <c r="K29" s="145"/>
      <c r="L29" s="145"/>
      <c r="M29" s="145"/>
      <c r="N29" s="145"/>
      <c r="O29" s="145"/>
      <c r="P29" s="145"/>
      <c r="Q29" s="145"/>
      <c r="R29" s="145"/>
      <c r="S29" s="146"/>
      <c r="T29" s="145"/>
      <c r="U29" s="145"/>
      <c r="V29" s="145"/>
      <c r="W29" s="145"/>
      <c r="X29" s="145"/>
      <c r="Y29" s="145"/>
    </row>
    <row r="30" spans="1:25" ht="16.5" customHeight="1">
      <c r="A30" s="147"/>
      <c r="B30" s="148">
        <v>1</v>
      </c>
      <c r="C30" s="149">
        <v>2</v>
      </c>
      <c r="D30" s="150">
        <v>3</v>
      </c>
      <c r="E30" s="149">
        <v>4</v>
      </c>
      <c r="F30" s="149">
        <v>5</v>
      </c>
      <c r="G30" s="149">
        <v>6</v>
      </c>
      <c r="H30" s="149">
        <v>7</v>
      </c>
      <c r="I30" s="149">
        <v>8</v>
      </c>
      <c r="J30" s="149">
        <v>9</v>
      </c>
      <c r="K30" s="149">
        <v>10</v>
      </c>
      <c r="L30" s="149">
        <v>11</v>
      </c>
      <c r="M30" s="149">
        <v>12</v>
      </c>
      <c r="N30" s="149">
        <v>13</v>
      </c>
      <c r="O30" s="149">
        <v>14</v>
      </c>
      <c r="P30" s="149">
        <v>15</v>
      </c>
      <c r="Q30" s="149">
        <v>16</v>
      </c>
      <c r="R30" s="149">
        <v>17</v>
      </c>
      <c r="S30" s="149">
        <v>18</v>
      </c>
      <c r="T30" s="151">
        <v>19</v>
      </c>
      <c r="U30" s="151">
        <v>20</v>
      </c>
      <c r="V30" s="151">
        <v>21</v>
      </c>
      <c r="W30" s="151">
        <v>22</v>
      </c>
      <c r="X30" s="151">
        <v>23</v>
      </c>
      <c r="Y30" s="152">
        <v>24</v>
      </c>
    </row>
    <row r="31" spans="1:25" ht="12" customHeight="1">
      <c r="A31" s="153" t="s">
        <v>97</v>
      </c>
      <c r="B31" s="154">
        <v>0.9</v>
      </c>
      <c r="C31" s="155">
        <v>0.5</v>
      </c>
      <c r="D31" s="155">
        <v>0.1</v>
      </c>
      <c r="E31" s="155">
        <v>-0.2</v>
      </c>
      <c r="F31" s="155">
        <v>-0.5</v>
      </c>
      <c r="G31" s="155">
        <v>-0.6</v>
      </c>
      <c r="H31" s="155">
        <v>-0.4</v>
      </c>
      <c r="I31" s="155">
        <v>0.5</v>
      </c>
      <c r="J31" s="155">
        <v>1.9</v>
      </c>
      <c r="K31" s="155">
        <v>3.5</v>
      </c>
      <c r="L31" s="155">
        <v>5</v>
      </c>
      <c r="M31" s="155">
        <v>6.4</v>
      </c>
      <c r="N31" s="155">
        <v>7.5</v>
      </c>
      <c r="O31" s="155">
        <v>8.1999999999999993</v>
      </c>
      <c r="P31" s="155">
        <v>8.4</v>
      </c>
      <c r="Q31" s="155">
        <v>8.1999999999999993</v>
      </c>
      <c r="R31" s="155">
        <v>7.6</v>
      </c>
      <c r="S31" s="155">
        <v>6.5</v>
      </c>
      <c r="T31" s="156">
        <v>5.0999999999999996</v>
      </c>
      <c r="U31" s="156">
        <v>3.9</v>
      </c>
      <c r="V31" s="156">
        <v>2.9</v>
      </c>
      <c r="W31" s="156">
        <v>2.2000000000000002</v>
      </c>
      <c r="X31" s="156">
        <v>1.7</v>
      </c>
      <c r="Y31" s="157">
        <v>1.3</v>
      </c>
    </row>
    <row r="32" spans="1:25" ht="12" customHeight="1">
      <c r="A32" s="158" t="s">
        <v>68</v>
      </c>
      <c r="B32" s="159">
        <v>1.1000000000000001</v>
      </c>
      <c r="C32" s="160">
        <v>0.6</v>
      </c>
      <c r="D32" s="160">
        <v>0.2</v>
      </c>
      <c r="E32" s="160">
        <v>-0.1</v>
      </c>
      <c r="F32" s="160">
        <v>-0.4</v>
      </c>
      <c r="G32" s="160">
        <v>-0.5</v>
      </c>
      <c r="H32" s="160">
        <v>0.3</v>
      </c>
      <c r="I32" s="160">
        <v>3</v>
      </c>
      <c r="J32" s="160">
        <v>7</v>
      </c>
      <c r="K32" s="160">
        <v>11.8</v>
      </c>
      <c r="L32" s="160">
        <v>16.399999999999999</v>
      </c>
      <c r="M32" s="160">
        <v>20.3</v>
      </c>
      <c r="N32" s="160">
        <v>23</v>
      </c>
      <c r="O32" s="160">
        <v>24.2</v>
      </c>
      <c r="P32" s="160">
        <v>23.7</v>
      </c>
      <c r="Q32" s="160">
        <v>21.6</v>
      </c>
      <c r="R32" s="160">
        <v>18.100000000000001</v>
      </c>
      <c r="S32" s="160">
        <v>13.8</v>
      </c>
      <c r="T32" s="161">
        <v>9.8000000000000007</v>
      </c>
      <c r="U32" s="161">
        <v>6.9</v>
      </c>
      <c r="V32" s="161">
        <v>4.8</v>
      </c>
      <c r="W32" s="161">
        <v>3.4</v>
      </c>
      <c r="X32" s="161">
        <v>2.4</v>
      </c>
      <c r="Y32" s="162">
        <v>1.7</v>
      </c>
    </row>
    <row r="33" spans="1:25" ht="12" customHeight="1">
      <c r="A33" s="158" t="s">
        <v>69</v>
      </c>
      <c r="B33" s="192">
        <v>0.8</v>
      </c>
      <c r="C33" s="193">
        <v>0.4</v>
      </c>
      <c r="D33" s="193">
        <v>0.1</v>
      </c>
      <c r="E33" s="193">
        <v>-0.2</v>
      </c>
      <c r="F33" s="193">
        <v>-0.5</v>
      </c>
      <c r="G33" s="193">
        <v>-0.4</v>
      </c>
      <c r="H33" s="193">
        <v>0.8</v>
      </c>
      <c r="I33" s="193">
        <v>2.2000000000000002</v>
      </c>
      <c r="J33" s="193">
        <v>3.1</v>
      </c>
      <c r="K33" s="193">
        <v>4.2</v>
      </c>
      <c r="L33" s="193">
        <v>5.6</v>
      </c>
      <c r="M33" s="193">
        <v>6.7</v>
      </c>
      <c r="N33" s="193">
        <v>7.7</v>
      </c>
      <c r="O33" s="193">
        <v>8.4</v>
      </c>
      <c r="P33" s="193">
        <v>8.5</v>
      </c>
      <c r="Q33" s="193">
        <v>8.3000000000000007</v>
      </c>
      <c r="R33" s="193">
        <v>7.6</v>
      </c>
      <c r="S33" s="193">
        <v>6.5</v>
      </c>
      <c r="T33" s="194">
        <v>5.0999999999999996</v>
      </c>
      <c r="U33" s="194">
        <v>3.9</v>
      </c>
      <c r="V33" s="194">
        <v>2.9</v>
      </c>
      <c r="W33" s="194">
        <v>2.2000000000000002</v>
      </c>
      <c r="X33" s="194">
        <v>1.7</v>
      </c>
      <c r="Y33" s="195">
        <v>1.2</v>
      </c>
    </row>
    <row r="34" spans="1:25" ht="12" customHeight="1">
      <c r="A34" s="158" t="s">
        <v>70</v>
      </c>
      <c r="B34" s="192">
        <v>0.8</v>
      </c>
      <c r="C34" s="193">
        <v>0.4</v>
      </c>
      <c r="D34" s="193">
        <v>0.1</v>
      </c>
      <c r="E34" s="193">
        <v>-0.2</v>
      </c>
      <c r="F34" s="193">
        <v>-0.5</v>
      </c>
      <c r="G34" s="193">
        <v>0</v>
      </c>
      <c r="H34" s="193">
        <v>3.3</v>
      </c>
      <c r="I34" s="193">
        <v>7.4</v>
      </c>
      <c r="J34" s="193">
        <v>10.7</v>
      </c>
      <c r="K34" s="193">
        <v>12.2</v>
      </c>
      <c r="L34" s="193">
        <v>12</v>
      </c>
      <c r="M34" s="193">
        <v>10.9</v>
      </c>
      <c r="N34" s="193">
        <v>10.3</v>
      </c>
      <c r="O34" s="193">
        <v>10</v>
      </c>
      <c r="P34" s="193">
        <v>9.6</v>
      </c>
      <c r="Q34" s="193">
        <v>8.9</v>
      </c>
      <c r="R34" s="193">
        <v>8</v>
      </c>
      <c r="S34" s="193">
        <v>6.7</v>
      </c>
      <c r="T34" s="194">
        <v>5.3</v>
      </c>
      <c r="U34" s="194">
        <v>4</v>
      </c>
      <c r="V34" s="194">
        <v>3</v>
      </c>
      <c r="W34" s="194">
        <v>2.2000000000000002</v>
      </c>
      <c r="X34" s="194">
        <v>1.7</v>
      </c>
      <c r="Y34" s="195">
        <v>1.3</v>
      </c>
    </row>
    <row r="35" spans="1:25" ht="12" customHeight="1">
      <c r="A35" s="158" t="s">
        <v>71</v>
      </c>
      <c r="B35" s="192">
        <v>0.9</v>
      </c>
      <c r="C35" s="193">
        <v>0.5</v>
      </c>
      <c r="D35" s="193">
        <v>0.1</v>
      </c>
      <c r="E35" s="193">
        <v>-0.2</v>
      </c>
      <c r="F35" s="193">
        <v>-0.5</v>
      </c>
      <c r="G35" s="193">
        <v>0</v>
      </c>
      <c r="H35" s="193">
        <v>3.6</v>
      </c>
      <c r="I35" s="193">
        <v>8.6999999999999993</v>
      </c>
      <c r="J35" s="193">
        <v>13.4</v>
      </c>
      <c r="K35" s="193">
        <v>16.600000000000001</v>
      </c>
      <c r="L35" s="193">
        <v>18</v>
      </c>
      <c r="M35" s="193">
        <v>17.399999999999999</v>
      </c>
      <c r="N35" s="193">
        <v>15.3</v>
      </c>
      <c r="O35" s="193">
        <v>13.2</v>
      </c>
      <c r="P35" s="193">
        <v>11.6</v>
      </c>
      <c r="Q35" s="193">
        <v>10.199999999999999</v>
      </c>
      <c r="R35" s="193">
        <v>8.8000000000000007</v>
      </c>
      <c r="S35" s="193">
        <v>7.2</v>
      </c>
      <c r="T35" s="194">
        <v>5.6</v>
      </c>
      <c r="U35" s="194">
        <v>4.2</v>
      </c>
      <c r="V35" s="194">
        <v>3.1</v>
      </c>
      <c r="W35" s="194">
        <v>2.2999999999999998</v>
      </c>
      <c r="X35" s="194">
        <v>1.7</v>
      </c>
      <c r="Y35" s="195">
        <v>1.3</v>
      </c>
    </row>
    <row r="36" spans="1:25" ht="12" customHeight="1">
      <c r="A36" s="158" t="s">
        <v>72</v>
      </c>
      <c r="B36" s="192">
        <v>0.9</v>
      </c>
      <c r="C36" s="193">
        <v>0.5</v>
      </c>
      <c r="D36" s="193">
        <v>0.1</v>
      </c>
      <c r="E36" s="193">
        <v>-0.2</v>
      </c>
      <c r="F36" s="193">
        <v>-0.5</v>
      </c>
      <c r="G36" s="193">
        <v>-0.3</v>
      </c>
      <c r="H36" s="193">
        <v>1.6</v>
      </c>
      <c r="I36" s="193">
        <v>5.0999999999999996</v>
      </c>
      <c r="J36" s="193">
        <v>9.3000000000000007</v>
      </c>
      <c r="K36" s="193">
        <v>13.4</v>
      </c>
      <c r="L36" s="193">
        <v>16.600000000000001</v>
      </c>
      <c r="M36" s="193">
        <v>18.5</v>
      </c>
      <c r="N36" s="193">
        <v>19</v>
      </c>
      <c r="O36" s="193">
        <v>18</v>
      </c>
      <c r="P36" s="193">
        <v>15.7</v>
      </c>
      <c r="Q36" s="193">
        <v>13</v>
      </c>
      <c r="R36" s="193">
        <v>10.5</v>
      </c>
      <c r="S36" s="193">
        <v>8.3000000000000007</v>
      </c>
      <c r="T36" s="194">
        <v>6.2</v>
      </c>
      <c r="U36" s="194">
        <v>4.5999999999999996</v>
      </c>
      <c r="V36" s="194">
        <v>3.4</v>
      </c>
      <c r="W36" s="194">
        <v>2.5</v>
      </c>
      <c r="X36" s="194">
        <v>1.8</v>
      </c>
      <c r="Y36" s="195">
        <v>1.3</v>
      </c>
    </row>
    <row r="37" spans="1:25" ht="12" customHeight="1">
      <c r="A37" s="158" t="s">
        <v>73</v>
      </c>
      <c r="B37" s="192">
        <v>1.1000000000000001</v>
      </c>
      <c r="C37" s="193">
        <v>0.6</v>
      </c>
      <c r="D37" s="193">
        <v>0.2</v>
      </c>
      <c r="E37" s="193">
        <v>-0.1</v>
      </c>
      <c r="F37" s="193">
        <v>-0.4</v>
      </c>
      <c r="G37" s="193">
        <v>-0.6</v>
      </c>
      <c r="H37" s="193">
        <v>-0.4</v>
      </c>
      <c r="I37" s="193">
        <v>0.5</v>
      </c>
      <c r="J37" s="193">
        <v>2.2000000000000002</v>
      </c>
      <c r="K37" s="193">
        <v>5.0999999999999996</v>
      </c>
      <c r="L37" s="193">
        <v>8.9</v>
      </c>
      <c r="M37" s="193">
        <v>12.9</v>
      </c>
      <c r="N37" s="193">
        <v>16.399999999999999</v>
      </c>
      <c r="O37" s="193">
        <v>18.899999999999999</v>
      </c>
      <c r="P37" s="193">
        <v>20.2</v>
      </c>
      <c r="Q37" s="193">
        <v>19.8</v>
      </c>
      <c r="R37" s="193">
        <v>17.7</v>
      </c>
      <c r="S37" s="193">
        <v>14.1</v>
      </c>
      <c r="T37" s="194">
        <v>10.1</v>
      </c>
      <c r="U37" s="194">
        <v>7</v>
      </c>
      <c r="V37" s="194">
        <v>4.8</v>
      </c>
      <c r="W37" s="194">
        <v>3.4</v>
      </c>
      <c r="X37" s="194">
        <v>2.4</v>
      </c>
      <c r="Y37" s="195">
        <v>1.7</v>
      </c>
    </row>
    <row r="38" spans="1:25" ht="12" customHeight="1">
      <c r="A38" s="158" t="s">
        <v>74</v>
      </c>
      <c r="B38" s="192">
        <v>1.3</v>
      </c>
      <c r="C38" s="193">
        <v>0.7</v>
      </c>
      <c r="D38" s="193">
        <v>0.3</v>
      </c>
      <c r="E38" s="193">
        <v>-0.1</v>
      </c>
      <c r="F38" s="193">
        <v>-0.4</v>
      </c>
      <c r="G38" s="193">
        <v>-0.6</v>
      </c>
      <c r="H38" s="193">
        <v>-0.4</v>
      </c>
      <c r="I38" s="193">
        <v>0.5</v>
      </c>
      <c r="J38" s="193">
        <v>1.9</v>
      </c>
      <c r="K38" s="193">
        <v>3.5</v>
      </c>
      <c r="L38" s="193">
        <v>5.2</v>
      </c>
      <c r="M38" s="193">
        <v>7.6</v>
      </c>
      <c r="N38" s="193">
        <v>11.2</v>
      </c>
      <c r="O38" s="193">
        <v>15.2</v>
      </c>
      <c r="P38" s="193">
        <v>18.8</v>
      </c>
      <c r="Q38" s="193">
        <v>20.9</v>
      </c>
      <c r="R38" s="193">
        <v>20.7</v>
      </c>
      <c r="S38" s="193">
        <v>17.8</v>
      </c>
      <c r="T38" s="194">
        <v>12.6</v>
      </c>
      <c r="U38" s="194">
        <v>8.6</v>
      </c>
      <c r="V38" s="194">
        <v>5.9</v>
      </c>
      <c r="W38" s="194">
        <v>4</v>
      </c>
      <c r="X38" s="194">
        <v>2.8</v>
      </c>
      <c r="Y38" s="195">
        <v>1.9</v>
      </c>
    </row>
    <row r="39" spans="1:25" ht="12" customHeight="1">
      <c r="A39" s="158" t="s">
        <v>75</v>
      </c>
      <c r="B39" s="192">
        <v>1.2</v>
      </c>
      <c r="C39" s="193">
        <v>0.7</v>
      </c>
      <c r="D39" s="193">
        <v>0.2</v>
      </c>
      <c r="E39" s="193">
        <v>-0.1</v>
      </c>
      <c r="F39" s="193">
        <v>-0.4</v>
      </c>
      <c r="G39" s="193">
        <v>-0.6</v>
      </c>
      <c r="H39" s="193">
        <v>-0.4</v>
      </c>
      <c r="I39" s="193">
        <v>0.5</v>
      </c>
      <c r="J39" s="193">
        <v>1.9</v>
      </c>
      <c r="K39" s="193">
        <v>3.5</v>
      </c>
      <c r="L39" s="193">
        <v>5.0999999999999996</v>
      </c>
      <c r="M39" s="193">
        <v>6.5</v>
      </c>
      <c r="N39" s="193">
        <v>7.8</v>
      </c>
      <c r="O39" s="193">
        <v>10</v>
      </c>
      <c r="P39" s="193">
        <v>13</v>
      </c>
      <c r="Q39" s="193">
        <v>15.7</v>
      </c>
      <c r="R39" s="193">
        <v>16.7</v>
      </c>
      <c r="S39" s="193">
        <v>15.2</v>
      </c>
      <c r="T39" s="194">
        <v>11</v>
      </c>
      <c r="U39" s="194">
        <v>7.6</v>
      </c>
      <c r="V39" s="194">
        <v>5.2</v>
      </c>
      <c r="W39" s="194">
        <v>3.6</v>
      </c>
      <c r="X39" s="194">
        <v>2.6</v>
      </c>
      <c r="Y39" s="195">
        <v>1.8</v>
      </c>
    </row>
    <row r="40" spans="1:25" ht="12" customHeight="1">
      <c r="A40" s="163" t="s">
        <v>76</v>
      </c>
      <c r="B40" s="196">
        <v>0.9</v>
      </c>
      <c r="C40" s="197">
        <v>0.5</v>
      </c>
      <c r="D40" s="197">
        <v>0.1</v>
      </c>
      <c r="E40" s="197">
        <v>-0.2</v>
      </c>
      <c r="F40" s="197">
        <v>-0.5</v>
      </c>
      <c r="G40" s="197">
        <v>-0.6</v>
      </c>
      <c r="H40" s="197">
        <v>-0.4</v>
      </c>
      <c r="I40" s="197">
        <v>0.5</v>
      </c>
      <c r="J40" s="197">
        <v>1.9</v>
      </c>
      <c r="K40" s="197">
        <v>3.5</v>
      </c>
      <c r="L40" s="197">
        <v>5.0999999999999996</v>
      </c>
      <c r="M40" s="197">
        <v>6.5</v>
      </c>
      <c r="N40" s="197">
        <v>7.5</v>
      </c>
      <c r="O40" s="197">
        <v>8.1999999999999993</v>
      </c>
      <c r="P40" s="197">
        <v>8.5</v>
      </c>
      <c r="Q40" s="197">
        <v>8.6999999999999993</v>
      </c>
      <c r="R40" s="197">
        <v>9.1</v>
      </c>
      <c r="S40" s="197">
        <v>8.5</v>
      </c>
      <c r="T40" s="198">
        <v>6.6</v>
      </c>
      <c r="U40" s="198">
        <v>4.8</v>
      </c>
      <c r="V40" s="198">
        <v>3.5</v>
      </c>
      <c r="W40" s="198">
        <v>2.6</v>
      </c>
      <c r="X40" s="198">
        <v>1.9</v>
      </c>
      <c r="Y40" s="199">
        <v>1.4</v>
      </c>
    </row>
    <row r="42" spans="1:25" ht="12" customHeight="1">
      <c r="A42" s="145" t="s">
        <v>77</v>
      </c>
      <c r="B42" s="145"/>
      <c r="C42" s="145"/>
      <c r="D42" s="145"/>
      <c r="E42" s="145"/>
      <c r="G42" s="145"/>
      <c r="H42" s="145"/>
      <c r="I42" s="145"/>
      <c r="J42" s="145"/>
      <c r="K42" s="145"/>
    </row>
    <row r="43" spans="1:25" ht="15" customHeight="1">
      <c r="A43" s="168" t="s">
        <v>78</v>
      </c>
      <c r="B43" s="169" t="s">
        <v>79</v>
      </c>
      <c r="C43" s="170" t="s">
        <v>80</v>
      </c>
      <c r="D43" s="169" t="s">
        <v>79</v>
      </c>
      <c r="E43" s="170" t="s">
        <v>80</v>
      </c>
      <c r="F43" s="169" t="s">
        <v>79</v>
      </c>
      <c r="G43" s="170" t="s">
        <v>80</v>
      </c>
      <c r="H43" s="169" t="s">
        <v>79</v>
      </c>
      <c r="I43" s="170" t="s">
        <v>80</v>
      </c>
      <c r="J43" s="169" t="s">
        <v>79</v>
      </c>
      <c r="K43" s="170" t="s">
        <v>80</v>
      </c>
      <c r="L43" s="169" t="s">
        <v>79</v>
      </c>
      <c r="M43" s="171" t="s">
        <v>79</v>
      </c>
      <c r="N43" s="169" t="s">
        <v>79</v>
      </c>
      <c r="P43" s="73" t="s">
        <v>50</v>
      </c>
    </row>
    <row r="44" spans="1:25" ht="12" customHeight="1">
      <c r="A44" s="172">
        <v>0</v>
      </c>
      <c r="B44" s="173">
        <v>6.8000000000000005E-2</v>
      </c>
      <c r="C44" s="174">
        <f t="shared" ref="C44:C67" si="0">A44+24</f>
        <v>24</v>
      </c>
      <c r="D44" s="173">
        <v>0</v>
      </c>
      <c r="E44" s="174">
        <f t="shared" ref="E44:E67" si="1">C44+24</f>
        <v>48</v>
      </c>
      <c r="F44" s="173">
        <v>0</v>
      </c>
      <c r="G44" s="174">
        <f t="shared" ref="G44:G67" si="2">E44+24</f>
        <v>72</v>
      </c>
      <c r="H44" s="175">
        <v>0</v>
      </c>
      <c r="I44" s="174">
        <f t="shared" ref="I44:I67" si="3">G44+24</f>
        <v>96</v>
      </c>
      <c r="J44" s="175">
        <v>0</v>
      </c>
      <c r="K44" s="174">
        <f t="shared" ref="K44:K67" si="4">I44+24</f>
        <v>120</v>
      </c>
      <c r="L44" s="175">
        <v>0</v>
      </c>
      <c r="M44" s="176">
        <f t="shared" ref="M44:M67" si="5">K44+24</f>
        <v>144</v>
      </c>
      <c r="N44" s="177">
        <v>0</v>
      </c>
      <c r="P44" s="178" t="s">
        <v>84</v>
      </c>
    </row>
    <row r="45" spans="1:25" ht="12" customHeight="1">
      <c r="A45" s="179">
        <v>1</v>
      </c>
      <c r="B45" s="180">
        <v>0.29799999999999999</v>
      </c>
      <c r="C45" s="181">
        <f t="shared" si="0"/>
        <v>25</v>
      </c>
      <c r="D45" s="180">
        <v>0</v>
      </c>
      <c r="E45" s="181">
        <f t="shared" si="1"/>
        <v>49</v>
      </c>
      <c r="F45" s="180">
        <v>0</v>
      </c>
      <c r="G45" s="181">
        <f t="shared" si="2"/>
        <v>73</v>
      </c>
      <c r="H45" s="182">
        <v>0</v>
      </c>
      <c r="I45" s="181">
        <f t="shared" si="3"/>
        <v>97</v>
      </c>
      <c r="J45" s="182">
        <v>0</v>
      </c>
      <c r="K45" s="181">
        <f t="shared" si="4"/>
        <v>121</v>
      </c>
      <c r="L45" s="182">
        <v>0</v>
      </c>
      <c r="M45" s="183">
        <f t="shared" si="5"/>
        <v>145</v>
      </c>
      <c r="N45" s="184">
        <v>0</v>
      </c>
      <c r="P45" s="185" t="s">
        <v>85</v>
      </c>
    </row>
    <row r="46" spans="1:25" ht="12" customHeight="1">
      <c r="A46" s="179">
        <v>2</v>
      </c>
      <c r="B46" s="180">
        <v>0.23799999999999999</v>
      </c>
      <c r="C46" s="181">
        <f t="shared" si="0"/>
        <v>26</v>
      </c>
      <c r="D46" s="180">
        <v>0</v>
      </c>
      <c r="E46" s="181">
        <f t="shared" si="1"/>
        <v>50</v>
      </c>
      <c r="F46" s="180">
        <v>0</v>
      </c>
      <c r="G46" s="181">
        <f t="shared" si="2"/>
        <v>74</v>
      </c>
      <c r="H46" s="182">
        <v>0</v>
      </c>
      <c r="I46" s="181">
        <f t="shared" si="3"/>
        <v>98</v>
      </c>
      <c r="J46" s="182">
        <v>0</v>
      </c>
      <c r="K46" s="181">
        <f t="shared" si="4"/>
        <v>122</v>
      </c>
      <c r="L46" s="182">
        <v>0</v>
      </c>
      <c r="M46" s="183">
        <f t="shared" si="5"/>
        <v>146</v>
      </c>
      <c r="N46" s="184">
        <v>0</v>
      </c>
      <c r="P46" s="178" t="s">
        <v>86</v>
      </c>
    </row>
    <row r="47" spans="1:25" ht="12" customHeight="1">
      <c r="A47" s="179">
        <v>3</v>
      </c>
      <c r="B47" s="180">
        <v>0.14899999999999999</v>
      </c>
      <c r="C47" s="181">
        <f t="shared" si="0"/>
        <v>27</v>
      </c>
      <c r="D47" s="180">
        <v>0</v>
      </c>
      <c r="E47" s="181">
        <f t="shared" si="1"/>
        <v>51</v>
      </c>
      <c r="F47" s="180">
        <v>0</v>
      </c>
      <c r="G47" s="181">
        <f t="shared" si="2"/>
        <v>75</v>
      </c>
      <c r="H47" s="182">
        <v>0</v>
      </c>
      <c r="I47" s="181">
        <f t="shared" si="3"/>
        <v>99</v>
      </c>
      <c r="J47" s="182">
        <v>0</v>
      </c>
      <c r="K47" s="181">
        <f t="shared" si="4"/>
        <v>123</v>
      </c>
      <c r="L47" s="182">
        <v>0</v>
      </c>
      <c r="M47" s="183">
        <f t="shared" si="5"/>
        <v>147</v>
      </c>
      <c r="N47" s="184">
        <v>0</v>
      </c>
      <c r="P47" s="178" t="s">
        <v>87</v>
      </c>
    </row>
    <row r="48" spans="1:25" ht="12" customHeight="1">
      <c r="A48" s="179">
        <v>4</v>
      </c>
      <c r="B48" s="180">
        <v>9.2999999999999999E-2</v>
      </c>
      <c r="C48" s="181">
        <f t="shared" si="0"/>
        <v>28</v>
      </c>
      <c r="D48" s="180">
        <v>0</v>
      </c>
      <c r="E48" s="181">
        <f t="shared" si="1"/>
        <v>52</v>
      </c>
      <c r="F48" s="180">
        <v>0</v>
      </c>
      <c r="G48" s="181">
        <f t="shared" si="2"/>
        <v>76</v>
      </c>
      <c r="H48" s="182">
        <v>0</v>
      </c>
      <c r="I48" s="181">
        <f t="shared" si="3"/>
        <v>100</v>
      </c>
      <c r="J48" s="182">
        <v>0</v>
      </c>
      <c r="K48" s="181">
        <f t="shared" si="4"/>
        <v>124</v>
      </c>
      <c r="L48" s="182">
        <v>0</v>
      </c>
      <c r="M48" s="183">
        <f t="shared" si="5"/>
        <v>148</v>
      </c>
      <c r="N48" s="184">
        <v>0</v>
      </c>
      <c r="P48" s="178" t="s">
        <v>88</v>
      </c>
    </row>
    <row r="49" spans="1:16" ht="12" customHeight="1">
      <c r="A49" s="179">
        <v>5</v>
      </c>
      <c r="B49" s="180">
        <v>5.8000000000000003E-2</v>
      </c>
      <c r="C49" s="181">
        <f t="shared" si="0"/>
        <v>29</v>
      </c>
      <c r="D49" s="180">
        <v>0</v>
      </c>
      <c r="E49" s="181">
        <f t="shared" si="1"/>
        <v>53</v>
      </c>
      <c r="F49" s="180">
        <v>0</v>
      </c>
      <c r="G49" s="181">
        <f t="shared" si="2"/>
        <v>77</v>
      </c>
      <c r="H49" s="182">
        <v>0</v>
      </c>
      <c r="I49" s="181">
        <f t="shared" si="3"/>
        <v>101</v>
      </c>
      <c r="J49" s="182">
        <v>0</v>
      </c>
      <c r="K49" s="181">
        <f t="shared" si="4"/>
        <v>125</v>
      </c>
      <c r="L49" s="182">
        <v>0</v>
      </c>
      <c r="M49" s="183">
        <f t="shared" si="5"/>
        <v>149</v>
      </c>
      <c r="N49" s="184">
        <v>0</v>
      </c>
      <c r="P49" s="178" t="s">
        <v>89</v>
      </c>
    </row>
    <row r="50" spans="1:16" ht="12" customHeight="1">
      <c r="A50" s="179">
        <v>6</v>
      </c>
      <c r="B50" s="180">
        <v>3.5999999999999997E-2</v>
      </c>
      <c r="C50" s="181">
        <f t="shared" si="0"/>
        <v>30</v>
      </c>
      <c r="D50" s="180">
        <v>0</v>
      </c>
      <c r="E50" s="181">
        <f t="shared" si="1"/>
        <v>54</v>
      </c>
      <c r="F50" s="180">
        <v>0</v>
      </c>
      <c r="G50" s="181">
        <f t="shared" si="2"/>
        <v>78</v>
      </c>
      <c r="H50" s="182">
        <v>0</v>
      </c>
      <c r="I50" s="181">
        <f t="shared" si="3"/>
        <v>102</v>
      </c>
      <c r="J50" s="182">
        <v>0</v>
      </c>
      <c r="K50" s="181">
        <f t="shared" si="4"/>
        <v>126</v>
      </c>
      <c r="L50" s="182">
        <v>0</v>
      </c>
      <c r="M50" s="183">
        <f t="shared" si="5"/>
        <v>150</v>
      </c>
      <c r="N50" s="184">
        <v>0</v>
      </c>
      <c r="P50" s="178" t="s">
        <v>90</v>
      </c>
    </row>
    <row r="51" spans="1:16" ht="12" customHeight="1">
      <c r="A51" s="179">
        <v>7</v>
      </c>
      <c r="B51" s="180">
        <v>2.1999999999999999E-2</v>
      </c>
      <c r="C51" s="181">
        <f t="shared" si="0"/>
        <v>31</v>
      </c>
      <c r="D51" s="180">
        <v>0</v>
      </c>
      <c r="E51" s="181">
        <f t="shared" si="1"/>
        <v>55</v>
      </c>
      <c r="F51" s="180">
        <v>0</v>
      </c>
      <c r="G51" s="181">
        <f t="shared" si="2"/>
        <v>79</v>
      </c>
      <c r="H51" s="182">
        <v>0</v>
      </c>
      <c r="I51" s="181">
        <f t="shared" si="3"/>
        <v>103</v>
      </c>
      <c r="J51" s="182">
        <v>0</v>
      </c>
      <c r="K51" s="181">
        <f t="shared" si="4"/>
        <v>127</v>
      </c>
      <c r="L51" s="182">
        <v>0</v>
      </c>
      <c r="M51" s="183">
        <f t="shared" si="5"/>
        <v>151</v>
      </c>
      <c r="N51" s="184">
        <v>0</v>
      </c>
      <c r="P51" s="178" t="s">
        <v>91</v>
      </c>
    </row>
    <row r="52" spans="1:16" ht="12" customHeight="1">
      <c r="A52" s="179">
        <v>8</v>
      </c>
      <c r="B52" s="180">
        <v>1.4E-2</v>
      </c>
      <c r="C52" s="181">
        <f t="shared" si="0"/>
        <v>32</v>
      </c>
      <c r="D52" s="180">
        <v>0</v>
      </c>
      <c r="E52" s="181">
        <f t="shared" si="1"/>
        <v>56</v>
      </c>
      <c r="F52" s="180">
        <v>0</v>
      </c>
      <c r="G52" s="181">
        <f t="shared" si="2"/>
        <v>80</v>
      </c>
      <c r="H52" s="182">
        <v>0</v>
      </c>
      <c r="I52" s="181">
        <f t="shared" si="3"/>
        <v>104</v>
      </c>
      <c r="J52" s="182">
        <v>0</v>
      </c>
      <c r="K52" s="181">
        <f t="shared" si="4"/>
        <v>128</v>
      </c>
      <c r="L52" s="182">
        <v>0</v>
      </c>
      <c r="M52" s="183">
        <f t="shared" si="5"/>
        <v>152</v>
      </c>
      <c r="N52" s="184">
        <v>0</v>
      </c>
      <c r="P52" s="178" t="s">
        <v>92</v>
      </c>
    </row>
    <row r="53" spans="1:16" ht="12" customHeight="1">
      <c r="A53" s="179">
        <v>9</v>
      </c>
      <c r="B53" s="180">
        <v>8.9999999999999993E-3</v>
      </c>
      <c r="C53" s="181">
        <f t="shared" si="0"/>
        <v>33</v>
      </c>
      <c r="D53" s="180">
        <v>0</v>
      </c>
      <c r="E53" s="181">
        <f t="shared" si="1"/>
        <v>57</v>
      </c>
      <c r="F53" s="180">
        <v>0</v>
      </c>
      <c r="G53" s="181">
        <f t="shared" si="2"/>
        <v>81</v>
      </c>
      <c r="H53" s="182">
        <v>0</v>
      </c>
      <c r="I53" s="181">
        <f t="shared" si="3"/>
        <v>105</v>
      </c>
      <c r="J53" s="182">
        <v>0</v>
      </c>
      <c r="K53" s="181">
        <f t="shared" si="4"/>
        <v>129</v>
      </c>
      <c r="L53" s="182">
        <v>0</v>
      </c>
      <c r="M53" s="183">
        <f t="shared" si="5"/>
        <v>153</v>
      </c>
      <c r="N53" s="184">
        <v>0</v>
      </c>
      <c r="P53" s="178" t="s">
        <v>93</v>
      </c>
    </row>
    <row r="54" spans="1:16" ht="12" customHeight="1">
      <c r="A54" s="179">
        <v>10</v>
      </c>
      <c r="B54" s="180">
        <v>5.0000000000000001E-3</v>
      </c>
      <c r="C54" s="181">
        <f t="shared" si="0"/>
        <v>34</v>
      </c>
      <c r="D54" s="180">
        <v>0</v>
      </c>
      <c r="E54" s="181">
        <f t="shared" si="1"/>
        <v>58</v>
      </c>
      <c r="F54" s="180">
        <v>0</v>
      </c>
      <c r="G54" s="181">
        <f t="shared" si="2"/>
        <v>82</v>
      </c>
      <c r="H54" s="182">
        <v>0</v>
      </c>
      <c r="I54" s="181">
        <f t="shared" si="3"/>
        <v>106</v>
      </c>
      <c r="J54" s="182">
        <v>0</v>
      </c>
      <c r="K54" s="181">
        <f t="shared" si="4"/>
        <v>130</v>
      </c>
      <c r="L54" s="182">
        <v>0</v>
      </c>
      <c r="M54" s="183">
        <f t="shared" si="5"/>
        <v>154</v>
      </c>
      <c r="N54" s="184">
        <v>0</v>
      </c>
      <c r="P54" s="178" t="s">
        <v>94</v>
      </c>
    </row>
    <row r="55" spans="1:16" ht="12" customHeight="1">
      <c r="A55" s="179">
        <v>11</v>
      </c>
      <c r="B55" s="180">
        <v>3.0000000000000001E-3</v>
      </c>
      <c r="C55" s="181">
        <f t="shared" si="0"/>
        <v>35</v>
      </c>
      <c r="D55" s="180">
        <v>0</v>
      </c>
      <c r="E55" s="181">
        <f t="shared" si="1"/>
        <v>59</v>
      </c>
      <c r="F55" s="180">
        <v>0</v>
      </c>
      <c r="G55" s="181">
        <f t="shared" si="2"/>
        <v>83</v>
      </c>
      <c r="H55" s="182">
        <v>0</v>
      </c>
      <c r="I55" s="181">
        <f t="shared" si="3"/>
        <v>107</v>
      </c>
      <c r="J55" s="182">
        <v>0</v>
      </c>
      <c r="K55" s="181">
        <f t="shared" si="4"/>
        <v>131</v>
      </c>
      <c r="L55" s="182">
        <v>0</v>
      </c>
      <c r="M55" s="183">
        <f t="shared" si="5"/>
        <v>155</v>
      </c>
      <c r="N55" s="184">
        <v>0</v>
      </c>
      <c r="P55" s="178"/>
    </row>
    <row r="56" spans="1:16" ht="12" customHeight="1">
      <c r="A56" s="179">
        <v>12</v>
      </c>
      <c r="B56" s="180">
        <v>2E-3</v>
      </c>
      <c r="C56" s="181">
        <f t="shared" si="0"/>
        <v>36</v>
      </c>
      <c r="D56" s="180">
        <v>0</v>
      </c>
      <c r="E56" s="181">
        <f t="shared" si="1"/>
        <v>60</v>
      </c>
      <c r="F56" s="180">
        <v>0</v>
      </c>
      <c r="G56" s="181">
        <f t="shared" si="2"/>
        <v>84</v>
      </c>
      <c r="H56" s="182">
        <v>0</v>
      </c>
      <c r="I56" s="181">
        <f t="shared" si="3"/>
        <v>108</v>
      </c>
      <c r="J56" s="182">
        <v>0</v>
      </c>
      <c r="K56" s="181">
        <f t="shared" si="4"/>
        <v>132</v>
      </c>
      <c r="L56" s="182">
        <v>0</v>
      </c>
      <c r="M56" s="183">
        <f t="shared" si="5"/>
        <v>156</v>
      </c>
      <c r="N56" s="184">
        <v>0</v>
      </c>
      <c r="P56" s="178"/>
    </row>
    <row r="57" spans="1:16" ht="12" customHeight="1">
      <c r="A57" s="179">
        <v>13</v>
      </c>
      <c r="B57" s="180">
        <v>1E-3</v>
      </c>
      <c r="C57" s="181">
        <f t="shared" si="0"/>
        <v>37</v>
      </c>
      <c r="D57" s="180">
        <v>0</v>
      </c>
      <c r="E57" s="181">
        <f t="shared" si="1"/>
        <v>61</v>
      </c>
      <c r="F57" s="180">
        <v>0</v>
      </c>
      <c r="G57" s="181">
        <f t="shared" si="2"/>
        <v>85</v>
      </c>
      <c r="H57" s="182">
        <v>0</v>
      </c>
      <c r="I57" s="181">
        <f t="shared" si="3"/>
        <v>109</v>
      </c>
      <c r="J57" s="182">
        <v>0</v>
      </c>
      <c r="K57" s="181">
        <f t="shared" si="4"/>
        <v>133</v>
      </c>
      <c r="L57" s="182">
        <v>0</v>
      </c>
      <c r="M57" s="183">
        <f t="shared" si="5"/>
        <v>157</v>
      </c>
      <c r="N57" s="184">
        <v>0</v>
      </c>
      <c r="P57" s="178"/>
    </row>
    <row r="58" spans="1:16" ht="12" customHeight="1">
      <c r="A58" s="179">
        <v>14</v>
      </c>
      <c r="B58" s="180">
        <v>1E-3</v>
      </c>
      <c r="C58" s="181">
        <f t="shared" si="0"/>
        <v>38</v>
      </c>
      <c r="D58" s="180">
        <v>0</v>
      </c>
      <c r="E58" s="181">
        <f t="shared" si="1"/>
        <v>62</v>
      </c>
      <c r="F58" s="180">
        <v>0</v>
      </c>
      <c r="G58" s="181">
        <f t="shared" si="2"/>
        <v>86</v>
      </c>
      <c r="H58" s="182">
        <v>0</v>
      </c>
      <c r="I58" s="181">
        <f t="shared" si="3"/>
        <v>110</v>
      </c>
      <c r="J58" s="182">
        <v>0</v>
      </c>
      <c r="K58" s="181">
        <f t="shared" si="4"/>
        <v>134</v>
      </c>
      <c r="L58" s="182">
        <v>0</v>
      </c>
      <c r="M58" s="183">
        <f t="shared" si="5"/>
        <v>158</v>
      </c>
      <c r="N58" s="184">
        <v>0</v>
      </c>
      <c r="P58" s="178"/>
    </row>
    <row r="59" spans="1:16" ht="12" customHeight="1">
      <c r="A59" s="179">
        <v>15</v>
      </c>
      <c r="B59" s="180">
        <v>1E-3</v>
      </c>
      <c r="C59" s="181">
        <f t="shared" si="0"/>
        <v>39</v>
      </c>
      <c r="D59" s="180">
        <v>0</v>
      </c>
      <c r="E59" s="181">
        <f t="shared" si="1"/>
        <v>63</v>
      </c>
      <c r="F59" s="180">
        <v>0</v>
      </c>
      <c r="G59" s="181">
        <f t="shared" si="2"/>
        <v>87</v>
      </c>
      <c r="H59" s="182">
        <v>0</v>
      </c>
      <c r="I59" s="181">
        <f t="shared" si="3"/>
        <v>111</v>
      </c>
      <c r="J59" s="182">
        <v>0</v>
      </c>
      <c r="K59" s="181">
        <f t="shared" si="4"/>
        <v>135</v>
      </c>
      <c r="L59" s="182">
        <v>0</v>
      </c>
      <c r="M59" s="183">
        <f t="shared" si="5"/>
        <v>159</v>
      </c>
      <c r="N59" s="184">
        <v>0</v>
      </c>
      <c r="P59" s="178"/>
    </row>
    <row r="60" spans="1:16" ht="12" customHeight="1">
      <c r="A60" s="179">
        <v>16</v>
      </c>
      <c r="B60" s="180">
        <v>0</v>
      </c>
      <c r="C60" s="181">
        <f t="shared" si="0"/>
        <v>40</v>
      </c>
      <c r="D60" s="180">
        <v>0</v>
      </c>
      <c r="E60" s="181">
        <f t="shared" si="1"/>
        <v>64</v>
      </c>
      <c r="F60" s="180">
        <v>0</v>
      </c>
      <c r="G60" s="181">
        <f t="shared" si="2"/>
        <v>88</v>
      </c>
      <c r="H60" s="182">
        <v>0</v>
      </c>
      <c r="I60" s="181">
        <f t="shared" si="3"/>
        <v>112</v>
      </c>
      <c r="J60" s="182">
        <v>0</v>
      </c>
      <c r="K60" s="181">
        <f t="shared" si="4"/>
        <v>136</v>
      </c>
      <c r="L60" s="182">
        <v>0</v>
      </c>
      <c r="M60" s="183">
        <f t="shared" si="5"/>
        <v>160</v>
      </c>
      <c r="N60" s="184">
        <v>0</v>
      </c>
      <c r="P60" s="178"/>
    </row>
    <row r="61" spans="1:16" ht="12" customHeight="1">
      <c r="A61" s="179">
        <v>17</v>
      </c>
      <c r="B61" s="180">
        <v>0</v>
      </c>
      <c r="C61" s="181">
        <f t="shared" si="0"/>
        <v>41</v>
      </c>
      <c r="D61" s="180">
        <v>0</v>
      </c>
      <c r="E61" s="181">
        <f t="shared" si="1"/>
        <v>65</v>
      </c>
      <c r="F61" s="180">
        <v>0</v>
      </c>
      <c r="G61" s="181">
        <f t="shared" si="2"/>
        <v>89</v>
      </c>
      <c r="H61" s="182">
        <v>0</v>
      </c>
      <c r="I61" s="181">
        <f t="shared" si="3"/>
        <v>113</v>
      </c>
      <c r="J61" s="182">
        <v>0</v>
      </c>
      <c r="K61" s="181">
        <f t="shared" si="4"/>
        <v>137</v>
      </c>
      <c r="L61" s="182">
        <v>0</v>
      </c>
      <c r="M61" s="183">
        <f t="shared" si="5"/>
        <v>161</v>
      </c>
      <c r="N61" s="184">
        <v>0</v>
      </c>
      <c r="P61" s="178"/>
    </row>
    <row r="62" spans="1:16" ht="12" customHeight="1">
      <c r="A62" s="179">
        <v>18</v>
      </c>
      <c r="B62" s="180">
        <v>0</v>
      </c>
      <c r="C62" s="181">
        <f t="shared" si="0"/>
        <v>42</v>
      </c>
      <c r="D62" s="180">
        <v>0</v>
      </c>
      <c r="E62" s="181">
        <f t="shared" si="1"/>
        <v>66</v>
      </c>
      <c r="F62" s="180">
        <v>0</v>
      </c>
      <c r="G62" s="181">
        <f t="shared" si="2"/>
        <v>90</v>
      </c>
      <c r="H62" s="182">
        <v>0</v>
      </c>
      <c r="I62" s="181">
        <f t="shared" si="3"/>
        <v>114</v>
      </c>
      <c r="J62" s="182">
        <v>0</v>
      </c>
      <c r="K62" s="181">
        <f t="shared" si="4"/>
        <v>138</v>
      </c>
      <c r="L62" s="182">
        <v>0</v>
      </c>
      <c r="M62" s="183">
        <f t="shared" si="5"/>
        <v>162</v>
      </c>
      <c r="N62" s="184">
        <v>0</v>
      </c>
      <c r="P62" s="178"/>
    </row>
    <row r="63" spans="1:16" ht="12" customHeight="1">
      <c r="A63" s="179">
        <v>19</v>
      </c>
      <c r="B63" s="180">
        <v>0</v>
      </c>
      <c r="C63" s="181">
        <f t="shared" si="0"/>
        <v>43</v>
      </c>
      <c r="D63" s="180">
        <v>0</v>
      </c>
      <c r="E63" s="181">
        <f t="shared" si="1"/>
        <v>67</v>
      </c>
      <c r="F63" s="180">
        <v>0</v>
      </c>
      <c r="G63" s="181">
        <f t="shared" si="2"/>
        <v>91</v>
      </c>
      <c r="H63" s="182">
        <v>0</v>
      </c>
      <c r="I63" s="181">
        <f t="shared" si="3"/>
        <v>115</v>
      </c>
      <c r="J63" s="182">
        <v>0</v>
      </c>
      <c r="K63" s="181">
        <f t="shared" si="4"/>
        <v>139</v>
      </c>
      <c r="L63" s="182">
        <v>0</v>
      </c>
      <c r="M63" s="183">
        <f t="shared" si="5"/>
        <v>163</v>
      </c>
      <c r="N63" s="184">
        <v>0</v>
      </c>
      <c r="P63" s="178"/>
    </row>
    <row r="64" spans="1:16" ht="12" customHeight="1">
      <c r="A64" s="179">
        <v>20</v>
      </c>
      <c r="B64" s="180">
        <v>0</v>
      </c>
      <c r="C64" s="181">
        <f t="shared" si="0"/>
        <v>44</v>
      </c>
      <c r="D64" s="180">
        <v>0</v>
      </c>
      <c r="E64" s="181">
        <f t="shared" si="1"/>
        <v>68</v>
      </c>
      <c r="F64" s="180">
        <v>0</v>
      </c>
      <c r="G64" s="181">
        <f t="shared" si="2"/>
        <v>92</v>
      </c>
      <c r="H64" s="182">
        <v>0</v>
      </c>
      <c r="I64" s="181">
        <f t="shared" si="3"/>
        <v>116</v>
      </c>
      <c r="J64" s="182">
        <v>0</v>
      </c>
      <c r="K64" s="181">
        <f t="shared" si="4"/>
        <v>140</v>
      </c>
      <c r="L64" s="182">
        <v>0</v>
      </c>
      <c r="M64" s="183">
        <f t="shared" si="5"/>
        <v>164</v>
      </c>
      <c r="N64" s="184">
        <v>0</v>
      </c>
      <c r="P64" s="178"/>
    </row>
    <row r="65" spans="1:16" ht="12" customHeight="1">
      <c r="A65" s="179">
        <v>21</v>
      </c>
      <c r="B65" s="180">
        <v>0</v>
      </c>
      <c r="C65" s="181">
        <f t="shared" si="0"/>
        <v>45</v>
      </c>
      <c r="D65" s="180">
        <v>0</v>
      </c>
      <c r="E65" s="181">
        <f t="shared" si="1"/>
        <v>69</v>
      </c>
      <c r="F65" s="180">
        <v>0</v>
      </c>
      <c r="G65" s="181">
        <f t="shared" si="2"/>
        <v>93</v>
      </c>
      <c r="H65" s="182">
        <v>0</v>
      </c>
      <c r="I65" s="181">
        <f t="shared" si="3"/>
        <v>117</v>
      </c>
      <c r="J65" s="182">
        <v>0</v>
      </c>
      <c r="K65" s="181">
        <f t="shared" si="4"/>
        <v>141</v>
      </c>
      <c r="L65" s="182">
        <v>0</v>
      </c>
      <c r="M65" s="183">
        <f t="shared" si="5"/>
        <v>165</v>
      </c>
      <c r="N65" s="184">
        <v>0</v>
      </c>
      <c r="P65" s="178"/>
    </row>
    <row r="66" spans="1:16" ht="12" customHeight="1">
      <c r="A66" s="179">
        <v>22</v>
      </c>
      <c r="B66" s="180">
        <v>0</v>
      </c>
      <c r="C66" s="181">
        <f t="shared" si="0"/>
        <v>46</v>
      </c>
      <c r="D66" s="180">
        <v>0</v>
      </c>
      <c r="E66" s="181">
        <f t="shared" si="1"/>
        <v>70</v>
      </c>
      <c r="F66" s="180">
        <v>0</v>
      </c>
      <c r="G66" s="181">
        <f t="shared" si="2"/>
        <v>94</v>
      </c>
      <c r="H66" s="182">
        <v>0</v>
      </c>
      <c r="I66" s="181">
        <f t="shared" si="3"/>
        <v>118</v>
      </c>
      <c r="J66" s="182">
        <v>0</v>
      </c>
      <c r="K66" s="181">
        <f t="shared" si="4"/>
        <v>142</v>
      </c>
      <c r="L66" s="182">
        <v>0</v>
      </c>
      <c r="M66" s="183">
        <f t="shared" si="5"/>
        <v>166</v>
      </c>
      <c r="N66" s="184">
        <v>0</v>
      </c>
      <c r="P66" s="178"/>
    </row>
    <row r="67" spans="1:16" ht="12" customHeight="1">
      <c r="A67" s="186">
        <v>23</v>
      </c>
      <c r="B67" s="187">
        <v>0</v>
      </c>
      <c r="C67" s="188">
        <f t="shared" si="0"/>
        <v>47</v>
      </c>
      <c r="D67" s="187">
        <v>0</v>
      </c>
      <c r="E67" s="188">
        <f t="shared" si="1"/>
        <v>71</v>
      </c>
      <c r="F67" s="187">
        <v>0</v>
      </c>
      <c r="G67" s="188">
        <f t="shared" si="2"/>
        <v>95</v>
      </c>
      <c r="H67" s="189">
        <v>0</v>
      </c>
      <c r="I67" s="188">
        <f t="shared" si="3"/>
        <v>119</v>
      </c>
      <c r="J67" s="189">
        <v>0</v>
      </c>
      <c r="K67" s="188">
        <f t="shared" si="4"/>
        <v>143</v>
      </c>
      <c r="L67" s="189">
        <v>0</v>
      </c>
      <c r="M67" s="190">
        <f t="shared" si="5"/>
        <v>167</v>
      </c>
      <c r="N67" s="191">
        <v>0</v>
      </c>
      <c r="P67" s="178"/>
    </row>
  </sheetData>
  <phoneticPr fontId="3"/>
  <pageMargins left="1.1811023622047245" right="0.70866141732283472" top="0.59055118110236227" bottom="0.39370078740157483" header="0.31496062992125984" footer="0.11811023622047245"/>
  <pageSetup paperSize="9" scale="67" orientation="landscape" horizontalDpi="1200" verticalDpi="1200" r:id="rId1"/>
  <headerFooter scaleWithDoc="0">
    <oddFooter>&amp;C&amp;"ＭＳ Ｐゴシック,標準"&amp;9( &amp;P /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Y67"/>
  <sheetViews>
    <sheetView showGridLines="0" zoomScale="80" zoomScaleNormal="80" workbookViewId="0"/>
  </sheetViews>
  <sheetFormatPr defaultColWidth="8" defaultRowHeight="12" customHeight="1"/>
  <cols>
    <col min="1" max="1" width="8.7109375" style="73" customWidth="1"/>
    <col min="2" max="19" width="7.5703125" style="73" customWidth="1"/>
    <col min="20" max="16384" width="8" style="73"/>
  </cols>
  <sheetData>
    <row r="1" spans="1:25" s="144" customFormat="1" ht="24" customHeight="1">
      <c r="A1" s="140" t="s">
        <v>105</v>
      </c>
      <c r="B1" s="141"/>
      <c r="C1" s="141"/>
      <c r="D1" s="141"/>
      <c r="E1" s="141"/>
      <c r="F1" s="141"/>
      <c r="G1" s="141"/>
      <c r="H1" s="141"/>
      <c r="I1" s="141"/>
      <c r="J1" s="141"/>
      <c r="K1" s="141"/>
      <c r="L1" s="141"/>
      <c r="M1" s="141"/>
      <c r="N1" s="141"/>
      <c r="O1" s="141"/>
      <c r="P1" s="141"/>
      <c r="Q1" s="141"/>
      <c r="R1" s="141"/>
      <c r="S1" s="142"/>
      <c r="T1" s="142"/>
      <c r="U1" s="142"/>
      <c r="V1" s="142"/>
      <c r="W1" s="142"/>
      <c r="X1" s="142"/>
      <c r="Y1" s="143"/>
    </row>
    <row r="2" spans="1:25" ht="12" customHeight="1" thickBot="1">
      <c r="S2" s="63"/>
    </row>
    <row r="3" spans="1:25" ht="12" customHeight="1">
      <c r="A3" s="145" t="s">
        <v>67</v>
      </c>
      <c r="B3" s="145"/>
      <c r="C3" s="145"/>
      <c r="D3" s="37" t="s">
        <v>29</v>
      </c>
      <c r="E3" s="145"/>
      <c r="F3" s="145"/>
      <c r="G3" s="145"/>
      <c r="H3" s="145"/>
      <c r="I3" s="145"/>
      <c r="J3" s="145"/>
      <c r="K3" s="145"/>
      <c r="L3" s="145"/>
      <c r="M3" s="145"/>
      <c r="N3" s="145"/>
      <c r="O3" s="145"/>
      <c r="P3" s="145"/>
      <c r="Q3" s="145"/>
      <c r="R3" s="145"/>
      <c r="S3" s="146"/>
      <c r="T3" s="145"/>
      <c r="U3" s="145"/>
      <c r="V3" s="145"/>
      <c r="W3" s="145"/>
      <c r="X3" s="145"/>
      <c r="Y3" s="145"/>
    </row>
    <row r="4" spans="1:25" ht="16.5" customHeight="1">
      <c r="A4" s="147"/>
      <c r="B4" s="148">
        <v>1</v>
      </c>
      <c r="C4" s="149">
        <v>2</v>
      </c>
      <c r="D4" s="150">
        <v>3</v>
      </c>
      <c r="E4" s="149">
        <v>4</v>
      </c>
      <c r="F4" s="149">
        <v>5</v>
      </c>
      <c r="G4" s="149">
        <v>6</v>
      </c>
      <c r="H4" s="149">
        <v>7</v>
      </c>
      <c r="I4" s="149">
        <v>8</v>
      </c>
      <c r="J4" s="149">
        <v>9</v>
      </c>
      <c r="K4" s="149">
        <v>10</v>
      </c>
      <c r="L4" s="149">
        <v>11</v>
      </c>
      <c r="M4" s="149">
        <v>12</v>
      </c>
      <c r="N4" s="149">
        <v>13</v>
      </c>
      <c r="O4" s="149">
        <v>14</v>
      </c>
      <c r="P4" s="149">
        <v>15</v>
      </c>
      <c r="Q4" s="149">
        <v>16</v>
      </c>
      <c r="R4" s="149">
        <v>17</v>
      </c>
      <c r="S4" s="149">
        <v>18</v>
      </c>
      <c r="T4" s="151">
        <v>19</v>
      </c>
      <c r="U4" s="151">
        <v>20</v>
      </c>
      <c r="V4" s="151">
        <v>21</v>
      </c>
      <c r="W4" s="151">
        <v>22</v>
      </c>
      <c r="X4" s="151">
        <v>23</v>
      </c>
      <c r="Y4" s="152">
        <v>24</v>
      </c>
    </row>
    <row r="5" spans="1:25" ht="12" customHeight="1">
      <c r="A5" s="153" t="s">
        <v>99</v>
      </c>
      <c r="B5" s="200">
        <v>9.6999999999999993</v>
      </c>
      <c r="C5" s="201">
        <v>9.1</v>
      </c>
      <c r="D5" s="201">
        <v>8.5</v>
      </c>
      <c r="E5" s="201">
        <v>8</v>
      </c>
      <c r="F5" s="201">
        <v>7.5</v>
      </c>
      <c r="G5" s="201">
        <v>7</v>
      </c>
      <c r="H5" s="201">
        <v>6.5</v>
      </c>
      <c r="I5" s="201">
        <v>6.1</v>
      </c>
      <c r="J5" s="201">
        <v>5.8</v>
      </c>
      <c r="K5" s="201">
        <v>5.7</v>
      </c>
      <c r="L5" s="201">
        <v>5.9</v>
      </c>
      <c r="M5" s="201">
        <v>6.3</v>
      </c>
      <c r="N5" s="201">
        <v>6.9</v>
      </c>
      <c r="O5" s="201">
        <v>7.7</v>
      </c>
      <c r="P5" s="201">
        <v>8.6</v>
      </c>
      <c r="Q5" s="201">
        <v>9.5</v>
      </c>
      <c r="R5" s="201">
        <v>10.3</v>
      </c>
      <c r="S5" s="201">
        <v>11</v>
      </c>
      <c r="T5" s="202">
        <v>11.4</v>
      </c>
      <c r="U5" s="202">
        <v>11.6</v>
      </c>
      <c r="V5" s="202">
        <v>11.5</v>
      </c>
      <c r="W5" s="202">
        <v>11.2</v>
      </c>
      <c r="X5" s="202">
        <v>10.7</v>
      </c>
      <c r="Y5" s="203">
        <v>10.199999999999999</v>
      </c>
    </row>
    <row r="6" spans="1:25" ht="12" customHeight="1">
      <c r="A6" s="158" t="s">
        <v>68</v>
      </c>
      <c r="B6" s="159">
        <v>12.6</v>
      </c>
      <c r="C6" s="160">
        <v>11.8</v>
      </c>
      <c r="D6" s="160">
        <v>11</v>
      </c>
      <c r="E6" s="160">
        <v>10.199999999999999</v>
      </c>
      <c r="F6" s="160">
        <v>9.5</v>
      </c>
      <c r="G6" s="160">
        <v>8.8000000000000007</v>
      </c>
      <c r="H6" s="160">
        <v>8.1999999999999993</v>
      </c>
      <c r="I6" s="160">
        <v>7.6</v>
      </c>
      <c r="J6" s="160">
        <v>7.2</v>
      </c>
      <c r="K6" s="160">
        <v>7.1</v>
      </c>
      <c r="L6" s="160">
        <v>7.3</v>
      </c>
      <c r="M6" s="160">
        <v>7.9</v>
      </c>
      <c r="N6" s="160">
        <v>8.8000000000000007</v>
      </c>
      <c r="O6" s="160">
        <v>9.9</v>
      </c>
      <c r="P6" s="160">
        <v>11.2</v>
      </c>
      <c r="Q6" s="160">
        <v>12.6</v>
      </c>
      <c r="R6" s="160">
        <v>13.8</v>
      </c>
      <c r="S6" s="160">
        <v>14.7</v>
      </c>
      <c r="T6" s="161">
        <v>15.3</v>
      </c>
      <c r="U6" s="161">
        <v>15.5</v>
      </c>
      <c r="V6" s="161">
        <v>15.4</v>
      </c>
      <c r="W6" s="161">
        <v>14.9</v>
      </c>
      <c r="X6" s="161">
        <v>14.2</v>
      </c>
      <c r="Y6" s="162">
        <v>13.4</v>
      </c>
    </row>
    <row r="7" spans="1:25" ht="12" customHeight="1">
      <c r="A7" s="158" t="s">
        <v>69</v>
      </c>
      <c r="B7" s="159" t="s">
        <v>100</v>
      </c>
      <c r="C7" s="160" t="s">
        <v>100</v>
      </c>
      <c r="D7" s="160" t="s">
        <v>100</v>
      </c>
      <c r="E7" s="160" t="s">
        <v>100</v>
      </c>
      <c r="F7" s="160" t="s">
        <v>100</v>
      </c>
      <c r="G7" s="160" t="s">
        <v>100</v>
      </c>
      <c r="H7" s="160" t="s">
        <v>100</v>
      </c>
      <c r="I7" s="160" t="s">
        <v>100</v>
      </c>
      <c r="J7" s="160" t="s">
        <v>100</v>
      </c>
      <c r="K7" s="160" t="s">
        <v>100</v>
      </c>
      <c r="L7" s="160" t="s">
        <v>100</v>
      </c>
      <c r="M7" s="160" t="s">
        <v>100</v>
      </c>
      <c r="N7" s="160" t="s">
        <v>100</v>
      </c>
      <c r="O7" s="160" t="s">
        <v>100</v>
      </c>
      <c r="P7" s="160" t="s">
        <v>100</v>
      </c>
      <c r="Q7" s="160" t="s">
        <v>100</v>
      </c>
      <c r="R7" s="160" t="s">
        <v>100</v>
      </c>
      <c r="S7" s="160" t="s">
        <v>100</v>
      </c>
      <c r="T7" s="161" t="s">
        <v>100</v>
      </c>
      <c r="U7" s="161" t="s">
        <v>100</v>
      </c>
      <c r="V7" s="161" t="s">
        <v>100</v>
      </c>
      <c r="W7" s="161" t="s">
        <v>100</v>
      </c>
      <c r="X7" s="161" t="s">
        <v>100</v>
      </c>
      <c r="Y7" s="162" t="s">
        <v>100</v>
      </c>
    </row>
    <row r="8" spans="1:25" ht="12" customHeight="1">
      <c r="A8" s="158" t="s">
        <v>70</v>
      </c>
      <c r="B8" s="159" t="s">
        <v>100</v>
      </c>
      <c r="C8" s="160" t="s">
        <v>100</v>
      </c>
      <c r="D8" s="160" t="s">
        <v>100</v>
      </c>
      <c r="E8" s="160" t="s">
        <v>100</v>
      </c>
      <c r="F8" s="160" t="s">
        <v>100</v>
      </c>
      <c r="G8" s="160" t="s">
        <v>100</v>
      </c>
      <c r="H8" s="160" t="s">
        <v>100</v>
      </c>
      <c r="I8" s="160" t="s">
        <v>100</v>
      </c>
      <c r="J8" s="160" t="s">
        <v>100</v>
      </c>
      <c r="K8" s="160" t="s">
        <v>100</v>
      </c>
      <c r="L8" s="160" t="s">
        <v>100</v>
      </c>
      <c r="M8" s="160" t="s">
        <v>100</v>
      </c>
      <c r="N8" s="160" t="s">
        <v>100</v>
      </c>
      <c r="O8" s="160" t="s">
        <v>100</v>
      </c>
      <c r="P8" s="160" t="s">
        <v>100</v>
      </c>
      <c r="Q8" s="160" t="s">
        <v>100</v>
      </c>
      <c r="R8" s="160" t="s">
        <v>100</v>
      </c>
      <c r="S8" s="160" t="s">
        <v>100</v>
      </c>
      <c r="T8" s="161" t="s">
        <v>100</v>
      </c>
      <c r="U8" s="161" t="s">
        <v>100</v>
      </c>
      <c r="V8" s="161" t="s">
        <v>100</v>
      </c>
      <c r="W8" s="161" t="s">
        <v>100</v>
      </c>
      <c r="X8" s="161" t="s">
        <v>100</v>
      </c>
      <c r="Y8" s="162" t="s">
        <v>100</v>
      </c>
    </row>
    <row r="9" spans="1:25" ht="12" customHeight="1">
      <c r="A9" s="158" t="s">
        <v>71</v>
      </c>
      <c r="B9" s="159" t="s">
        <v>100</v>
      </c>
      <c r="C9" s="160" t="s">
        <v>100</v>
      </c>
      <c r="D9" s="160" t="s">
        <v>100</v>
      </c>
      <c r="E9" s="160" t="s">
        <v>100</v>
      </c>
      <c r="F9" s="160" t="s">
        <v>100</v>
      </c>
      <c r="G9" s="160" t="s">
        <v>100</v>
      </c>
      <c r="H9" s="160" t="s">
        <v>100</v>
      </c>
      <c r="I9" s="160" t="s">
        <v>100</v>
      </c>
      <c r="J9" s="160" t="s">
        <v>100</v>
      </c>
      <c r="K9" s="160" t="s">
        <v>100</v>
      </c>
      <c r="L9" s="160" t="s">
        <v>100</v>
      </c>
      <c r="M9" s="160" t="s">
        <v>100</v>
      </c>
      <c r="N9" s="160" t="s">
        <v>100</v>
      </c>
      <c r="O9" s="160" t="s">
        <v>100</v>
      </c>
      <c r="P9" s="160" t="s">
        <v>100</v>
      </c>
      <c r="Q9" s="160" t="s">
        <v>100</v>
      </c>
      <c r="R9" s="160" t="s">
        <v>100</v>
      </c>
      <c r="S9" s="160" t="s">
        <v>100</v>
      </c>
      <c r="T9" s="161" t="s">
        <v>100</v>
      </c>
      <c r="U9" s="161" t="s">
        <v>100</v>
      </c>
      <c r="V9" s="161" t="s">
        <v>100</v>
      </c>
      <c r="W9" s="161" t="s">
        <v>100</v>
      </c>
      <c r="X9" s="161" t="s">
        <v>100</v>
      </c>
      <c r="Y9" s="162" t="s">
        <v>100</v>
      </c>
    </row>
    <row r="10" spans="1:25" ht="12" customHeight="1">
      <c r="A10" s="158" t="s">
        <v>72</v>
      </c>
      <c r="B10" s="159" t="s">
        <v>100</v>
      </c>
      <c r="C10" s="160" t="s">
        <v>100</v>
      </c>
      <c r="D10" s="160" t="s">
        <v>100</v>
      </c>
      <c r="E10" s="160" t="s">
        <v>100</v>
      </c>
      <c r="F10" s="160" t="s">
        <v>100</v>
      </c>
      <c r="G10" s="160" t="s">
        <v>100</v>
      </c>
      <c r="H10" s="160" t="s">
        <v>100</v>
      </c>
      <c r="I10" s="160" t="s">
        <v>100</v>
      </c>
      <c r="J10" s="160" t="s">
        <v>100</v>
      </c>
      <c r="K10" s="160" t="s">
        <v>100</v>
      </c>
      <c r="L10" s="160" t="s">
        <v>100</v>
      </c>
      <c r="M10" s="160" t="s">
        <v>100</v>
      </c>
      <c r="N10" s="160" t="s">
        <v>100</v>
      </c>
      <c r="O10" s="160" t="s">
        <v>100</v>
      </c>
      <c r="P10" s="160" t="s">
        <v>100</v>
      </c>
      <c r="Q10" s="160" t="s">
        <v>100</v>
      </c>
      <c r="R10" s="160" t="s">
        <v>100</v>
      </c>
      <c r="S10" s="160" t="s">
        <v>100</v>
      </c>
      <c r="T10" s="161" t="s">
        <v>100</v>
      </c>
      <c r="U10" s="161" t="s">
        <v>100</v>
      </c>
      <c r="V10" s="161" t="s">
        <v>100</v>
      </c>
      <c r="W10" s="161" t="s">
        <v>100</v>
      </c>
      <c r="X10" s="161" t="s">
        <v>100</v>
      </c>
      <c r="Y10" s="162" t="s">
        <v>100</v>
      </c>
    </row>
    <row r="11" spans="1:25" ht="12" customHeight="1">
      <c r="A11" s="158" t="s">
        <v>73</v>
      </c>
      <c r="B11" s="159" t="s">
        <v>100</v>
      </c>
      <c r="C11" s="160" t="s">
        <v>100</v>
      </c>
      <c r="D11" s="160" t="s">
        <v>100</v>
      </c>
      <c r="E11" s="160" t="s">
        <v>100</v>
      </c>
      <c r="F11" s="160" t="s">
        <v>100</v>
      </c>
      <c r="G11" s="160" t="s">
        <v>100</v>
      </c>
      <c r="H11" s="160" t="s">
        <v>100</v>
      </c>
      <c r="I11" s="160" t="s">
        <v>100</v>
      </c>
      <c r="J11" s="160" t="s">
        <v>100</v>
      </c>
      <c r="K11" s="160" t="s">
        <v>100</v>
      </c>
      <c r="L11" s="160" t="s">
        <v>100</v>
      </c>
      <c r="M11" s="160" t="s">
        <v>100</v>
      </c>
      <c r="N11" s="160" t="s">
        <v>100</v>
      </c>
      <c r="O11" s="160" t="s">
        <v>100</v>
      </c>
      <c r="P11" s="160" t="s">
        <v>100</v>
      </c>
      <c r="Q11" s="160" t="s">
        <v>100</v>
      </c>
      <c r="R11" s="160" t="s">
        <v>100</v>
      </c>
      <c r="S11" s="160" t="s">
        <v>100</v>
      </c>
      <c r="T11" s="161" t="s">
        <v>100</v>
      </c>
      <c r="U11" s="161" t="s">
        <v>100</v>
      </c>
      <c r="V11" s="161" t="s">
        <v>100</v>
      </c>
      <c r="W11" s="161" t="s">
        <v>100</v>
      </c>
      <c r="X11" s="161" t="s">
        <v>100</v>
      </c>
      <c r="Y11" s="162" t="s">
        <v>100</v>
      </c>
    </row>
    <row r="12" spans="1:25" ht="12" customHeight="1">
      <c r="A12" s="158" t="s">
        <v>74</v>
      </c>
      <c r="B12" s="159" t="s">
        <v>100</v>
      </c>
      <c r="C12" s="160" t="s">
        <v>100</v>
      </c>
      <c r="D12" s="160" t="s">
        <v>100</v>
      </c>
      <c r="E12" s="160" t="s">
        <v>100</v>
      </c>
      <c r="F12" s="160" t="s">
        <v>100</v>
      </c>
      <c r="G12" s="160" t="s">
        <v>100</v>
      </c>
      <c r="H12" s="160" t="s">
        <v>100</v>
      </c>
      <c r="I12" s="160" t="s">
        <v>100</v>
      </c>
      <c r="J12" s="160" t="s">
        <v>100</v>
      </c>
      <c r="K12" s="160" t="s">
        <v>100</v>
      </c>
      <c r="L12" s="160" t="s">
        <v>100</v>
      </c>
      <c r="M12" s="160" t="s">
        <v>100</v>
      </c>
      <c r="N12" s="160" t="s">
        <v>100</v>
      </c>
      <c r="O12" s="160" t="s">
        <v>100</v>
      </c>
      <c r="P12" s="160" t="s">
        <v>100</v>
      </c>
      <c r="Q12" s="160" t="s">
        <v>100</v>
      </c>
      <c r="R12" s="160" t="s">
        <v>100</v>
      </c>
      <c r="S12" s="160" t="s">
        <v>100</v>
      </c>
      <c r="T12" s="161" t="s">
        <v>100</v>
      </c>
      <c r="U12" s="161" t="s">
        <v>100</v>
      </c>
      <c r="V12" s="161" t="s">
        <v>100</v>
      </c>
      <c r="W12" s="161" t="s">
        <v>100</v>
      </c>
      <c r="X12" s="161" t="s">
        <v>100</v>
      </c>
      <c r="Y12" s="162" t="s">
        <v>100</v>
      </c>
    </row>
    <row r="13" spans="1:25" ht="12" customHeight="1">
      <c r="A13" s="158" t="s">
        <v>75</v>
      </c>
      <c r="B13" s="159" t="s">
        <v>100</v>
      </c>
      <c r="C13" s="160" t="s">
        <v>100</v>
      </c>
      <c r="D13" s="160" t="s">
        <v>100</v>
      </c>
      <c r="E13" s="160" t="s">
        <v>100</v>
      </c>
      <c r="F13" s="160" t="s">
        <v>100</v>
      </c>
      <c r="G13" s="160" t="s">
        <v>100</v>
      </c>
      <c r="H13" s="160" t="s">
        <v>100</v>
      </c>
      <c r="I13" s="160" t="s">
        <v>100</v>
      </c>
      <c r="J13" s="160" t="s">
        <v>100</v>
      </c>
      <c r="K13" s="160" t="s">
        <v>100</v>
      </c>
      <c r="L13" s="160" t="s">
        <v>100</v>
      </c>
      <c r="M13" s="160" t="s">
        <v>100</v>
      </c>
      <c r="N13" s="160" t="s">
        <v>100</v>
      </c>
      <c r="O13" s="160" t="s">
        <v>100</v>
      </c>
      <c r="P13" s="160" t="s">
        <v>100</v>
      </c>
      <c r="Q13" s="160" t="s">
        <v>100</v>
      </c>
      <c r="R13" s="160" t="s">
        <v>100</v>
      </c>
      <c r="S13" s="160" t="s">
        <v>100</v>
      </c>
      <c r="T13" s="161" t="s">
        <v>100</v>
      </c>
      <c r="U13" s="161" t="s">
        <v>100</v>
      </c>
      <c r="V13" s="161" t="s">
        <v>100</v>
      </c>
      <c r="W13" s="161" t="s">
        <v>100</v>
      </c>
      <c r="X13" s="161" t="s">
        <v>100</v>
      </c>
      <c r="Y13" s="162" t="s">
        <v>100</v>
      </c>
    </row>
    <row r="14" spans="1:25" ht="12" customHeight="1">
      <c r="A14" s="163" t="s">
        <v>76</v>
      </c>
      <c r="B14" s="164" t="s">
        <v>100</v>
      </c>
      <c r="C14" s="165" t="s">
        <v>100</v>
      </c>
      <c r="D14" s="165" t="s">
        <v>100</v>
      </c>
      <c r="E14" s="165" t="s">
        <v>100</v>
      </c>
      <c r="F14" s="165" t="s">
        <v>100</v>
      </c>
      <c r="G14" s="165" t="s">
        <v>100</v>
      </c>
      <c r="H14" s="165" t="s">
        <v>100</v>
      </c>
      <c r="I14" s="165" t="s">
        <v>100</v>
      </c>
      <c r="J14" s="165" t="s">
        <v>100</v>
      </c>
      <c r="K14" s="165" t="s">
        <v>100</v>
      </c>
      <c r="L14" s="165" t="s">
        <v>100</v>
      </c>
      <c r="M14" s="165" t="s">
        <v>100</v>
      </c>
      <c r="N14" s="165" t="s">
        <v>100</v>
      </c>
      <c r="O14" s="165" t="s">
        <v>100</v>
      </c>
      <c r="P14" s="165" t="s">
        <v>100</v>
      </c>
      <c r="Q14" s="165" t="s">
        <v>100</v>
      </c>
      <c r="R14" s="165" t="s">
        <v>100</v>
      </c>
      <c r="S14" s="165" t="s">
        <v>100</v>
      </c>
      <c r="T14" s="166" t="s">
        <v>100</v>
      </c>
      <c r="U14" s="166" t="s">
        <v>100</v>
      </c>
      <c r="V14" s="166" t="s">
        <v>100</v>
      </c>
      <c r="W14" s="166" t="s">
        <v>100</v>
      </c>
      <c r="X14" s="166" t="s">
        <v>100</v>
      </c>
      <c r="Y14" s="167" t="s">
        <v>100</v>
      </c>
    </row>
    <row r="15" spans="1:25" ht="12" customHeight="1" thickBot="1"/>
    <row r="16" spans="1:25" ht="12" customHeight="1">
      <c r="A16" s="145" t="s">
        <v>67</v>
      </c>
      <c r="B16" s="145"/>
      <c r="C16" s="145"/>
      <c r="D16" s="38" t="s">
        <v>18</v>
      </c>
      <c r="E16" s="145"/>
      <c r="F16" s="145"/>
      <c r="G16" s="145"/>
      <c r="H16" s="145"/>
      <c r="I16" s="145"/>
      <c r="J16" s="145"/>
      <c r="K16" s="145"/>
      <c r="L16" s="145"/>
      <c r="M16" s="145"/>
      <c r="N16" s="145"/>
      <c r="O16" s="145"/>
      <c r="P16" s="145"/>
      <c r="Q16" s="145"/>
      <c r="R16" s="145"/>
      <c r="S16" s="146"/>
      <c r="T16" s="145"/>
      <c r="U16" s="145"/>
      <c r="V16" s="145"/>
      <c r="W16" s="145"/>
      <c r="X16" s="145"/>
      <c r="Y16" s="145"/>
    </row>
    <row r="17" spans="1:25" ht="16.5" customHeight="1">
      <c r="A17" s="147"/>
      <c r="B17" s="148">
        <v>1</v>
      </c>
      <c r="C17" s="149">
        <v>2</v>
      </c>
      <c r="D17" s="150">
        <v>3</v>
      </c>
      <c r="E17" s="149">
        <v>4</v>
      </c>
      <c r="F17" s="149">
        <v>5</v>
      </c>
      <c r="G17" s="149">
        <v>6</v>
      </c>
      <c r="H17" s="149">
        <v>7</v>
      </c>
      <c r="I17" s="149">
        <v>8</v>
      </c>
      <c r="J17" s="149">
        <v>9</v>
      </c>
      <c r="K17" s="149">
        <v>10</v>
      </c>
      <c r="L17" s="149">
        <v>11</v>
      </c>
      <c r="M17" s="149">
        <v>12</v>
      </c>
      <c r="N17" s="149">
        <v>13</v>
      </c>
      <c r="O17" s="149">
        <v>14</v>
      </c>
      <c r="P17" s="149">
        <v>15</v>
      </c>
      <c r="Q17" s="149">
        <v>16</v>
      </c>
      <c r="R17" s="149">
        <v>17</v>
      </c>
      <c r="S17" s="149">
        <v>18</v>
      </c>
      <c r="T17" s="151">
        <v>19</v>
      </c>
      <c r="U17" s="151">
        <v>20</v>
      </c>
      <c r="V17" s="151">
        <v>21</v>
      </c>
      <c r="W17" s="151">
        <v>22</v>
      </c>
      <c r="X17" s="151">
        <v>23</v>
      </c>
      <c r="Y17" s="152">
        <v>24</v>
      </c>
    </row>
    <row r="18" spans="1:25" ht="12" customHeight="1">
      <c r="A18" s="153" t="s">
        <v>101</v>
      </c>
      <c r="B18" s="200">
        <v>8</v>
      </c>
      <c r="C18" s="201">
        <v>7.5</v>
      </c>
      <c r="D18" s="201">
        <v>7.1</v>
      </c>
      <c r="E18" s="201">
        <v>6.6</v>
      </c>
      <c r="F18" s="201">
        <v>6.2</v>
      </c>
      <c r="G18" s="201">
        <v>5.7</v>
      </c>
      <c r="H18" s="201">
        <v>5.3</v>
      </c>
      <c r="I18" s="201">
        <v>5</v>
      </c>
      <c r="J18" s="201">
        <v>4.7</v>
      </c>
      <c r="K18" s="201">
        <v>4.5999999999999996</v>
      </c>
      <c r="L18" s="201">
        <v>4.7</v>
      </c>
      <c r="M18" s="201">
        <v>5.0999999999999996</v>
      </c>
      <c r="N18" s="201">
        <v>5.6</v>
      </c>
      <c r="O18" s="201">
        <v>6.2</v>
      </c>
      <c r="P18" s="201">
        <v>6.9</v>
      </c>
      <c r="Q18" s="201">
        <v>7.6</v>
      </c>
      <c r="R18" s="201">
        <v>8.3000000000000007</v>
      </c>
      <c r="S18" s="201">
        <v>8.8000000000000007</v>
      </c>
      <c r="T18" s="202">
        <v>9.1999999999999993</v>
      </c>
      <c r="U18" s="202">
        <v>9.4</v>
      </c>
      <c r="V18" s="202">
        <v>9.4</v>
      </c>
      <c r="W18" s="202">
        <v>9.1999999999999993</v>
      </c>
      <c r="X18" s="202">
        <v>8.9</v>
      </c>
      <c r="Y18" s="203">
        <v>8.5</v>
      </c>
    </row>
    <row r="19" spans="1:25" ht="12" customHeight="1">
      <c r="A19" s="158" t="s">
        <v>68</v>
      </c>
      <c r="B19" s="159">
        <v>14.3</v>
      </c>
      <c r="C19" s="160">
        <v>13.3</v>
      </c>
      <c r="D19" s="160">
        <v>12.3</v>
      </c>
      <c r="E19" s="160">
        <v>11.3</v>
      </c>
      <c r="F19" s="160">
        <v>10.4</v>
      </c>
      <c r="G19" s="160">
        <v>9.6</v>
      </c>
      <c r="H19" s="160">
        <v>8.8000000000000007</v>
      </c>
      <c r="I19" s="160">
        <v>8.1999999999999993</v>
      </c>
      <c r="J19" s="160">
        <v>7.7</v>
      </c>
      <c r="K19" s="160">
        <v>7.6</v>
      </c>
      <c r="L19" s="160">
        <v>8</v>
      </c>
      <c r="M19" s="160">
        <v>8.6999999999999993</v>
      </c>
      <c r="N19" s="160">
        <v>9.9</v>
      </c>
      <c r="O19" s="160">
        <v>11.3</v>
      </c>
      <c r="P19" s="160">
        <v>12.9</v>
      </c>
      <c r="Q19" s="160">
        <v>14.5</v>
      </c>
      <c r="R19" s="160">
        <v>15.9</v>
      </c>
      <c r="S19" s="160">
        <v>17</v>
      </c>
      <c r="T19" s="161">
        <v>17.7</v>
      </c>
      <c r="U19" s="161">
        <v>18</v>
      </c>
      <c r="V19" s="161">
        <v>17.8</v>
      </c>
      <c r="W19" s="161">
        <v>17.2</v>
      </c>
      <c r="X19" s="161">
        <v>16.3</v>
      </c>
      <c r="Y19" s="162">
        <v>15.4</v>
      </c>
    </row>
    <row r="20" spans="1:25" ht="12" customHeight="1">
      <c r="A20" s="158" t="s">
        <v>69</v>
      </c>
      <c r="B20" s="159" t="s">
        <v>100</v>
      </c>
      <c r="C20" s="160" t="s">
        <v>100</v>
      </c>
      <c r="D20" s="160" t="s">
        <v>100</v>
      </c>
      <c r="E20" s="160" t="s">
        <v>100</v>
      </c>
      <c r="F20" s="160" t="s">
        <v>100</v>
      </c>
      <c r="G20" s="160" t="s">
        <v>100</v>
      </c>
      <c r="H20" s="160" t="s">
        <v>100</v>
      </c>
      <c r="I20" s="160" t="s">
        <v>100</v>
      </c>
      <c r="J20" s="160" t="s">
        <v>100</v>
      </c>
      <c r="K20" s="160" t="s">
        <v>100</v>
      </c>
      <c r="L20" s="160" t="s">
        <v>100</v>
      </c>
      <c r="M20" s="160" t="s">
        <v>100</v>
      </c>
      <c r="N20" s="160" t="s">
        <v>100</v>
      </c>
      <c r="O20" s="160" t="s">
        <v>100</v>
      </c>
      <c r="P20" s="160" t="s">
        <v>100</v>
      </c>
      <c r="Q20" s="160" t="s">
        <v>100</v>
      </c>
      <c r="R20" s="160" t="s">
        <v>100</v>
      </c>
      <c r="S20" s="160" t="s">
        <v>100</v>
      </c>
      <c r="T20" s="161" t="s">
        <v>100</v>
      </c>
      <c r="U20" s="161" t="s">
        <v>100</v>
      </c>
      <c r="V20" s="161" t="s">
        <v>100</v>
      </c>
      <c r="W20" s="161" t="s">
        <v>100</v>
      </c>
      <c r="X20" s="161" t="s">
        <v>100</v>
      </c>
      <c r="Y20" s="162" t="s">
        <v>100</v>
      </c>
    </row>
    <row r="21" spans="1:25" ht="12" customHeight="1">
      <c r="A21" s="158" t="s">
        <v>70</v>
      </c>
      <c r="B21" s="159" t="s">
        <v>100</v>
      </c>
      <c r="C21" s="160" t="s">
        <v>100</v>
      </c>
      <c r="D21" s="160" t="s">
        <v>100</v>
      </c>
      <c r="E21" s="160" t="s">
        <v>100</v>
      </c>
      <c r="F21" s="160" t="s">
        <v>100</v>
      </c>
      <c r="G21" s="160" t="s">
        <v>100</v>
      </c>
      <c r="H21" s="160" t="s">
        <v>100</v>
      </c>
      <c r="I21" s="160" t="s">
        <v>100</v>
      </c>
      <c r="J21" s="160" t="s">
        <v>100</v>
      </c>
      <c r="K21" s="160" t="s">
        <v>100</v>
      </c>
      <c r="L21" s="160" t="s">
        <v>100</v>
      </c>
      <c r="M21" s="160" t="s">
        <v>100</v>
      </c>
      <c r="N21" s="160" t="s">
        <v>100</v>
      </c>
      <c r="O21" s="160" t="s">
        <v>100</v>
      </c>
      <c r="P21" s="160" t="s">
        <v>100</v>
      </c>
      <c r="Q21" s="160" t="s">
        <v>100</v>
      </c>
      <c r="R21" s="160" t="s">
        <v>100</v>
      </c>
      <c r="S21" s="160" t="s">
        <v>100</v>
      </c>
      <c r="T21" s="161" t="s">
        <v>100</v>
      </c>
      <c r="U21" s="161" t="s">
        <v>100</v>
      </c>
      <c r="V21" s="161" t="s">
        <v>100</v>
      </c>
      <c r="W21" s="161" t="s">
        <v>100</v>
      </c>
      <c r="X21" s="161" t="s">
        <v>100</v>
      </c>
      <c r="Y21" s="162" t="s">
        <v>100</v>
      </c>
    </row>
    <row r="22" spans="1:25" ht="12" customHeight="1">
      <c r="A22" s="158" t="s">
        <v>71</v>
      </c>
      <c r="B22" s="159" t="s">
        <v>100</v>
      </c>
      <c r="C22" s="160" t="s">
        <v>100</v>
      </c>
      <c r="D22" s="160" t="s">
        <v>100</v>
      </c>
      <c r="E22" s="160" t="s">
        <v>100</v>
      </c>
      <c r="F22" s="160" t="s">
        <v>100</v>
      </c>
      <c r="G22" s="160" t="s">
        <v>100</v>
      </c>
      <c r="H22" s="160" t="s">
        <v>100</v>
      </c>
      <c r="I22" s="160" t="s">
        <v>100</v>
      </c>
      <c r="J22" s="160" t="s">
        <v>100</v>
      </c>
      <c r="K22" s="160" t="s">
        <v>100</v>
      </c>
      <c r="L22" s="160" t="s">
        <v>100</v>
      </c>
      <c r="M22" s="160" t="s">
        <v>100</v>
      </c>
      <c r="N22" s="160" t="s">
        <v>100</v>
      </c>
      <c r="O22" s="160" t="s">
        <v>100</v>
      </c>
      <c r="P22" s="160" t="s">
        <v>100</v>
      </c>
      <c r="Q22" s="160" t="s">
        <v>100</v>
      </c>
      <c r="R22" s="160" t="s">
        <v>100</v>
      </c>
      <c r="S22" s="160" t="s">
        <v>100</v>
      </c>
      <c r="T22" s="161" t="s">
        <v>100</v>
      </c>
      <c r="U22" s="161" t="s">
        <v>100</v>
      </c>
      <c r="V22" s="161" t="s">
        <v>100</v>
      </c>
      <c r="W22" s="161" t="s">
        <v>100</v>
      </c>
      <c r="X22" s="161" t="s">
        <v>100</v>
      </c>
      <c r="Y22" s="162" t="s">
        <v>100</v>
      </c>
    </row>
    <row r="23" spans="1:25" ht="12" customHeight="1">
      <c r="A23" s="158" t="s">
        <v>72</v>
      </c>
      <c r="B23" s="159" t="s">
        <v>100</v>
      </c>
      <c r="C23" s="160" t="s">
        <v>100</v>
      </c>
      <c r="D23" s="160" t="s">
        <v>100</v>
      </c>
      <c r="E23" s="160" t="s">
        <v>100</v>
      </c>
      <c r="F23" s="160" t="s">
        <v>100</v>
      </c>
      <c r="G23" s="160" t="s">
        <v>100</v>
      </c>
      <c r="H23" s="160" t="s">
        <v>100</v>
      </c>
      <c r="I23" s="160" t="s">
        <v>100</v>
      </c>
      <c r="J23" s="160" t="s">
        <v>100</v>
      </c>
      <c r="K23" s="160" t="s">
        <v>100</v>
      </c>
      <c r="L23" s="160" t="s">
        <v>100</v>
      </c>
      <c r="M23" s="160" t="s">
        <v>100</v>
      </c>
      <c r="N23" s="160" t="s">
        <v>100</v>
      </c>
      <c r="O23" s="160" t="s">
        <v>100</v>
      </c>
      <c r="P23" s="160" t="s">
        <v>100</v>
      </c>
      <c r="Q23" s="160" t="s">
        <v>100</v>
      </c>
      <c r="R23" s="160" t="s">
        <v>100</v>
      </c>
      <c r="S23" s="160" t="s">
        <v>100</v>
      </c>
      <c r="T23" s="161" t="s">
        <v>100</v>
      </c>
      <c r="U23" s="161" t="s">
        <v>100</v>
      </c>
      <c r="V23" s="161" t="s">
        <v>100</v>
      </c>
      <c r="W23" s="161" t="s">
        <v>100</v>
      </c>
      <c r="X23" s="161" t="s">
        <v>100</v>
      </c>
      <c r="Y23" s="162" t="s">
        <v>100</v>
      </c>
    </row>
    <row r="24" spans="1:25" ht="12" customHeight="1">
      <c r="A24" s="158" t="s">
        <v>73</v>
      </c>
      <c r="B24" s="159" t="s">
        <v>100</v>
      </c>
      <c r="C24" s="160" t="s">
        <v>100</v>
      </c>
      <c r="D24" s="160" t="s">
        <v>100</v>
      </c>
      <c r="E24" s="160" t="s">
        <v>100</v>
      </c>
      <c r="F24" s="160" t="s">
        <v>100</v>
      </c>
      <c r="G24" s="160" t="s">
        <v>100</v>
      </c>
      <c r="H24" s="160" t="s">
        <v>100</v>
      </c>
      <c r="I24" s="160" t="s">
        <v>100</v>
      </c>
      <c r="J24" s="160" t="s">
        <v>100</v>
      </c>
      <c r="K24" s="160" t="s">
        <v>100</v>
      </c>
      <c r="L24" s="160" t="s">
        <v>100</v>
      </c>
      <c r="M24" s="160" t="s">
        <v>100</v>
      </c>
      <c r="N24" s="160" t="s">
        <v>100</v>
      </c>
      <c r="O24" s="160" t="s">
        <v>100</v>
      </c>
      <c r="P24" s="160" t="s">
        <v>100</v>
      </c>
      <c r="Q24" s="160" t="s">
        <v>100</v>
      </c>
      <c r="R24" s="160" t="s">
        <v>100</v>
      </c>
      <c r="S24" s="160" t="s">
        <v>100</v>
      </c>
      <c r="T24" s="161" t="s">
        <v>100</v>
      </c>
      <c r="U24" s="161" t="s">
        <v>100</v>
      </c>
      <c r="V24" s="161" t="s">
        <v>100</v>
      </c>
      <c r="W24" s="161" t="s">
        <v>100</v>
      </c>
      <c r="X24" s="161" t="s">
        <v>100</v>
      </c>
      <c r="Y24" s="162" t="s">
        <v>100</v>
      </c>
    </row>
    <row r="25" spans="1:25" ht="12" customHeight="1">
      <c r="A25" s="158" t="s">
        <v>74</v>
      </c>
      <c r="B25" s="159" t="s">
        <v>100</v>
      </c>
      <c r="C25" s="160" t="s">
        <v>100</v>
      </c>
      <c r="D25" s="160" t="s">
        <v>100</v>
      </c>
      <c r="E25" s="160" t="s">
        <v>100</v>
      </c>
      <c r="F25" s="160" t="s">
        <v>100</v>
      </c>
      <c r="G25" s="160" t="s">
        <v>100</v>
      </c>
      <c r="H25" s="160" t="s">
        <v>100</v>
      </c>
      <c r="I25" s="160" t="s">
        <v>100</v>
      </c>
      <c r="J25" s="160" t="s">
        <v>100</v>
      </c>
      <c r="K25" s="160" t="s">
        <v>100</v>
      </c>
      <c r="L25" s="160" t="s">
        <v>100</v>
      </c>
      <c r="M25" s="160" t="s">
        <v>100</v>
      </c>
      <c r="N25" s="160" t="s">
        <v>100</v>
      </c>
      <c r="O25" s="160" t="s">
        <v>100</v>
      </c>
      <c r="P25" s="160" t="s">
        <v>100</v>
      </c>
      <c r="Q25" s="160" t="s">
        <v>100</v>
      </c>
      <c r="R25" s="160" t="s">
        <v>100</v>
      </c>
      <c r="S25" s="160" t="s">
        <v>100</v>
      </c>
      <c r="T25" s="161" t="s">
        <v>100</v>
      </c>
      <c r="U25" s="161" t="s">
        <v>100</v>
      </c>
      <c r="V25" s="161" t="s">
        <v>100</v>
      </c>
      <c r="W25" s="161" t="s">
        <v>100</v>
      </c>
      <c r="X25" s="161" t="s">
        <v>100</v>
      </c>
      <c r="Y25" s="162" t="s">
        <v>100</v>
      </c>
    </row>
    <row r="26" spans="1:25" ht="12" customHeight="1">
      <c r="A26" s="158" t="s">
        <v>75</v>
      </c>
      <c r="B26" s="159" t="s">
        <v>100</v>
      </c>
      <c r="C26" s="160" t="s">
        <v>100</v>
      </c>
      <c r="D26" s="160" t="s">
        <v>100</v>
      </c>
      <c r="E26" s="160" t="s">
        <v>100</v>
      </c>
      <c r="F26" s="160" t="s">
        <v>100</v>
      </c>
      <c r="G26" s="160" t="s">
        <v>100</v>
      </c>
      <c r="H26" s="160" t="s">
        <v>100</v>
      </c>
      <c r="I26" s="160" t="s">
        <v>100</v>
      </c>
      <c r="J26" s="160" t="s">
        <v>100</v>
      </c>
      <c r="K26" s="160" t="s">
        <v>100</v>
      </c>
      <c r="L26" s="160" t="s">
        <v>100</v>
      </c>
      <c r="M26" s="160" t="s">
        <v>100</v>
      </c>
      <c r="N26" s="160" t="s">
        <v>100</v>
      </c>
      <c r="O26" s="160" t="s">
        <v>100</v>
      </c>
      <c r="P26" s="160" t="s">
        <v>100</v>
      </c>
      <c r="Q26" s="160" t="s">
        <v>100</v>
      </c>
      <c r="R26" s="160" t="s">
        <v>100</v>
      </c>
      <c r="S26" s="160" t="s">
        <v>100</v>
      </c>
      <c r="T26" s="161" t="s">
        <v>100</v>
      </c>
      <c r="U26" s="161" t="s">
        <v>100</v>
      </c>
      <c r="V26" s="161" t="s">
        <v>100</v>
      </c>
      <c r="W26" s="161" t="s">
        <v>100</v>
      </c>
      <c r="X26" s="161" t="s">
        <v>100</v>
      </c>
      <c r="Y26" s="162" t="s">
        <v>100</v>
      </c>
    </row>
    <row r="27" spans="1:25" ht="12" customHeight="1">
      <c r="A27" s="163" t="s">
        <v>76</v>
      </c>
      <c r="B27" s="164" t="s">
        <v>100</v>
      </c>
      <c r="C27" s="165" t="s">
        <v>100</v>
      </c>
      <c r="D27" s="165" t="s">
        <v>100</v>
      </c>
      <c r="E27" s="165" t="s">
        <v>100</v>
      </c>
      <c r="F27" s="165" t="s">
        <v>100</v>
      </c>
      <c r="G27" s="165" t="s">
        <v>100</v>
      </c>
      <c r="H27" s="165" t="s">
        <v>100</v>
      </c>
      <c r="I27" s="165" t="s">
        <v>100</v>
      </c>
      <c r="J27" s="165" t="s">
        <v>100</v>
      </c>
      <c r="K27" s="165" t="s">
        <v>100</v>
      </c>
      <c r="L27" s="165" t="s">
        <v>100</v>
      </c>
      <c r="M27" s="165" t="s">
        <v>100</v>
      </c>
      <c r="N27" s="165" t="s">
        <v>100</v>
      </c>
      <c r="O27" s="165" t="s">
        <v>100</v>
      </c>
      <c r="P27" s="165" t="s">
        <v>100</v>
      </c>
      <c r="Q27" s="165" t="s">
        <v>100</v>
      </c>
      <c r="R27" s="165" t="s">
        <v>100</v>
      </c>
      <c r="S27" s="165" t="s">
        <v>100</v>
      </c>
      <c r="T27" s="166" t="s">
        <v>100</v>
      </c>
      <c r="U27" s="166" t="s">
        <v>100</v>
      </c>
      <c r="V27" s="166" t="s">
        <v>100</v>
      </c>
      <c r="W27" s="166" t="s">
        <v>100</v>
      </c>
      <c r="X27" s="166" t="s">
        <v>100</v>
      </c>
      <c r="Y27" s="167" t="s">
        <v>100</v>
      </c>
    </row>
    <row r="28" spans="1:25" ht="12" customHeight="1" thickBot="1"/>
    <row r="29" spans="1:25" ht="12" customHeight="1">
      <c r="A29" s="145" t="s">
        <v>67</v>
      </c>
      <c r="B29" s="145"/>
      <c r="C29" s="145"/>
      <c r="D29" s="39" t="s">
        <v>34</v>
      </c>
      <c r="E29" s="145"/>
      <c r="F29" s="145"/>
      <c r="G29" s="145"/>
      <c r="H29" s="145"/>
      <c r="I29" s="145"/>
      <c r="J29" s="145"/>
      <c r="K29" s="145"/>
      <c r="L29" s="145"/>
      <c r="M29" s="145"/>
      <c r="N29" s="145"/>
      <c r="O29" s="145"/>
      <c r="P29" s="145"/>
      <c r="Q29" s="145"/>
      <c r="R29" s="145"/>
      <c r="S29" s="146"/>
      <c r="T29" s="145"/>
      <c r="U29" s="145"/>
      <c r="V29" s="145"/>
      <c r="W29" s="145"/>
      <c r="X29" s="145"/>
      <c r="Y29" s="145"/>
    </row>
    <row r="30" spans="1:25" ht="16.5" customHeight="1">
      <c r="A30" s="147"/>
      <c r="B30" s="148">
        <v>1</v>
      </c>
      <c r="C30" s="149">
        <v>2</v>
      </c>
      <c r="D30" s="150">
        <v>3</v>
      </c>
      <c r="E30" s="149">
        <v>4</v>
      </c>
      <c r="F30" s="149">
        <v>5</v>
      </c>
      <c r="G30" s="149">
        <v>6</v>
      </c>
      <c r="H30" s="149">
        <v>7</v>
      </c>
      <c r="I30" s="149">
        <v>8</v>
      </c>
      <c r="J30" s="149">
        <v>9</v>
      </c>
      <c r="K30" s="149">
        <v>10</v>
      </c>
      <c r="L30" s="149">
        <v>11</v>
      </c>
      <c r="M30" s="149">
        <v>12</v>
      </c>
      <c r="N30" s="149">
        <v>13</v>
      </c>
      <c r="O30" s="149">
        <v>14</v>
      </c>
      <c r="P30" s="149">
        <v>15</v>
      </c>
      <c r="Q30" s="149">
        <v>16</v>
      </c>
      <c r="R30" s="149">
        <v>17</v>
      </c>
      <c r="S30" s="149">
        <v>18</v>
      </c>
      <c r="T30" s="151">
        <v>19</v>
      </c>
      <c r="U30" s="151">
        <v>20</v>
      </c>
      <c r="V30" s="151">
        <v>21</v>
      </c>
      <c r="W30" s="151">
        <v>22</v>
      </c>
      <c r="X30" s="151">
        <v>23</v>
      </c>
      <c r="Y30" s="152">
        <v>24</v>
      </c>
    </row>
    <row r="31" spans="1:25" ht="12" customHeight="1">
      <c r="A31" s="153" t="s">
        <v>102</v>
      </c>
      <c r="B31" s="200">
        <v>5</v>
      </c>
      <c r="C31" s="201">
        <v>4.5999999999999996</v>
      </c>
      <c r="D31" s="201">
        <v>4.3</v>
      </c>
      <c r="E31" s="201">
        <v>3.9</v>
      </c>
      <c r="F31" s="201">
        <v>3.5</v>
      </c>
      <c r="G31" s="201">
        <v>3.2</v>
      </c>
      <c r="H31" s="201">
        <v>2.8</v>
      </c>
      <c r="I31" s="201">
        <v>2.5</v>
      </c>
      <c r="J31" s="201">
        <v>2.2000000000000002</v>
      </c>
      <c r="K31" s="201">
        <v>2.1</v>
      </c>
      <c r="L31" s="201">
        <v>2.2000000000000002</v>
      </c>
      <c r="M31" s="201">
        <v>2.4</v>
      </c>
      <c r="N31" s="201">
        <v>2.8</v>
      </c>
      <c r="O31" s="201">
        <v>3.3</v>
      </c>
      <c r="P31" s="201">
        <v>4</v>
      </c>
      <c r="Q31" s="201">
        <v>4.5999999999999996</v>
      </c>
      <c r="R31" s="201">
        <v>5.2</v>
      </c>
      <c r="S31" s="201">
        <v>5.6</v>
      </c>
      <c r="T31" s="202">
        <v>6</v>
      </c>
      <c r="U31" s="202">
        <v>6.1</v>
      </c>
      <c r="V31" s="202">
        <v>6.1</v>
      </c>
      <c r="W31" s="202">
        <v>6</v>
      </c>
      <c r="X31" s="202">
        <v>5.7</v>
      </c>
      <c r="Y31" s="203">
        <v>5.4</v>
      </c>
    </row>
    <row r="32" spans="1:25" ht="12" customHeight="1">
      <c r="A32" s="158" t="s">
        <v>68</v>
      </c>
      <c r="B32" s="159">
        <v>10.199999999999999</v>
      </c>
      <c r="C32" s="160">
        <v>9.4</v>
      </c>
      <c r="D32" s="160">
        <v>8.5</v>
      </c>
      <c r="E32" s="160">
        <v>7.8</v>
      </c>
      <c r="F32" s="160">
        <v>7</v>
      </c>
      <c r="G32" s="160">
        <v>6.3</v>
      </c>
      <c r="H32" s="160">
        <v>5.7</v>
      </c>
      <c r="I32" s="160">
        <v>5.0999999999999996</v>
      </c>
      <c r="J32" s="160">
        <v>4.5999999999999996</v>
      </c>
      <c r="K32" s="160">
        <v>4.5</v>
      </c>
      <c r="L32" s="160">
        <v>4.7</v>
      </c>
      <c r="M32" s="160">
        <v>5.4</v>
      </c>
      <c r="N32" s="160">
        <v>6.4</v>
      </c>
      <c r="O32" s="160">
        <v>7.7</v>
      </c>
      <c r="P32" s="160">
        <v>9.1</v>
      </c>
      <c r="Q32" s="160">
        <v>10.6</v>
      </c>
      <c r="R32" s="160">
        <v>11.9</v>
      </c>
      <c r="S32" s="160">
        <v>12.8</v>
      </c>
      <c r="T32" s="161">
        <v>13.3</v>
      </c>
      <c r="U32" s="161">
        <v>13.4</v>
      </c>
      <c r="V32" s="161">
        <v>13.1</v>
      </c>
      <c r="W32" s="161">
        <v>12.6</v>
      </c>
      <c r="X32" s="161">
        <v>11.8</v>
      </c>
      <c r="Y32" s="162">
        <v>11</v>
      </c>
    </row>
    <row r="33" spans="1:25" ht="12" customHeight="1">
      <c r="A33" s="158" t="s">
        <v>69</v>
      </c>
      <c r="B33" s="159" t="s">
        <v>100</v>
      </c>
      <c r="C33" s="160" t="s">
        <v>100</v>
      </c>
      <c r="D33" s="160" t="s">
        <v>100</v>
      </c>
      <c r="E33" s="160" t="s">
        <v>100</v>
      </c>
      <c r="F33" s="160" t="s">
        <v>100</v>
      </c>
      <c r="G33" s="160" t="s">
        <v>100</v>
      </c>
      <c r="H33" s="160" t="s">
        <v>100</v>
      </c>
      <c r="I33" s="160" t="s">
        <v>100</v>
      </c>
      <c r="J33" s="160" t="s">
        <v>100</v>
      </c>
      <c r="K33" s="160" t="s">
        <v>100</v>
      </c>
      <c r="L33" s="160" t="s">
        <v>100</v>
      </c>
      <c r="M33" s="160" t="s">
        <v>100</v>
      </c>
      <c r="N33" s="160" t="s">
        <v>100</v>
      </c>
      <c r="O33" s="160" t="s">
        <v>100</v>
      </c>
      <c r="P33" s="160" t="s">
        <v>100</v>
      </c>
      <c r="Q33" s="160" t="s">
        <v>100</v>
      </c>
      <c r="R33" s="160" t="s">
        <v>100</v>
      </c>
      <c r="S33" s="160" t="s">
        <v>100</v>
      </c>
      <c r="T33" s="161" t="s">
        <v>100</v>
      </c>
      <c r="U33" s="161" t="s">
        <v>100</v>
      </c>
      <c r="V33" s="161" t="s">
        <v>100</v>
      </c>
      <c r="W33" s="161" t="s">
        <v>100</v>
      </c>
      <c r="X33" s="161" t="s">
        <v>100</v>
      </c>
      <c r="Y33" s="162" t="s">
        <v>100</v>
      </c>
    </row>
    <row r="34" spans="1:25" ht="12" customHeight="1">
      <c r="A34" s="158" t="s">
        <v>70</v>
      </c>
      <c r="B34" s="159" t="s">
        <v>100</v>
      </c>
      <c r="C34" s="160" t="s">
        <v>100</v>
      </c>
      <c r="D34" s="160" t="s">
        <v>100</v>
      </c>
      <c r="E34" s="160" t="s">
        <v>100</v>
      </c>
      <c r="F34" s="160" t="s">
        <v>100</v>
      </c>
      <c r="G34" s="160" t="s">
        <v>100</v>
      </c>
      <c r="H34" s="160" t="s">
        <v>100</v>
      </c>
      <c r="I34" s="160" t="s">
        <v>100</v>
      </c>
      <c r="J34" s="160" t="s">
        <v>100</v>
      </c>
      <c r="K34" s="160" t="s">
        <v>100</v>
      </c>
      <c r="L34" s="160" t="s">
        <v>100</v>
      </c>
      <c r="M34" s="160" t="s">
        <v>100</v>
      </c>
      <c r="N34" s="160" t="s">
        <v>100</v>
      </c>
      <c r="O34" s="160" t="s">
        <v>100</v>
      </c>
      <c r="P34" s="160" t="s">
        <v>100</v>
      </c>
      <c r="Q34" s="160" t="s">
        <v>100</v>
      </c>
      <c r="R34" s="160" t="s">
        <v>100</v>
      </c>
      <c r="S34" s="160" t="s">
        <v>100</v>
      </c>
      <c r="T34" s="161" t="s">
        <v>100</v>
      </c>
      <c r="U34" s="161" t="s">
        <v>100</v>
      </c>
      <c r="V34" s="161" t="s">
        <v>100</v>
      </c>
      <c r="W34" s="161" t="s">
        <v>100</v>
      </c>
      <c r="X34" s="161" t="s">
        <v>100</v>
      </c>
      <c r="Y34" s="162" t="s">
        <v>100</v>
      </c>
    </row>
    <row r="35" spans="1:25" ht="12" customHeight="1">
      <c r="A35" s="158" t="s">
        <v>71</v>
      </c>
      <c r="B35" s="159" t="s">
        <v>100</v>
      </c>
      <c r="C35" s="160" t="s">
        <v>100</v>
      </c>
      <c r="D35" s="160" t="s">
        <v>100</v>
      </c>
      <c r="E35" s="160" t="s">
        <v>100</v>
      </c>
      <c r="F35" s="160" t="s">
        <v>100</v>
      </c>
      <c r="G35" s="160" t="s">
        <v>100</v>
      </c>
      <c r="H35" s="160" t="s">
        <v>100</v>
      </c>
      <c r="I35" s="160" t="s">
        <v>100</v>
      </c>
      <c r="J35" s="160" t="s">
        <v>100</v>
      </c>
      <c r="K35" s="160" t="s">
        <v>100</v>
      </c>
      <c r="L35" s="160" t="s">
        <v>100</v>
      </c>
      <c r="M35" s="160" t="s">
        <v>100</v>
      </c>
      <c r="N35" s="160" t="s">
        <v>100</v>
      </c>
      <c r="O35" s="160" t="s">
        <v>100</v>
      </c>
      <c r="P35" s="160" t="s">
        <v>100</v>
      </c>
      <c r="Q35" s="160" t="s">
        <v>100</v>
      </c>
      <c r="R35" s="160" t="s">
        <v>100</v>
      </c>
      <c r="S35" s="160" t="s">
        <v>100</v>
      </c>
      <c r="T35" s="161" t="s">
        <v>100</v>
      </c>
      <c r="U35" s="161" t="s">
        <v>100</v>
      </c>
      <c r="V35" s="161" t="s">
        <v>100</v>
      </c>
      <c r="W35" s="161" t="s">
        <v>100</v>
      </c>
      <c r="X35" s="161" t="s">
        <v>100</v>
      </c>
      <c r="Y35" s="162" t="s">
        <v>100</v>
      </c>
    </row>
    <row r="36" spans="1:25" ht="12" customHeight="1">
      <c r="A36" s="158" t="s">
        <v>72</v>
      </c>
      <c r="B36" s="159" t="s">
        <v>100</v>
      </c>
      <c r="C36" s="160" t="s">
        <v>100</v>
      </c>
      <c r="D36" s="160" t="s">
        <v>100</v>
      </c>
      <c r="E36" s="160" t="s">
        <v>100</v>
      </c>
      <c r="F36" s="160" t="s">
        <v>100</v>
      </c>
      <c r="G36" s="160" t="s">
        <v>100</v>
      </c>
      <c r="H36" s="160" t="s">
        <v>100</v>
      </c>
      <c r="I36" s="160" t="s">
        <v>100</v>
      </c>
      <c r="J36" s="160" t="s">
        <v>100</v>
      </c>
      <c r="K36" s="160" t="s">
        <v>100</v>
      </c>
      <c r="L36" s="160" t="s">
        <v>100</v>
      </c>
      <c r="M36" s="160" t="s">
        <v>100</v>
      </c>
      <c r="N36" s="160" t="s">
        <v>100</v>
      </c>
      <c r="O36" s="160" t="s">
        <v>100</v>
      </c>
      <c r="P36" s="160" t="s">
        <v>100</v>
      </c>
      <c r="Q36" s="160" t="s">
        <v>100</v>
      </c>
      <c r="R36" s="160" t="s">
        <v>100</v>
      </c>
      <c r="S36" s="160" t="s">
        <v>100</v>
      </c>
      <c r="T36" s="161" t="s">
        <v>100</v>
      </c>
      <c r="U36" s="161" t="s">
        <v>100</v>
      </c>
      <c r="V36" s="161" t="s">
        <v>100</v>
      </c>
      <c r="W36" s="161" t="s">
        <v>100</v>
      </c>
      <c r="X36" s="161" t="s">
        <v>100</v>
      </c>
      <c r="Y36" s="162" t="s">
        <v>100</v>
      </c>
    </row>
    <row r="37" spans="1:25" ht="12" customHeight="1">
      <c r="A37" s="158" t="s">
        <v>73</v>
      </c>
      <c r="B37" s="159" t="s">
        <v>100</v>
      </c>
      <c r="C37" s="160" t="s">
        <v>100</v>
      </c>
      <c r="D37" s="160" t="s">
        <v>100</v>
      </c>
      <c r="E37" s="160" t="s">
        <v>100</v>
      </c>
      <c r="F37" s="160" t="s">
        <v>100</v>
      </c>
      <c r="G37" s="160" t="s">
        <v>100</v>
      </c>
      <c r="H37" s="160" t="s">
        <v>100</v>
      </c>
      <c r="I37" s="160" t="s">
        <v>100</v>
      </c>
      <c r="J37" s="160" t="s">
        <v>100</v>
      </c>
      <c r="K37" s="160" t="s">
        <v>100</v>
      </c>
      <c r="L37" s="160" t="s">
        <v>100</v>
      </c>
      <c r="M37" s="160" t="s">
        <v>100</v>
      </c>
      <c r="N37" s="160" t="s">
        <v>100</v>
      </c>
      <c r="O37" s="160" t="s">
        <v>100</v>
      </c>
      <c r="P37" s="160" t="s">
        <v>100</v>
      </c>
      <c r="Q37" s="160" t="s">
        <v>100</v>
      </c>
      <c r="R37" s="160" t="s">
        <v>100</v>
      </c>
      <c r="S37" s="160" t="s">
        <v>100</v>
      </c>
      <c r="T37" s="161" t="s">
        <v>100</v>
      </c>
      <c r="U37" s="161" t="s">
        <v>100</v>
      </c>
      <c r="V37" s="161" t="s">
        <v>100</v>
      </c>
      <c r="W37" s="161" t="s">
        <v>100</v>
      </c>
      <c r="X37" s="161" t="s">
        <v>100</v>
      </c>
      <c r="Y37" s="162" t="s">
        <v>100</v>
      </c>
    </row>
    <row r="38" spans="1:25" ht="12" customHeight="1">
      <c r="A38" s="158" t="s">
        <v>74</v>
      </c>
      <c r="B38" s="159" t="s">
        <v>100</v>
      </c>
      <c r="C38" s="160" t="s">
        <v>100</v>
      </c>
      <c r="D38" s="160" t="s">
        <v>100</v>
      </c>
      <c r="E38" s="160" t="s">
        <v>100</v>
      </c>
      <c r="F38" s="160" t="s">
        <v>100</v>
      </c>
      <c r="G38" s="160" t="s">
        <v>100</v>
      </c>
      <c r="H38" s="160" t="s">
        <v>100</v>
      </c>
      <c r="I38" s="160" t="s">
        <v>100</v>
      </c>
      <c r="J38" s="160" t="s">
        <v>100</v>
      </c>
      <c r="K38" s="160" t="s">
        <v>100</v>
      </c>
      <c r="L38" s="160" t="s">
        <v>100</v>
      </c>
      <c r="M38" s="160" t="s">
        <v>100</v>
      </c>
      <c r="N38" s="160" t="s">
        <v>100</v>
      </c>
      <c r="O38" s="160" t="s">
        <v>100</v>
      </c>
      <c r="P38" s="160" t="s">
        <v>100</v>
      </c>
      <c r="Q38" s="160" t="s">
        <v>100</v>
      </c>
      <c r="R38" s="160" t="s">
        <v>100</v>
      </c>
      <c r="S38" s="160" t="s">
        <v>100</v>
      </c>
      <c r="T38" s="161" t="s">
        <v>100</v>
      </c>
      <c r="U38" s="161" t="s">
        <v>100</v>
      </c>
      <c r="V38" s="161" t="s">
        <v>100</v>
      </c>
      <c r="W38" s="161" t="s">
        <v>100</v>
      </c>
      <c r="X38" s="161" t="s">
        <v>100</v>
      </c>
      <c r="Y38" s="162" t="s">
        <v>100</v>
      </c>
    </row>
    <row r="39" spans="1:25" ht="12" customHeight="1">
      <c r="A39" s="158" t="s">
        <v>75</v>
      </c>
      <c r="B39" s="159" t="s">
        <v>100</v>
      </c>
      <c r="C39" s="160" t="s">
        <v>100</v>
      </c>
      <c r="D39" s="160" t="s">
        <v>100</v>
      </c>
      <c r="E39" s="160" t="s">
        <v>100</v>
      </c>
      <c r="F39" s="160" t="s">
        <v>100</v>
      </c>
      <c r="G39" s="160" t="s">
        <v>100</v>
      </c>
      <c r="H39" s="160" t="s">
        <v>100</v>
      </c>
      <c r="I39" s="160" t="s">
        <v>100</v>
      </c>
      <c r="J39" s="160" t="s">
        <v>100</v>
      </c>
      <c r="K39" s="160" t="s">
        <v>100</v>
      </c>
      <c r="L39" s="160" t="s">
        <v>100</v>
      </c>
      <c r="M39" s="160" t="s">
        <v>100</v>
      </c>
      <c r="N39" s="160" t="s">
        <v>100</v>
      </c>
      <c r="O39" s="160" t="s">
        <v>100</v>
      </c>
      <c r="P39" s="160" t="s">
        <v>100</v>
      </c>
      <c r="Q39" s="160" t="s">
        <v>100</v>
      </c>
      <c r="R39" s="160" t="s">
        <v>100</v>
      </c>
      <c r="S39" s="160" t="s">
        <v>100</v>
      </c>
      <c r="T39" s="161" t="s">
        <v>100</v>
      </c>
      <c r="U39" s="161" t="s">
        <v>100</v>
      </c>
      <c r="V39" s="161" t="s">
        <v>100</v>
      </c>
      <c r="W39" s="161" t="s">
        <v>100</v>
      </c>
      <c r="X39" s="161" t="s">
        <v>100</v>
      </c>
      <c r="Y39" s="162" t="s">
        <v>100</v>
      </c>
    </row>
    <row r="40" spans="1:25" ht="12" customHeight="1">
      <c r="A40" s="163" t="s">
        <v>76</v>
      </c>
      <c r="B40" s="164" t="s">
        <v>100</v>
      </c>
      <c r="C40" s="165" t="s">
        <v>100</v>
      </c>
      <c r="D40" s="165" t="s">
        <v>100</v>
      </c>
      <c r="E40" s="165" t="s">
        <v>100</v>
      </c>
      <c r="F40" s="165" t="s">
        <v>100</v>
      </c>
      <c r="G40" s="165" t="s">
        <v>100</v>
      </c>
      <c r="H40" s="165" t="s">
        <v>100</v>
      </c>
      <c r="I40" s="165" t="s">
        <v>100</v>
      </c>
      <c r="J40" s="165" t="s">
        <v>100</v>
      </c>
      <c r="K40" s="165" t="s">
        <v>100</v>
      </c>
      <c r="L40" s="165" t="s">
        <v>100</v>
      </c>
      <c r="M40" s="165" t="s">
        <v>100</v>
      </c>
      <c r="N40" s="165" t="s">
        <v>100</v>
      </c>
      <c r="O40" s="165" t="s">
        <v>100</v>
      </c>
      <c r="P40" s="165" t="s">
        <v>100</v>
      </c>
      <c r="Q40" s="165" t="s">
        <v>100</v>
      </c>
      <c r="R40" s="165" t="s">
        <v>100</v>
      </c>
      <c r="S40" s="165" t="s">
        <v>100</v>
      </c>
      <c r="T40" s="166" t="s">
        <v>100</v>
      </c>
      <c r="U40" s="166" t="s">
        <v>100</v>
      </c>
      <c r="V40" s="166" t="s">
        <v>100</v>
      </c>
      <c r="W40" s="166" t="s">
        <v>100</v>
      </c>
      <c r="X40" s="166" t="s">
        <v>100</v>
      </c>
      <c r="Y40" s="167" t="s">
        <v>100</v>
      </c>
    </row>
    <row r="42" spans="1:25" ht="12" customHeight="1">
      <c r="A42" s="145" t="s">
        <v>77</v>
      </c>
      <c r="B42" s="145"/>
      <c r="C42" s="145"/>
      <c r="D42" s="145"/>
      <c r="E42" s="145"/>
      <c r="G42" s="145"/>
      <c r="H42" s="145"/>
      <c r="I42" s="145"/>
      <c r="J42" s="145"/>
      <c r="K42" s="145"/>
    </row>
    <row r="43" spans="1:25" ht="15" customHeight="1">
      <c r="A43" s="168" t="s">
        <v>78</v>
      </c>
      <c r="B43" s="169" t="s">
        <v>79</v>
      </c>
      <c r="C43" s="170" t="s">
        <v>80</v>
      </c>
      <c r="D43" s="169" t="s">
        <v>79</v>
      </c>
      <c r="E43" s="170" t="s">
        <v>80</v>
      </c>
      <c r="F43" s="169" t="s">
        <v>79</v>
      </c>
      <c r="G43" s="170" t="s">
        <v>80</v>
      </c>
      <c r="H43" s="169" t="s">
        <v>79</v>
      </c>
      <c r="I43" s="170" t="s">
        <v>80</v>
      </c>
      <c r="J43" s="169" t="s">
        <v>79</v>
      </c>
      <c r="K43" s="170" t="s">
        <v>80</v>
      </c>
      <c r="L43" s="169" t="s">
        <v>79</v>
      </c>
      <c r="M43" s="171" t="s">
        <v>79</v>
      </c>
      <c r="N43" s="169" t="s">
        <v>79</v>
      </c>
      <c r="P43" s="73" t="s">
        <v>50</v>
      </c>
    </row>
    <row r="44" spans="1:25" ht="12" customHeight="1">
      <c r="A44" s="172">
        <v>0</v>
      </c>
      <c r="B44" s="173">
        <v>0</v>
      </c>
      <c r="C44" s="174">
        <f t="shared" ref="C44:C67" si="0">A44+24</f>
        <v>24</v>
      </c>
      <c r="D44" s="173">
        <v>1.4E-2</v>
      </c>
      <c r="E44" s="174">
        <f t="shared" ref="E44:E67" si="1">C44+24</f>
        <v>48</v>
      </c>
      <c r="F44" s="173">
        <v>1E-3</v>
      </c>
      <c r="G44" s="174">
        <f t="shared" ref="G44:G67" si="2">E44+24</f>
        <v>72</v>
      </c>
      <c r="H44" s="175">
        <v>0</v>
      </c>
      <c r="I44" s="174">
        <f t="shared" ref="I44:I67" si="3">G44+24</f>
        <v>96</v>
      </c>
      <c r="J44" s="175">
        <v>0</v>
      </c>
      <c r="K44" s="174">
        <f t="shared" ref="K44:K67" si="4">I44+24</f>
        <v>120</v>
      </c>
      <c r="L44" s="175">
        <v>0</v>
      </c>
      <c r="M44" s="176">
        <f t="shared" ref="M44:M67" si="5">K44+24</f>
        <v>144</v>
      </c>
      <c r="N44" s="177">
        <v>0</v>
      </c>
      <c r="P44" s="178" t="s">
        <v>84</v>
      </c>
    </row>
    <row r="45" spans="1:25" ht="12" customHeight="1">
      <c r="A45" s="179">
        <v>1</v>
      </c>
      <c r="B45" s="180">
        <v>1E-3</v>
      </c>
      <c r="C45" s="181">
        <f t="shared" si="0"/>
        <v>25</v>
      </c>
      <c r="D45" s="180">
        <v>1.2E-2</v>
      </c>
      <c r="E45" s="181">
        <f t="shared" si="1"/>
        <v>49</v>
      </c>
      <c r="F45" s="180">
        <v>1E-3</v>
      </c>
      <c r="G45" s="181">
        <f t="shared" si="2"/>
        <v>73</v>
      </c>
      <c r="H45" s="182">
        <v>0</v>
      </c>
      <c r="I45" s="181">
        <f t="shared" si="3"/>
        <v>97</v>
      </c>
      <c r="J45" s="182">
        <v>0</v>
      </c>
      <c r="K45" s="181">
        <f t="shared" si="4"/>
        <v>121</v>
      </c>
      <c r="L45" s="182">
        <v>0</v>
      </c>
      <c r="M45" s="183">
        <f t="shared" si="5"/>
        <v>145</v>
      </c>
      <c r="N45" s="184">
        <v>0</v>
      </c>
      <c r="P45" s="185" t="s">
        <v>85</v>
      </c>
    </row>
    <row r="46" spans="1:25" ht="12" customHeight="1">
      <c r="A46" s="179">
        <v>2</v>
      </c>
      <c r="B46" s="180">
        <v>1.0999999999999999E-2</v>
      </c>
      <c r="C46" s="181">
        <f t="shared" si="0"/>
        <v>26</v>
      </c>
      <c r="D46" s="180">
        <v>1.0999999999999999E-2</v>
      </c>
      <c r="E46" s="181">
        <f t="shared" si="1"/>
        <v>50</v>
      </c>
      <c r="F46" s="180">
        <v>1E-3</v>
      </c>
      <c r="G46" s="181">
        <f t="shared" si="2"/>
        <v>74</v>
      </c>
      <c r="H46" s="182">
        <v>0</v>
      </c>
      <c r="I46" s="181">
        <f t="shared" si="3"/>
        <v>98</v>
      </c>
      <c r="J46" s="182">
        <v>0</v>
      </c>
      <c r="K46" s="181">
        <f t="shared" si="4"/>
        <v>122</v>
      </c>
      <c r="L46" s="182">
        <v>0</v>
      </c>
      <c r="M46" s="183">
        <f t="shared" si="5"/>
        <v>146</v>
      </c>
      <c r="N46" s="184">
        <v>0</v>
      </c>
      <c r="P46" s="178" t="s">
        <v>87</v>
      </c>
    </row>
    <row r="47" spans="1:25" ht="12" customHeight="1">
      <c r="A47" s="179">
        <v>3</v>
      </c>
      <c r="B47" s="180">
        <v>3.3000000000000002E-2</v>
      </c>
      <c r="C47" s="181">
        <f t="shared" si="0"/>
        <v>27</v>
      </c>
      <c r="D47" s="180">
        <v>0.01</v>
      </c>
      <c r="E47" s="181">
        <f t="shared" si="1"/>
        <v>51</v>
      </c>
      <c r="F47" s="180">
        <v>1E-3</v>
      </c>
      <c r="G47" s="181">
        <f t="shared" si="2"/>
        <v>75</v>
      </c>
      <c r="H47" s="182">
        <v>0</v>
      </c>
      <c r="I47" s="181">
        <f t="shared" si="3"/>
        <v>99</v>
      </c>
      <c r="J47" s="182">
        <v>0</v>
      </c>
      <c r="K47" s="181">
        <f t="shared" si="4"/>
        <v>123</v>
      </c>
      <c r="L47" s="182">
        <v>0</v>
      </c>
      <c r="M47" s="183">
        <f t="shared" si="5"/>
        <v>147</v>
      </c>
      <c r="N47" s="184">
        <v>0</v>
      </c>
      <c r="P47" s="178" t="s">
        <v>88</v>
      </c>
    </row>
    <row r="48" spans="1:25" ht="12" customHeight="1">
      <c r="A48" s="179">
        <v>4</v>
      </c>
      <c r="B48" s="180">
        <v>5.1999999999999998E-2</v>
      </c>
      <c r="C48" s="181">
        <f t="shared" si="0"/>
        <v>28</v>
      </c>
      <c r="D48" s="180">
        <v>8.9999999999999993E-3</v>
      </c>
      <c r="E48" s="181">
        <f t="shared" si="1"/>
        <v>52</v>
      </c>
      <c r="F48" s="180">
        <v>1E-3</v>
      </c>
      <c r="G48" s="181">
        <f t="shared" si="2"/>
        <v>76</v>
      </c>
      <c r="H48" s="182">
        <v>0</v>
      </c>
      <c r="I48" s="181">
        <f t="shared" si="3"/>
        <v>100</v>
      </c>
      <c r="J48" s="182">
        <v>0</v>
      </c>
      <c r="K48" s="181">
        <f t="shared" si="4"/>
        <v>124</v>
      </c>
      <c r="L48" s="182">
        <v>0</v>
      </c>
      <c r="M48" s="183">
        <f t="shared" si="5"/>
        <v>148</v>
      </c>
      <c r="N48" s="184">
        <v>0</v>
      </c>
      <c r="P48" s="178" t="s">
        <v>89</v>
      </c>
    </row>
    <row r="49" spans="1:16" ht="12" customHeight="1">
      <c r="A49" s="179">
        <v>5</v>
      </c>
      <c r="B49" s="180">
        <v>6.3E-2</v>
      </c>
      <c r="C49" s="181">
        <f t="shared" si="0"/>
        <v>29</v>
      </c>
      <c r="D49" s="180">
        <v>8.0000000000000002E-3</v>
      </c>
      <c r="E49" s="181">
        <f t="shared" si="1"/>
        <v>53</v>
      </c>
      <c r="F49" s="180">
        <v>1E-3</v>
      </c>
      <c r="G49" s="181">
        <f t="shared" si="2"/>
        <v>77</v>
      </c>
      <c r="H49" s="182">
        <v>0</v>
      </c>
      <c r="I49" s="181">
        <f t="shared" si="3"/>
        <v>101</v>
      </c>
      <c r="J49" s="182">
        <v>0</v>
      </c>
      <c r="K49" s="181">
        <f t="shared" si="4"/>
        <v>125</v>
      </c>
      <c r="L49" s="182">
        <v>0</v>
      </c>
      <c r="M49" s="183">
        <f t="shared" si="5"/>
        <v>149</v>
      </c>
      <c r="N49" s="184">
        <v>0</v>
      </c>
      <c r="P49" s="178" t="s">
        <v>90</v>
      </c>
    </row>
    <row r="50" spans="1:16" ht="12" customHeight="1">
      <c r="A50" s="179">
        <v>6</v>
      </c>
      <c r="B50" s="180">
        <v>6.7000000000000004E-2</v>
      </c>
      <c r="C50" s="181">
        <f t="shared" si="0"/>
        <v>30</v>
      </c>
      <c r="D50" s="180">
        <v>7.0000000000000001E-3</v>
      </c>
      <c r="E50" s="181">
        <f t="shared" si="1"/>
        <v>54</v>
      </c>
      <c r="F50" s="180">
        <v>1E-3</v>
      </c>
      <c r="G50" s="181">
        <f t="shared" si="2"/>
        <v>78</v>
      </c>
      <c r="H50" s="182">
        <v>0</v>
      </c>
      <c r="I50" s="181">
        <f t="shared" si="3"/>
        <v>102</v>
      </c>
      <c r="J50" s="182">
        <v>0</v>
      </c>
      <c r="K50" s="181">
        <f t="shared" si="4"/>
        <v>126</v>
      </c>
      <c r="L50" s="182">
        <v>0</v>
      </c>
      <c r="M50" s="183">
        <f t="shared" si="5"/>
        <v>150</v>
      </c>
      <c r="N50" s="184">
        <v>0</v>
      </c>
      <c r="P50" s="178" t="s">
        <v>91</v>
      </c>
    </row>
    <row r="51" spans="1:16" ht="12" customHeight="1">
      <c r="A51" s="179">
        <v>7</v>
      </c>
      <c r="B51" s="180">
        <v>6.7000000000000004E-2</v>
      </c>
      <c r="C51" s="181">
        <f t="shared" si="0"/>
        <v>31</v>
      </c>
      <c r="D51" s="180">
        <v>7.0000000000000001E-3</v>
      </c>
      <c r="E51" s="181">
        <f t="shared" si="1"/>
        <v>55</v>
      </c>
      <c r="F51" s="180">
        <v>1E-3</v>
      </c>
      <c r="G51" s="181">
        <f t="shared" si="2"/>
        <v>79</v>
      </c>
      <c r="H51" s="182">
        <v>0</v>
      </c>
      <c r="I51" s="181">
        <f t="shared" si="3"/>
        <v>103</v>
      </c>
      <c r="J51" s="182">
        <v>0</v>
      </c>
      <c r="K51" s="181">
        <f t="shared" si="4"/>
        <v>127</v>
      </c>
      <c r="L51" s="182">
        <v>0</v>
      </c>
      <c r="M51" s="183">
        <f t="shared" si="5"/>
        <v>151</v>
      </c>
      <c r="N51" s="184">
        <v>0</v>
      </c>
      <c r="P51" s="178" t="s">
        <v>92</v>
      </c>
    </row>
    <row r="52" spans="1:16" ht="12" customHeight="1">
      <c r="A52" s="179">
        <v>8</v>
      </c>
      <c r="B52" s="180">
        <v>6.4000000000000001E-2</v>
      </c>
      <c r="C52" s="181">
        <f t="shared" si="0"/>
        <v>32</v>
      </c>
      <c r="D52" s="180">
        <v>6.0000000000000001E-3</v>
      </c>
      <c r="E52" s="181">
        <f t="shared" si="1"/>
        <v>56</v>
      </c>
      <c r="F52" s="180">
        <v>0</v>
      </c>
      <c r="G52" s="181">
        <f t="shared" si="2"/>
        <v>80</v>
      </c>
      <c r="H52" s="182">
        <v>0</v>
      </c>
      <c r="I52" s="181">
        <f t="shared" si="3"/>
        <v>104</v>
      </c>
      <c r="J52" s="182">
        <v>0</v>
      </c>
      <c r="K52" s="181">
        <f t="shared" si="4"/>
        <v>128</v>
      </c>
      <c r="L52" s="182">
        <v>0</v>
      </c>
      <c r="M52" s="183">
        <f t="shared" si="5"/>
        <v>152</v>
      </c>
      <c r="N52" s="184">
        <v>0</v>
      </c>
      <c r="P52" s="178" t="s">
        <v>103</v>
      </c>
    </row>
    <row r="53" spans="1:16" ht="12" customHeight="1">
      <c r="A53" s="179">
        <v>9</v>
      </c>
      <c r="B53" s="180">
        <v>0.06</v>
      </c>
      <c r="C53" s="181">
        <f t="shared" si="0"/>
        <v>33</v>
      </c>
      <c r="D53" s="180">
        <v>5.0000000000000001E-3</v>
      </c>
      <c r="E53" s="181">
        <f t="shared" si="1"/>
        <v>57</v>
      </c>
      <c r="F53" s="180">
        <v>0</v>
      </c>
      <c r="G53" s="181">
        <f t="shared" si="2"/>
        <v>81</v>
      </c>
      <c r="H53" s="182">
        <v>0</v>
      </c>
      <c r="I53" s="181">
        <f t="shared" si="3"/>
        <v>105</v>
      </c>
      <c r="J53" s="182">
        <v>0</v>
      </c>
      <c r="K53" s="181">
        <f t="shared" si="4"/>
        <v>129</v>
      </c>
      <c r="L53" s="182">
        <v>0</v>
      </c>
      <c r="M53" s="183">
        <f t="shared" si="5"/>
        <v>153</v>
      </c>
      <c r="N53" s="184">
        <v>0</v>
      </c>
      <c r="P53" s="178" t="s">
        <v>104</v>
      </c>
    </row>
    <row r="54" spans="1:16" ht="12" customHeight="1">
      <c r="A54" s="179">
        <v>10</v>
      </c>
      <c r="B54" s="180">
        <v>5.5E-2</v>
      </c>
      <c r="C54" s="181">
        <f t="shared" si="0"/>
        <v>34</v>
      </c>
      <c r="D54" s="180">
        <v>5.0000000000000001E-3</v>
      </c>
      <c r="E54" s="181">
        <f t="shared" si="1"/>
        <v>58</v>
      </c>
      <c r="F54" s="180">
        <v>0</v>
      </c>
      <c r="G54" s="181">
        <f t="shared" si="2"/>
        <v>82</v>
      </c>
      <c r="H54" s="182">
        <v>0</v>
      </c>
      <c r="I54" s="181">
        <f t="shared" si="3"/>
        <v>106</v>
      </c>
      <c r="J54" s="182">
        <v>0</v>
      </c>
      <c r="K54" s="181">
        <f t="shared" si="4"/>
        <v>130</v>
      </c>
      <c r="L54" s="182">
        <v>0</v>
      </c>
      <c r="M54" s="183">
        <f t="shared" si="5"/>
        <v>154</v>
      </c>
      <c r="N54" s="184">
        <v>0</v>
      </c>
      <c r="P54" s="178"/>
    </row>
    <row r="55" spans="1:16" ht="12" customHeight="1">
      <c r="A55" s="179">
        <v>11</v>
      </c>
      <c r="B55" s="180">
        <v>5.0999999999999997E-2</v>
      </c>
      <c r="C55" s="181">
        <f t="shared" si="0"/>
        <v>35</v>
      </c>
      <c r="D55" s="180">
        <v>4.0000000000000001E-3</v>
      </c>
      <c r="E55" s="181">
        <f t="shared" si="1"/>
        <v>59</v>
      </c>
      <c r="F55" s="180">
        <v>0</v>
      </c>
      <c r="G55" s="181">
        <f t="shared" si="2"/>
        <v>83</v>
      </c>
      <c r="H55" s="182">
        <v>0</v>
      </c>
      <c r="I55" s="181">
        <f t="shared" si="3"/>
        <v>107</v>
      </c>
      <c r="J55" s="182">
        <v>0</v>
      </c>
      <c r="K55" s="181">
        <f t="shared" si="4"/>
        <v>131</v>
      </c>
      <c r="L55" s="182">
        <v>0</v>
      </c>
      <c r="M55" s="183">
        <f t="shared" si="5"/>
        <v>155</v>
      </c>
      <c r="N55" s="184">
        <v>0</v>
      </c>
      <c r="P55" s="178"/>
    </row>
    <row r="56" spans="1:16" ht="12" customHeight="1">
      <c r="A56" s="179">
        <v>12</v>
      </c>
      <c r="B56" s="180">
        <v>4.5999999999999999E-2</v>
      </c>
      <c r="C56" s="181">
        <f t="shared" si="0"/>
        <v>36</v>
      </c>
      <c r="D56" s="180">
        <v>4.0000000000000001E-3</v>
      </c>
      <c r="E56" s="181">
        <f t="shared" si="1"/>
        <v>60</v>
      </c>
      <c r="F56" s="180">
        <v>0</v>
      </c>
      <c r="G56" s="181">
        <f t="shared" si="2"/>
        <v>84</v>
      </c>
      <c r="H56" s="182">
        <v>0</v>
      </c>
      <c r="I56" s="181">
        <f t="shared" si="3"/>
        <v>108</v>
      </c>
      <c r="J56" s="182">
        <v>0</v>
      </c>
      <c r="K56" s="181">
        <f t="shared" si="4"/>
        <v>132</v>
      </c>
      <c r="L56" s="182">
        <v>0</v>
      </c>
      <c r="M56" s="183">
        <f t="shared" si="5"/>
        <v>156</v>
      </c>
      <c r="N56" s="184">
        <v>0</v>
      </c>
      <c r="P56" s="178"/>
    </row>
    <row r="57" spans="1:16" ht="12" customHeight="1">
      <c r="A57" s="179">
        <v>13</v>
      </c>
      <c r="B57" s="180">
        <v>4.2000000000000003E-2</v>
      </c>
      <c r="C57" s="181">
        <f t="shared" si="0"/>
        <v>37</v>
      </c>
      <c r="D57" s="180">
        <v>4.0000000000000001E-3</v>
      </c>
      <c r="E57" s="181">
        <f t="shared" si="1"/>
        <v>61</v>
      </c>
      <c r="F57" s="180">
        <v>0</v>
      </c>
      <c r="G57" s="181">
        <f t="shared" si="2"/>
        <v>85</v>
      </c>
      <c r="H57" s="182">
        <v>0</v>
      </c>
      <c r="I57" s="181">
        <f t="shared" si="3"/>
        <v>109</v>
      </c>
      <c r="J57" s="182">
        <v>0</v>
      </c>
      <c r="K57" s="181">
        <f t="shared" si="4"/>
        <v>133</v>
      </c>
      <c r="L57" s="182">
        <v>0</v>
      </c>
      <c r="M57" s="183">
        <f t="shared" si="5"/>
        <v>157</v>
      </c>
      <c r="N57" s="184">
        <v>0</v>
      </c>
      <c r="P57" s="178"/>
    </row>
    <row r="58" spans="1:16" ht="12" customHeight="1">
      <c r="A58" s="179">
        <v>14</v>
      </c>
      <c r="B58" s="180">
        <v>3.7999999999999999E-2</v>
      </c>
      <c r="C58" s="181">
        <f t="shared" si="0"/>
        <v>38</v>
      </c>
      <c r="D58" s="180">
        <v>3.0000000000000001E-3</v>
      </c>
      <c r="E58" s="181">
        <f t="shared" si="1"/>
        <v>62</v>
      </c>
      <c r="F58" s="180">
        <v>0</v>
      </c>
      <c r="G58" s="181">
        <f t="shared" si="2"/>
        <v>86</v>
      </c>
      <c r="H58" s="182">
        <v>0</v>
      </c>
      <c r="I58" s="181">
        <f t="shared" si="3"/>
        <v>110</v>
      </c>
      <c r="J58" s="182">
        <v>0</v>
      </c>
      <c r="K58" s="181">
        <f t="shared" si="4"/>
        <v>134</v>
      </c>
      <c r="L58" s="182">
        <v>0</v>
      </c>
      <c r="M58" s="183">
        <f t="shared" si="5"/>
        <v>158</v>
      </c>
      <c r="N58" s="184">
        <v>0</v>
      </c>
      <c r="P58" s="178"/>
    </row>
    <row r="59" spans="1:16" ht="12" customHeight="1">
      <c r="A59" s="179">
        <v>15</v>
      </c>
      <c r="B59" s="180">
        <v>3.4000000000000002E-2</v>
      </c>
      <c r="C59" s="181">
        <f t="shared" si="0"/>
        <v>39</v>
      </c>
      <c r="D59" s="180">
        <v>3.0000000000000001E-3</v>
      </c>
      <c r="E59" s="181">
        <f t="shared" si="1"/>
        <v>63</v>
      </c>
      <c r="F59" s="180">
        <v>0</v>
      </c>
      <c r="G59" s="181">
        <f t="shared" si="2"/>
        <v>87</v>
      </c>
      <c r="H59" s="182">
        <v>0</v>
      </c>
      <c r="I59" s="181">
        <f t="shared" si="3"/>
        <v>111</v>
      </c>
      <c r="J59" s="182">
        <v>0</v>
      </c>
      <c r="K59" s="181">
        <f t="shared" si="4"/>
        <v>135</v>
      </c>
      <c r="L59" s="182">
        <v>0</v>
      </c>
      <c r="M59" s="183">
        <f t="shared" si="5"/>
        <v>159</v>
      </c>
      <c r="N59" s="184">
        <v>0</v>
      </c>
      <c r="P59" s="178"/>
    </row>
    <row r="60" spans="1:16" ht="12" customHeight="1">
      <c r="A60" s="179">
        <v>16</v>
      </c>
      <c r="B60" s="180">
        <v>3.1E-2</v>
      </c>
      <c r="C60" s="181">
        <f t="shared" si="0"/>
        <v>40</v>
      </c>
      <c r="D60" s="180">
        <v>3.0000000000000001E-3</v>
      </c>
      <c r="E60" s="181">
        <f t="shared" si="1"/>
        <v>64</v>
      </c>
      <c r="F60" s="180">
        <v>0</v>
      </c>
      <c r="G60" s="181">
        <f t="shared" si="2"/>
        <v>88</v>
      </c>
      <c r="H60" s="182">
        <v>0</v>
      </c>
      <c r="I60" s="181">
        <f t="shared" si="3"/>
        <v>112</v>
      </c>
      <c r="J60" s="182">
        <v>0</v>
      </c>
      <c r="K60" s="181">
        <f t="shared" si="4"/>
        <v>136</v>
      </c>
      <c r="L60" s="182">
        <v>0</v>
      </c>
      <c r="M60" s="183">
        <f t="shared" si="5"/>
        <v>160</v>
      </c>
      <c r="N60" s="184">
        <v>0</v>
      </c>
      <c r="P60" s="178"/>
    </row>
    <row r="61" spans="1:16" ht="12" customHeight="1">
      <c r="A61" s="179">
        <v>17</v>
      </c>
      <c r="B61" s="180">
        <v>2.8000000000000001E-2</v>
      </c>
      <c r="C61" s="181">
        <f t="shared" si="0"/>
        <v>41</v>
      </c>
      <c r="D61" s="180">
        <v>2E-3</v>
      </c>
      <c r="E61" s="181">
        <f t="shared" si="1"/>
        <v>65</v>
      </c>
      <c r="F61" s="180">
        <v>0</v>
      </c>
      <c r="G61" s="181">
        <f t="shared" si="2"/>
        <v>89</v>
      </c>
      <c r="H61" s="182">
        <v>0</v>
      </c>
      <c r="I61" s="181">
        <f t="shared" si="3"/>
        <v>113</v>
      </c>
      <c r="J61" s="182">
        <v>0</v>
      </c>
      <c r="K61" s="181">
        <f t="shared" si="4"/>
        <v>137</v>
      </c>
      <c r="L61" s="182">
        <v>0</v>
      </c>
      <c r="M61" s="183">
        <f t="shared" si="5"/>
        <v>161</v>
      </c>
      <c r="N61" s="184">
        <v>0</v>
      </c>
      <c r="P61" s="178"/>
    </row>
    <row r="62" spans="1:16" ht="12" customHeight="1">
      <c r="A62" s="179">
        <v>18</v>
      </c>
      <c r="B62" s="180">
        <v>2.5000000000000001E-2</v>
      </c>
      <c r="C62" s="181">
        <f t="shared" si="0"/>
        <v>42</v>
      </c>
      <c r="D62" s="180">
        <v>2E-3</v>
      </c>
      <c r="E62" s="181">
        <f t="shared" si="1"/>
        <v>66</v>
      </c>
      <c r="F62" s="180">
        <v>0</v>
      </c>
      <c r="G62" s="181">
        <f t="shared" si="2"/>
        <v>90</v>
      </c>
      <c r="H62" s="182">
        <v>0</v>
      </c>
      <c r="I62" s="181">
        <f t="shared" si="3"/>
        <v>114</v>
      </c>
      <c r="J62" s="182">
        <v>0</v>
      </c>
      <c r="K62" s="181">
        <f t="shared" si="4"/>
        <v>138</v>
      </c>
      <c r="L62" s="182">
        <v>0</v>
      </c>
      <c r="M62" s="183">
        <f t="shared" si="5"/>
        <v>162</v>
      </c>
      <c r="N62" s="184">
        <v>0</v>
      </c>
      <c r="P62" s="178"/>
    </row>
    <row r="63" spans="1:16" ht="12" customHeight="1">
      <c r="A63" s="179">
        <v>19</v>
      </c>
      <c r="B63" s="180">
        <v>2.3E-2</v>
      </c>
      <c r="C63" s="181">
        <f t="shared" si="0"/>
        <v>43</v>
      </c>
      <c r="D63" s="180">
        <v>2E-3</v>
      </c>
      <c r="E63" s="181">
        <f t="shared" si="1"/>
        <v>67</v>
      </c>
      <c r="F63" s="180">
        <v>0</v>
      </c>
      <c r="G63" s="181">
        <f t="shared" si="2"/>
        <v>91</v>
      </c>
      <c r="H63" s="182">
        <v>0</v>
      </c>
      <c r="I63" s="181">
        <f t="shared" si="3"/>
        <v>115</v>
      </c>
      <c r="J63" s="182">
        <v>0</v>
      </c>
      <c r="K63" s="181">
        <f t="shared" si="4"/>
        <v>139</v>
      </c>
      <c r="L63" s="182">
        <v>0</v>
      </c>
      <c r="M63" s="183">
        <f t="shared" si="5"/>
        <v>163</v>
      </c>
      <c r="N63" s="184">
        <v>0</v>
      </c>
      <c r="P63" s="178"/>
    </row>
    <row r="64" spans="1:16" ht="12" customHeight="1">
      <c r="A64" s="179">
        <v>20</v>
      </c>
      <c r="B64" s="180">
        <v>2.1000000000000001E-2</v>
      </c>
      <c r="C64" s="181">
        <f t="shared" si="0"/>
        <v>44</v>
      </c>
      <c r="D64" s="180">
        <v>2E-3</v>
      </c>
      <c r="E64" s="181">
        <f t="shared" si="1"/>
        <v>68</v>
      </c>
      <c r="F64" s="180">
        <v>0</v>
      </c>
      <c r="G64" s="181">
        <f t="shared" si="2"/>
        <v>92</v>
      </c>
      <c r="H64" s="182">
        <v>0</v>
      </c>
      <c r="I64" s="181">
        <f t="shared" si="3"/>
        <v>116</v>
      </c>
      <c r="J64" s="182">
        <v>0</v>
      </c>
      <c r="K64" s="181">
        <f t="shared" si="4"/>
        <v>140</v>
      </c>
      <c r="L64" s="182">
        <v>0</v>
      </c>
      <c r="M64" s="183">
        <f t="shared" si="5"/>
        <v>164</v>
      </c>
      <c r="N64" s="184">
        <v>0</v>
      </c>
      <c r="P64" s="178"/>
    </row>
    <row r="65" spans="1:16" ht="12" customHeight="1">
      <c r="A65" s="179">
        <v>21</v>
      </c>
      <c r="B65" s="180">
        <v>1.9E-2</v>
      </c>
      <c r="C65" s="181">
        <f t="shared" si="0"/>
        <v>45</v>
      </c>
      <c r="D65" s="180">
        <v>2E-3</v>
      </c>
      <c r="E65" s="181">
        <f t="shared" si="1"/>
        <v>69</v>
      </c>
      <c r="F65" s="180">
        <v>0</v>
      </c>
      <c r="G65" s="181">
        <f t="shared" si="2"/>
        <v>93</v>
      </c>
      <c r="H65" s="182">
        <v>0</v>
      </c>
      <c r="I65" s="181">
        <f t="shared" si="3"/>
        <v>117</v>
      </c>
      <c r="J65" s="182">
        <v>0</v>
      </c>
      <c r="K65" s="181">
        <f t="shared" si="4"/>
        <v>141</v>
      </c>
      <c r="L65" s="182">
        <v>0</v>
      </c>
      <c r="M65" s="183">
        <f t="shared" si="5"/>
        <v>165</v>
      </c>
      <c r="N65" s="184">
        <v>0</v>
      </c>
      <c r="P65" s="178"/>
    </row>
    <row r="66" spans="1:16" ht="12" customHeight="1">
      <c r="A66" s="179">
        <v>22</v>
      </c>
      <c r="B66" s="180">
        <v>1.7000000000000001E-2</v>
      </c>
      <c r="C66" s="181">
        <f t="shared" si="0"/>
        <v>46</v>
      </c>
      <c r="D66" s="180">
        <v>1E-3</v>
      </c>
      <c r="E66" s="181">
        <f t="shared" si="1"/>
        <v>70</v>
      </c>
      <c r="F66" s="180">
        <v>0</v>
      </c>
      <c r="G66" s="181">
        <f t="shared" si="2"/>
        <v>94</v>
      </c>
      <c r="H66" s="182">
        <v>0</v>
      </c>
      <c r="I66" s="181">
        <f t="shared" si="3"/>
        <v>118</v>
      </c>
      <c r="J66" s="182">
        <v>0</v>
      </c>
      <c r="K66" s="181">
        <f t="shared" si="4"/>
        <v>142</v>
      </c>
      <c r="L66" s="182">
        <v>0</v>
      </c>
      <c r="M66" s="183">
        <f t="shared" si="5"/>
        <v>166</v>
      </c>
      <c r="N66" s="184">
        <v>0</v>
      </c>
      <c r="P66" s="178"/>
    </row>
    <row r="67" spans="1:16" ht="12" customHeight="1">
      <c r="A67" s="186">
        <v>23</v>
      </c>
      <c r="B67" s="187">
        <v>1.4999999999999999E-2</v>
      </c>
      <c r="C67" s="188">
        <f t="shared" si="0"/>
        <v>47</v>
      </c>
      <c r="D67" s="187">
        <v>1E-3</v>
      </c>
      <c r="E67" s="188">
        <f t="shared" si="1"/>
        <v>71</v>
      </c>
      <c r="F67" s="187">
        <v>0</v>
      </c>
      <c r="G67" s="188">
        <f t="shared" si="2"/>
        <v>95</v>
      </c>
      <c r="H67" s="189">
        <v>0</v>
      </c>
      <c r="I67" s="188">
        <f t="shared" si="3"/>
        <v>119</v>
      </c>
      <c r="J67" s="189">
        <v>0</v>
      </c>
      <c r="K67" s="188">
        <f t="shared" si="4"/>
        <v>143</v>
      </c>
      <c r="L67" s="189">
        <v>0</v>
      </c>
      <c r="M67" s="190">
        <f t="shared" si="5"/>
        <v>167</v>
      </c>
      <c r="N67" s="191">
        <v>0</v>
      </c>
      <c r="P67" s="178"/>
    </row>
  </sheetData>
  <phoneticPr fontId="3"/>
  <pageMargins left="1.1811023622047245" right="0.70866141732283472" top="0.59055118110236227" bottom="0.39370078740157483" header="0.31496062992125984" footer="0.11811023622047245"/>
  <pageSetup paperSize="9" scale="67" orientation="landscape" horizontalDpi="1200" verticalDpi="1200" r:id="rId1"/>
  <headerFooter scaleWithDoc="0">
    <oddFooter>&amp;C&amp;"ＭＳ Ｐゴシック,標準"&amp;9( &amp;P /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Y67"/>
  <sheetViews>
    <sheetView showGridLines="0" zoomScale="80" zoomScaleNormal="80" workbookViewId="0"/>
  </sheetViews>
  <sheetFormatPr defaultColWidth="8" defaultRowHeight="12" customHeight="1"/>
  <cols>
    <col min="1" max="1" width="8.7109375" style="73" customWidth="1"/>
    <col min="2" max="19" width="7.5703125" style="73" customWidth="1"/>
    <col min="20" max="16384" width="8" style="73"/>
  </cols>
  <sheetData>
    <row r="1" spans="1:25" s="144" customFormat="1" ht="24" customHeight="1">
      <c r="A1" s="140" t="s">
        <v>107</v>
      </c>
      <c r="B1" s="141"/>
      <c r="C1" s="141"/>
      <c r="D1" s="141"/>
      <c r="E1" s="141"/>
      <c r="F1" s="141"/>
      <c r="G1" s="141"/>
      <c r="H1" s="141"/>
      <c r="I1" s="141"/>
      <c r="J1" s="141"/>
      <c r="K1" s="141"/>
      <c r="L1" s="141"/>
      <c r="M1" s="141"/>
      <c r="N1" s="141"/>
      <c r="O1" s="141"/>
      <c r="P1" s="141"/>
      <c r="Q1" s="141"/>
      <c r="R1" s="141"/>
      <c r="S1" s="142"/>
      <c r="T1" s="142"/>
      <c r="U1" s="142"/>
      <c r="V1" s="142"/>
      <c r="W1" s="142"/>
      <c r="X1" s="142"/>
      <c r="Y1" s="143"/>
    </row>
    <row r="2" spans="1:25" ht="12" customHeight="1" thickBot="1">
      <c r="S2" s="63"/>
    </row>
    <row r="3" spans="1:25" ht="12" customHeight="1">
      <c r="A3" s="145" t="s">
        <v>67</v>
      </c>
      <c r="B3" s="145"/>
      <c r="C3" s="145"/>
      <c r="D3" s="37" t="s">
        <v>29</v>
      </c>
      <c r="E3" s="145"/>
      <c r="F3" s="145"/>
      <c r="G3" s="145"/>
      <c r="H3" s="145"/>
      <c r="I3" s="145"/>
      <c r="J3" s="145"/>
      <c r="K3" s="145"/>
      <c r="L3" s="145"/>
      <c r="M3" s="145"/>
      <c r="N3" s="145"/>
      <c r="O3" s="145"/>
      <c r="P3" s="145"/>
      <c r="Q3" s="145"/>
      <c r="R3" s="145"/>
      <c r="S3" s="146"/>
      <c r="T3" s="145"/>
      <c r="U3" s="145"/>
      <c r="V3" s="145"/>
      <c r="W3" s="145"/>
      <c r="X3" s="145"/>
      <c r="Y3" s="145"/>
    </row>
    <row r="4" spans="1:25" ht="16.5" customHeight="1">
      <c r="A4" s="147"/>
      <c r="B4" s="148">
        <v>1</v>
      </c>
      <c r="C4" s="149">
        <v>2</v>
      </c>
      <c r="D4" s="150">
        <v>3</v>
      </c>
      <c r="E4" s="149">
        <v>4</v>
      </c>
      <c r="F4" s="149">
        <v>5</v>
      </c>
      <c r="G4" s="149">
        <v>6</v>
      </c>
      <c r="H4" s="149">
        <v>7</v>
      </c>
      <c r="I4" s="149">
        <v>8</v>
      </c>
      <c r="J4" s="149">
        <v>9</v>
      </c>
      <c r="K4" s="149">
        <v>10</v>
      </c>
      <c r="L4" s="149">
        <v>11</v>
      </c>
      <c r="M4" s="149">
        <v>12</v>
      </c>
      <c r="N4" s="149">
        <v>13</v>
      </c>
      <c r="O4" s="149">
        <v>14</v>
      </c>
      <c r="P4" s="149">
        <v>15</v>
      </c>
      <c r="Q4" s="149">
        <v>16</v>
      </c>
      <c r="R4" s="149">
        <v>17</v>
      </c>
      <c r="S4" s="149">
        <v>18</v>
      </c>
      <c r="T4" s="151">
        <v>19</v>
      </c>
      <c r="U4" s="151">
        <v>20</v>
      </c>
      <c r="V4" s="151">
        <v>21</v>
      </c>
      <c r="W4" s="151">
        <v>22</v>
      </c>
      <c r="X4" s="151">
        <v>23</v>
      </c>
      <c r="Y4" s="152">
        <v>24</v>
      </c>
    </row>
    <row r="5" spans="1:25" ht="12" customHeight="1">
      <c r="A5" s="153" t="s">
        <v>102</v>
      </c>
      <c r="B5" s="200">
        <v>9.6999999999999993</v>
      </c>
      <c r="C5" s="201">
        <v>9.1</v>
      </c>
      <c r="D5" s="201">
        <v>8.5</v>
      </c>
      <c r="E5" s="201">
        <v>8</v>
      </c>
      <c r="F5" s="201">
        <v>7.5</v>
      </c>
      <c r="G5" s="201">
        <v>7</v>
      </c>
      <c r="H5" s="201">
        <v>6.5</v>
      </c>
      <c r="I5" s="201">
        <v>6.1</v>
      </c>
      <c r="J5" s="201">
        <v>5.8</v>
      </c>
      <c r="K5" s="201">
        <v>5.7</v>
      </c>
      <c r="L5" s="201">
        <v>5.9</v>
      </c>
      <c r="M5" s="201">
        <v>6.3</v>
      </c>
      <c r="N5" s="201">
        <v>6.9</v>
      </c>
      <c r="O5" s="201">
        <v>7.7</v>
      </c>
      <c r="P5" s="201">
        <v>8.6</v>
      </c>
      <c r="Q5" s="201">
        <v>9.5</v>
      </c>
      <c r="R5" s="201">
        <v>10.3</v>
      </c>
      <c r="S5" s="201">
        <v>11</v>
      </c>
      <c r="T5" s="202">
        <v>11.4</v>
      </c>
      <c r="U5" s="202">
        <v>11.6</v>
      </c>
      <c r="V5" s="202">
        <v>11.5</v>
      </c>
      <c r="W5" s="202">
        <v>11.2</v>
      </c>
      <c r="X5" s="202">
        <v>10.7</v>
      </c>
      <c r="Y5" s="203">
        <v>10.199999999999999</v>
      </c>
    </row>
    <row r="6" spans="1:25" ht="12" customHeight="1">
      <c r="A6" s="158" t="s">
        <v>68</v>
      </c>
      <c r="B6" s="159">
        <v>12.6</v>
      </c>
      <c r="C6" s="160">
        <v>11.8</v>
      </c>
      <c r="D6" s="160">
        <v>11</v>
      </c>
      <c r="E6" s="160">
        <v>10.199999999999999</v>
      </c>
      <c r="F6" s="160">
        <v>9.5</v>
      </c>
      <c r="G6" s="160">
        <v>8.8000000000000007</v>
      </c>
      <c r="H6" s="160">
        <v>8.1999999999999993</v>
      </c>
      <c r="I6" s="160">
        <v>7.6</v>
      </c>
      <c r="J6" s="160">
        <v>7.2</v>
      </c>
      <c r="K6" s="160">
        <v>7.1</v>
      </c>
      <c r="L6" s="160">
        <v>7.3</v>
      </c>
      <c r="M6" s="160">
        <v>7.9</v>
      </c>
      <c r="N6" s="160">
        <v>8.8000000000000007</v>
      </c>
      <c r="O6" s="160">
        <v>9.9</v>
      </c>
      <c r="P6" s="160">
        <v>11.2</v>
      </c>
      <c r="Q6" s="160">
        <v>12.6</v>
      </c>
      <c r="R6" s="160">
        <v>13.8</v>
      </c>
      <c r="S6" s="160">
        <v>14.7</v>
      </c>
      <c r="T6" s="161">
        <v>15.3</v>
      </c>
      <c r="U6" s="161">
        <v>15.5</v>
      </c>
      <c r="V6" s="161">
        <v>15.4</v>
      </c>
      <c r="W6" s="161">
        <v>14.9</v>
      </c>
      <c r="X6" s="161">
        <v>14.2</v>
      </c>
      <c r="Y6" s="162">
        <v>13.4</v>
      </c>
    </row>
    <row r="7" spans="1:25" ht="12" customHeight="1">
      <c r="A7" s="158" t="s">
        <v>69</v>
      </c>
      <c r="B7" s="159" t="s">
        <v>100</v>
      </c>
      <c r="C7" s="160" t="s">
        <v>100</v>
      </c>
      <c r="D7" s="160" t="s">
        <v>100</v>
      </c>
      <c r="E7" s="160" t="s">
        <v>100</v>
      </c>
      <c r="F7" s="160" t="s">
        <v>100</v>
      </c>
      <c r="G7" s="160" t="s">
        <v>100</v>
      </c>
      <c r="H7" s="160" t="s">
        <v>100</v>
      </c>
      <c r="I7" s="160" t="s">
        <v>100</v>
      </c>
      <c r="J7" s="160" t="s">
        <v>100</v>
      </c>
      <c r="K7" s="160" t="s">
        <v>100</v>
      </c>
      <c r="L7" s="160" t="s">
        <v>100</v>
      </c>
      <c r="M7" s="160" t="s">
        <v>100</v>
      </c>
      <c r="N7" s="160" t="s">
        <v>100</v>
      </c>
      <c r="O7" s="160" t="s">
        <v>100</v>
      </c>
      <c r="P7" s="160" t="s">
        <v>100</v>
      </c>
      <c r="Q7" s="160" t="s">
        <v>100</v>
      </c>
      <c r="R7" s="160" t="s">
        <v>100</v>
      </c>
      <c r="S7" s="160" t="s">
        <v>100</v>
      </c>
      <c r="T7" s="161" t="s">
        <v>100</v>
      </c>
      <c r="U7" s="161" t="s">
        <v>100</v>
      </c>
      <c r="V7" s="161" t="s">
        <v>100</v>
      </c>
      <c r="W7" s="161" t="s">
        <v>100</v>
      </c>
      <c r="X7" s="161" t="s">
        <v>100</v>
      </c>
      <c r="Y7" s="162" t="s">
        <v>100</v>
      </c>
    </row>
    <row r="8" spans="1:25" ht="12" customHeight="1">
      <c r="A8" s="158" t="s">
        <v>70</v>
      </c>
      <c r="B8" s="159" t="s">
        <v>100</v>
      </c>
      <c r="C8" s="160" t="s">
        <v>100</v>
      </c>
      <c r="D8" s="160" t="s">
        <v>100</v>
      </c>
      <c r="E8" s="160" t="s">
        <v>100</v>
      </c>
      <c r="F8" s="160" t="s">
        <v>100</v>
      </c>
      <c r="G8" s="160" t="s">
        <v>100</v>
      </c>
      <c r="H8" s="160" t="s">
        <v>100</v>
      </c>
      <c r="I8" s="160" t="s">
        <v>100</v>
      </c>
      <c r="J8" s="160" t="s">
        <v>100</v>
      </c>
      <c r="K8" s="160" t="s">
        <v>100</v>
      </c>
      <c r="L8" s="160" t="s">
        <v>100</v>
      </c>
      <c r="M8" s="160" t="s">
        <v>100</v>
      </c>
      <c r="N8" s="160" t="s">
        <v>100</v>
      </c>
      <c r="O8" s="160" t="s">
        <v>100</v>
      </c>
      <c r="P8" s="160" t="s">
        <v>100</v>
      </c>
      <c r="Q8" s="160" t="s">
        <v>100</v>
      </c>
      <c r="R8" s="160" t="s">
        <v>100</v>
      </c>
      <c r="S8" s="160" t="s">
        <v>100</v>
      </c>
      <c r="T8" s="161" t="s">
        <v>100</v>
      </c>
      <c r="U8" s="161" t="s">
        <v>100</v>
      </c>
      <c r="V8" s="161" t="s">
        <v>100</v>
      </c>
      <c r="W8" s="161" t="s">
        <v>100</v>
      </c>
      <c r="X8" s="161" t="s">
        <v>100</v>
      </c>
      <c r="Y8" s="162" t="s">
        <v>100</v>
      </c>
    </row>
    <row r="9" spans="1:25" ht="12" customHeight="1">
      <c r="A9" s="158" t="s">
        <v>71</v>
      </c>
      <c r="B9" s="159" t="s">
        <v>100</v>
      </c>
      <c r="C9" s="160" t="s">
        <v>100</v>
      </c>
      <c r="D9" s="160" t="s">
        <v>100</v>
      </c>
      <c r="E9" s="160" t="s">
        <v>100</v>
      </c>
      <c r="F9" s="160" t="s">
        <v>100</v>
      </c>
      <c r="G9" s="160" t="s">
        <v>100</v>
      </c>
      <c r="H9" s="160" t="s">
        <v>100</v>
      </c>
      <c r="I9" s="160" t="s">
        <v>100</v>
      </c>
      <c r="J9" s="160" t="s">
        <v>100</v>
      </c>
      <c r="K9" s="160" t="s">
        <v>100</v>
      </c>
      <c r="L9" s="160" t="s">
        <v>100</v>
      </c>
      <c r="M9" s="160" t="s">
        <v>100</v>
      </c>
      <c r="N9" s="160" t="s">
        <v>100</v>
      </c>
      <c r="O9" s="160" t="s">
        <v>100</v>
      </c>
      <c r="P9" s="160" t="s">
        <v>100</v>
      </c>
      <c r="Q9" s="160" t="s">
        <v>100</v>
      </c>
      <c r="R9" s="160" t="s">
        <v>100</v>
      </c>
      <c r="S9" s="160" t="s">
        <v>100</v>
      </c>
      <c r="T9" s="161" t="s">
        <v>100</v>
      </c>
      <c r="U9" s="161" t="s">
        <v>100</v>
      </c>
      <c r="V9" s="161" t="s">
        <v>100</v>
      </c>
      <c r="W9" s="161" t="s">
        <v>100</v>
      </c>
      <c r="X9" s="161" t="s">
        <v>100</v>
      </c>
      <c r="Y9" s="162" t="s">
        <v>100</v>
      </c>
    </row>
    <row r="10" spans="1:25" ht="12" customHeight="1">
      <c r="A10" s="158" t="s">
        <v>72</v>
      </c>
      <c r="B10" s="159" t="s">
        <v>100</v>
      </c>
      <c r="C10" s="160" t="s">
        <v>100</v>
      </c>
      <c r="D10" s="160" t="s">
        <v>100</v>
      </c>
      <c r="E10" s="160" t="s">
        <v>100</v>
      </c>
      <c r="F10" s="160" t="s">
        <v>100</v>
      </c>
      <c r="G10" s="160" t="s">
        <v>100</v>
      </c>
      <c r="H10" s="160" t="s">
        <v>100</v>
      </c>
      <c r="I10" s="160" t="s">
        <v>100</v>
      </c>
      <c r="J10" s="160" t="s">
        <v>100</v>
      </c>
      <c r="K10" s="160" t="s">
        <v>100</v>
      </c>
      <c r="L10" s="160" t="s">
        <v>100</v>
      </c>
      <c r="M10" s="160" t="s">
        <v>100</v>
      </c>
      <c r="N10" s="160" t="s">
        <v>100</v>
      </c>
      <c r="O10" s="160" t="s">
        <v>100</v>
      </c>
      <c r="P10" s="160" t="s">
        <v>100</v>
      </c>
      <c r="Q10" s="160" t="s">
        <v>100</v>
      </c>
      <c r="R10" s="160" t="s">
        <v>100</v>
      </c>
      <c r="S10" s="160" t="s">
        <v>100</v>
      </c>
      <c r="T10" s="161" t="s">
        <v>100</v>
      </c>
      <c r="U10" s="161" t="s">
        <v>100</v>
      </c>
      <c r="V10" s="161" t="s">
        <v>100</v>
      </c>
      <c r="W10" s="161" t="s">
        <v>100</v>
      </c>
      <c r="X10" s="161" t="s">
        <v>100</v>
      </c>
      <c r="Y10" s="162" t="s">
        <v>100</v>
      </c>
    </row>
    <row r="11" spans="1:25" ht="12" customHeight="1">
      <c r="A11" s="158" t="s">
        <v>73</v>
      </c>
      <c r="B11" s="159" t="s">
        <v>100</v>
      </c>
      <c r="C11" s="160" t="s">
        <v>100</v>
      </c>
      <c r="D11" s="160" t="s">
        <v>100</v>
      </c>
      <c r="E11" s="160" t="s">
        <v>100</v>
      </c>
      <c r="F11" s="160" t="s">
        <v>100</v>
      </c>
      <c r="G11" s="160" t="s">
        <v>100</v>
      </c>
      <c r="H11" s="160" t="s">
        <v>100</v>
      </c>
      <c r="I11" s="160" t="s">
        <v>100</v>
      </c>
      <c r="J11" s="160" t="s">
        <v>100</v>
      </c>
      <c r="K11" s="160" t="s">
        <v>100</v>
      </c>
      <c r="L11" s="160" t="s">
        <v>100</v>
      </c>
      <c r="M11" s="160" t="s">
        <v>100</v>
      </c>
      <c r="N11" s="160" t="s">
        <v>100</v>
      </c>
      <c r="O11" s="160" t="s">
        <v>100</v>
      </c>
      <c r="P11" s="160" t="s">
        <v>100</v>
      </c>
      <c r="Q11" s="160" t="s">
        <v>100</v>
      </c>
      <c r="R11" s="160" t="s">
        <v>100</v>
      </c>
      <c r="S11" s="160" t="s">
        <v>100</v>
      </c>
      <c r="T11" s="161" t="s">
        <v>100</v>
      </c>
      <c r="U11" s="161" t="s">
        <v>100</v>
      </c>
      <c r="V11" s="161" t="s">
        <v>100</v>
      </c>
      <c r="W11" s="161" t="s">
        <v>100</v>
      </c>
      <c r="X11" s="161" t="s">
        <v>100</v>
      </c>
      <c r="Y11" s="162" t="s">
        <v>100</v>
      </c>
    </row>
    <row r="12" spans="1:25" ht="12" customHeight="1">
      <c r="A12" s="158" t="s">
        <v>74</v>
      </c>
      <c r="B12" s="159" t="s">
        <v>100</v>
      </c>
      <c r="C12" s="160" t="s">
        <v>100</v>
      </c>
      <c r="D12" s="160" t="s">
        <v>100</v>
      </c>
      <c r="E12" s="160" t="s">
        <v>100</v>
      </c>
      <c r="F12" s="160" t="s">
        <v>100</v>
      </c>
      <c r="G12" s="160" t="s">
        <v>100</v>
      </c>
      <c r="H12" s="160" t="s">
        <v>100</v>
      </c>
      <c r="I12" s="160" t="s">
        <v>100</v>
      </c>
      <c r="J12" s="160" t="s">
        <v>100</v>
      </c>
      <c r="K12" s="160" t="s">
        <v>100</v>
      </c>
      <c r="L12" s="160" t="s">
        <v>100</v>
      </c>
      <c r="M12" s="160" t="s">
        <v>100</v>
      </c>
      <c r="N12" s="160" t="s">
        <v>100</v>
      </c>
      <c r="O12" s="160" t="s">
        <v>100</v>
      </c>
      <c r="P12" s="160" t="s">
        <v>100</v>
      </c>
      <c r="Q12" s="160" t="s">
        <v>100</v>
      </c>
      <c r="R12" s="160" t="s">
        <v>100</v>
      </c>
      <c r="S12" s="160" t="s">
        <v>100</v>
      </c>
      <c r="T12" s="161" t="s">
        <v>100</v>
      </c>
      <c r="U12" s="161" t="s">
        <v>100</v>
      </c>
      <c r="V12" s="161" t="s">
        <v>100</v>
      </c>
      <c r="W12" s="161" t="s">
        <v>100</v>
      </c>
      <c r="X12" s="161" t="s">
        <v>100</v>
      </c>
      <c r="Y12" s="162" t="s">
        <v>100</v>
      </c>
    </row>
    <row r="13" spans="1:25" ht="12" customHeight="1">
      <c r="A13" s="158" t="s">
        <v>75</v>
      </c>
      <c r="B13" s="159" t="s">
        <v>100</v>
      </c>
      <c r="C13" s="160" t="s">
        <v>100</v>
      </c>
      <c r="D13" s="160" t="s">
        <v>100</v>
      </c>
      <c r="E13" s="160" t="s">
        <v>100</v>
      </c>
      <c r="F13" s="160" t="s">
        <v>100</v>
      </c>
      <c r="G13" s="160" t="s">
        <v>100</v>
      </c>
      <c r="H13" s="160" t="s">
        <v>100</v>
      </c>
      <c r="I13" s="160" t="s">
        <v>100</v>
      </c>
      <c r="J13" s="160" t="s">
        <v>100</v>
      </c>
      <c r="K13" s="160" t="s">
        <v>100</v>
      </c>
      <c r="L13" s="160" t="s">
        <v>100</v>
      </c>
      <c r="M13" s="160" t="s">
        <v>100</v>
      </c>
      <c r="N13" s="160" t="s">
        <v>100</v>
      </c>
      <c r="O13" s="160" t="s">
        <v>100</v>
      </c>
      <c r="P13" s="160" t="s">
        <v>100</v>
      </c>
      <c r="Q13" s="160" t="s">
        <v>100</v>
      </c>
      <c r="R13" s="160" t="s">
        <v>100</v>
      </c>
      <c r="S13" s="160" t="s">
        <v>100</v>
      </c>
      <c r="T13" s="161" t="s">
        <v>100</v>
      </c>
      <c r="U13" s="161" t="s">
        <v>100</v>
      </c>
      <c r="V13" s="161" t="s">
        <v>100</v>
      </c>
      <c r="W13" s="161" t="s">
        <v>100</v>
      </c>
      <c r="X13" s="161" t="s">
        <v>100</v>
      </c>
      <c r="Y13" s="162" t="s">
        <v>100</v>
      </c>
    </row>
    <row r="14" spans="1:25" ht="12" customHeight="1">
      <c r="A14" s="163" t="s">
        <v>76</v>
      </c>
      <c r="B14" s="164" t="s">
        <v>100</v>
      </c>
      <c r="C14" s="165" t="s">
        <v>100</v>
      </c>
      <c r="D14" s="165" t="s">
        <v>100</v>
      </c>
      <c r="E14" s="165" t="s">
        <v>100</v>
      </c>
      <c r="F14" s="165" t="s">
        <v>100</v>
      </c>
      <c r="G14" s="165" t="s">
        <v>100</v>
      </c>
      <c r="H14" s="165" t="s">
        <v>100</v>
      </c>
      <c r="I14" s="165" t="s">
        <v>100</v>
      </c>
      <c r="J14" s="165" t="s">
        <v>100</v>
      </c>
      <c r="K14" s="165" t="s">
        <v>100</v>
      </c>
      <c r="L14" s="165" t="s">
        <v>100</v>
      </c>
      <c r="M14" s="165" t="s">
        <v>100</v>
      </c>
      <c r="N14" s="165" t="s">
        <v>100</v>
      </c>
      <c r="O14" s="165" t="s">
        <v>100</v>
      </c>
      <c r="P14" s="165" t="s">
        <v>100</v>
      </c>
      <c r="Q14" s="165" t="s">
        <v>100</v>
      </c>
      <c r="R14" s="165" t="s">
        <v>100</v>
      </c>
      <c r="S14" s="165" t="s">
        <v>100</v>
      </c>
      <c r="T14" s="166" t="s">
        <v>100</v>
      </c>
      <c r="U14" s="166" t="s">
        <v>100</v>
      </c>
      <c r="V14" s="166" t="s">
        <v>100</v>
      </c>
      <c r="W14" s="166" t="s">
        <v>100</v>
      </c>
      <c r="X14" s="166" t="s">
        <v>100</v>
      </c>
      <c r="Y14" s="167" t="s">
        <v>100</v>
      </c>
    </row>
    <row r="15" spans="1:25" ht="12" customHeight="1" thickBot="1"/>
    <row r="16" spans="1:25" ht="12" customHeight="1">
      <c r="A16" s="145" t="s">
        <v>67</v>
      </c>
      <c r="B16" s="145"/>
      <c r="C16" s="145"/>
      <c r="D16" s="38" t="s">
        <v>18</v>
      </c>
      <c r="E16" s="145"/>
      <c r="F16" s="145"/>
      <c r="G16" s="145"/>
      <c r="H16" s="145"/>
      <c r="I16" s="145"/>
      <c r="J16" s="145"/>
      <c r="K16" s="145"/>
      <c r="L16" s="145"/>
      <c r="M16" s="145"/>
      <c r="N16" s="145"/>
      <c r="O16" s="145"/>
      <c r="P16" s="145"/>
      <c r="Q16" s="145"/>
      <c r="R16" s="145"/>
      <c r="S16" s="146"/>
      <c r="T16" s="145"/>
      <c r="U16" s="145"/>
      <c r="V16" s="145"/>
      <c r="W16" s="145"/>
      <c r="X16" s="145"/>
      <c r="Y16" s="145"/>
    </row>
    <row r="17" spans="1:25" ht="16.5" customHeight="1">
      <c r="A17" s="147"/>
      <c r="B17" s="148">
        <v>1</v>
      </c>
      <c r="C17" s="149">
        <v>2</v>
      </c>
      <c r="D17" s="150">
        <v>3</v>
      </c>
      <c r="E17" s="149">
        <v>4</v>
      </c>
      <c r="F17" s="149">
        <v>5</v>
      </c>
      <c r="G17" s="149">
        <v>6</v>
      </c>
      <c r="H17" s="149">
        <v>7</v>
      </c>
      <c r="I17" s="149">
        <v>8</v>
      </c>
      <c r="J17" s="149">
        <v>9</v>
      </c>
      <c r="K17" s="149">
        <v>10</v>
      </c>
      <c r="L17" s="149">
        <v>11</v>
      </c>
      <c r="M17" s="149">
        <v>12</v>
      </c>
      <c r="N17" s="149">
        <v>13</v>
      </c>
      <c r="O17" s="149">
        <v>14</v>
      </c>
      <c r="P17" s="149">
        <v>15</v>
      </c>
      <c r="Q17" s="149">
        <v>16</v>
      </c>
      <c r="R17" s="149">
        <v>17</v>
      </c>
      <c r="S17" s="149">
        <v>18</v>
      </c>
      <c r="T17" s="151">
        <v>19</v>
      </c>
      <c r="U17" s="151">
        <v>20</v>
      </c>
      <c r="V17" s="151">
        <v>21</v>
      </c>
      <c r="W17" s="151">
        <v>22</v>
      </c>
      <c r="X17" s="151">
        <v>23</v>
      </c>
      <c r="Y17" s="152">
        <v>24</v>
      </c>
    </row>
    <row r="18" spans="1:25" ht="12" customHeight="1">
      <c r="A18" s="153" t="s">
        <v>102</v>
      </c>
      <c r="B18" s="200">
        <v>8</v>
      </c>
      <c r="C18" s="201">
        <v>7.5</v>
      </c>
      <c r="D18" s="201">
        <v>7.1</v>
      </c>
      <c r="E18" s="201">
        <v>6.6</v>
      </c>
      <c r="F18" s="201">
        <v>6.2</v>
      </c>
      <c r="G18" s="201">
        <v>5.7</v>
      </c>
      <c r="H18" s="201">
        <v>5.3</v>
      </c>
      <c r="I18" s="201">
        <v>5</v>
      </c>
      <c r="J18" s="201">
        <v>4.7</v>
      </c>
      <c r="K18" s="201">
        <v>4.5999999999999996</v>
      </c>
      <c r="L18" s="201">
        <v>4.7</v>
      </c>
      <c r="M18" s="201">
        <v>5.0999999999999996</v>
      </c>
      <c r="N18" s="201">
        <v>5.6</v>
      </c>
      <c r="O18" s="201">
        <v>6.2</v>
      </c>
      <c r="P18" s="201">
        <v>6.9</v>
      </c>
      <c r="Q18" s="201">
        <v>7.6</v>
      </c>
      <c r="R18" s="201">
        <v>8.3000000000000007</v>
      </c>
      <c r="S18" s="201">
        <v>8.8000000000000007</v>
      </c>
      <c r="T18" s="202">
        <v>9.1999999999999993</v>
      </c>
      <c r="U18" s="202">
        <v>9.4</v>
      </c>
      <c r="V18" s="202">
        <v>9.4</v>
      </c>
      <c r="W18" s="202">
        <v>9.1999999999999993</v>
      </c>
      <c r="X18" s="202">
        <v>8.9</v>
      </c>
      <c r="Y18" s="203">
        <v>8.5</v>
      </c>
    </row>
    <row r="19" spans="1:25" ht="12" customHeight="1">
      <c r="A19" s="158" t="s">
        <v>68</v>
      </c>
      <c r="B19" s="159">
        <v>14.3</v>
      </c>
      <c r="C19" s="160">
        <v>13.3</v>
      </c>
      <c r="D19" s="160">
        <v>12.3</v>
      </c>
      <c r="E19" s="160">
        <v>11.3</v>
      </c>
      <c r="F19" s="160">
        <v>10.4</v>
      </c>
      <c r="G19" s="160">
        <v>9.6</v>
      </c>
      <c r="H19" s="160">
        <v>8.8000000000000007</v>
      </c>
      <c r="I19" s="160">
        <v>8.1999999999999993</v>
      </c>
      <c r="J19" s="160">
        <v>7.7</v>
      </c>
      <c r="K19" s="160">
        <v>7.6</v>
      </c>
      <c r="L19" s="160">
        <v>8</v>
      </c>
      <c r="M19" s="160">
        <v>8.6999999999999993</v>
      </c>
      <c r="N19" s="160">
        <v>9.9</v>
      </c>
      <c r="O19" s="160">
        <v>11.3</v>
      </c>
      <c r="P19" s="160">
        <v>12.9</v>
      </c>
      <c r="Q19" s="160">
        <v>14.5</v>
      </c>
      <c r="R19" s="160">
        <v>15.9</v>
      </c>
      <c r="S19" s="160">
        <v>17</v>
      </c>
      <c r="T19" s="161">
        <v>17.7</v>
      </c>
      <c r="U19" s="161">
        <v>18</v>
      </c>
      <c r="V19" s="161">
        <v>17.8</v>
      </c>
      <c r="W19" s="161">
        <v>17.2</v>
      </c>
      <c r="X19" s="161">
        <v>16.3</v>
      </c>
      <c r="Y19" s="162">
        <v>15.4</v>
      </c>
    </row>
    <row r="20" spans="1:25" ht="12" customHeight="1">
      <c r="A20" s="158" t="s">
        <v>69</v>
      </c>
      <c r="B20" s="159" t="s">
        <v>100</v>
      </c>
      <c r="C20" s="160" t="s">
        <v>100</v>
      </c>
      <c r="D20" s="160" t="s">
        <v>100</v>
      </c>
      <c r="E20" s="160" t="s">
        <v>100</v>
      </c>
      <c r="F20" s="160" t="s">
        <v>100</v>
      </c>
      <c r="G20" s="160" t="s">
        <v>100</v>
      </c>
      <c r="H20" s="160" t="s">
        <v>100</v>
      </c>
      <c r="I20" s="160" t="s">
        <v>100</v>
      </c>
      <c r="J20" s="160" t="s">
        <v>100</v>
      </c>
      <c r="K20" s="160" t="s">
        <v>100</v>
      </c>
      <c r="L20" s="160" t="s">
        <v>100</v>
      </c>
      <c r="M20" s="160" t="s">
        <v>100</v>
      </c>
      <c r="N20" s="160" t="s">
        <v>100</v>
      </c>
      <c r="O20" s="160" t="s">
        <v>100</v>
      </c>
      <c r="P20" s="160" t="s">
        <v>100</v>
      </c>
      <c r="Q20" s="160" t="s">
        <v>100</v>
      </c>
      <c r="R20" s="160" t="s">
        <v>100</v>
      </c>
      <c r="S20" s="160" t="s">
        <v>100</v>
      </c>
      <c r="T20" s="161" t="s">
        <v>100</v>
      </c>
      <c r="U20" s="161" t="s">
        <v>100</v>
      </c>
      <c r="V20" s="161" t="s">
        <v>100</v>
      </c>
      <c r="W20" s="161" t="s">
        <v>100</v>
      </c>
      <c r="X20" s="161" t="s">
        <v>100</v>
      </c>
      <c r="Y20" s="162" t="s">
        <v>100</v>
      </c>
    </row>
    <row r="21" spans="1:25" ht="12" customHeight="1">
      <c r="A21" s="158" t="s">
        <v>70</v>
      </c>
      <c r="B21" s="159" t="s">
        <v>100</v>
      </c>
      <c r="C21" s="160" t="s">
        <v>100</v>
      </c>
      <c r="D21" s="160" t="s">
        <v>100</v>
      </c>
      <c r="E21" s="160" t="s">
        <v>100</v>
      </c>
      <c r="F21" s="160" t="s">
        <v>100</v>
      </c>
      <c r="G21" s="160" t="s">
        <v>100</v>
      </c>
      <c r="H21" s="160" t="s">
        <v>100</v>
      </c>
      <c r="I21" s="160" t="s">
        <v>100</v>
      </c>
      <c r="J21" s="160" t="s">
        <v>100</v>
      </c>
      <c r="K21" s="160" t="s">
        <v>100</v>
      </c>
      <c r="L21" s="160" t="s">
        <v>100</v>
      </c>
      <c r="M21" s="160" t="s">
        <v>100</v>
      </c>
      <c r="N21" s="160" t="s">
        <v>100</v>
      </c>
      <c r="O21" s="160" t="s">
        <v>100</v>
      </c>
      <c r="P21" s="160" t="s">
        <v>100</v>
      </c>
      <c r="Q21" s="160" t="s">
        <v>100</v>
      </c>
      <c r="R21" s="160" t="s">
        <v>100</v>
      </c>
      <c r="S21" s="160" t="s">
        <v>100</v>
      </c>
      <c r="T21" s="161" t="s">
        <v>100</v>
      </c>
      <c r="U21" s="161" t="s">
        <v>100</v>
      </c>
      <c r="V21" s="161" t="s">
        <v>100</v>
      </c>
      <c r="W21" s="161" t="s">
        <v>100</v>
      </c>
      <c r="X21" s="161" t="s">
        <v>100</v>
      </c>
      <c r="Y21" s="162" t="s">
        <v>100</v>
      </c>
    </row>
    <row r="22" spans="1:25" ht="12" customHeight="1">
      <c r="A22" s="158" t="s">
        <v>71</v>
      </c>
      <c r="B22" s="159" t="s">
        <v>100</v>
      </c>
      <c r="C22" s="160" t="s">
        <v>100</v>
      </c>
      <c r="D22" s="160" t="s">
        <v>100</v>
      </c>
      <c r="E22" s="160" t="s">
        <v>100</v>
      </c>
      <c r="F22" s="160" t="s">
        <v>100</v>
      </c>
      <c r="G22" s="160" t="s">
        <v>100</v>
      </c>
      <c r="H22" s="160" t="s">
        <v>100</v>
      </c>
      <c r="I22" s="160" t="s">
        <v>100</v>
      </c>
      <c r="J22" s="160" t="s">
        <v>100</v>
      </c>
      <c r="K22" s="160" t="s">
        <v>100</v>
      </c>
      <c r="L22" s="160" t="s">
        <v>100</v>
      </c>
      <c r="M22" s="160" t="s">
        <v>100</v>
      </c>
      <c r="N22" s="160" t="s">
        <v>100</v>
      </c>
      <c r="O22" s="160" t="s">
        <v>100</v>
      </c>
      <c r="P22" s="160" t="s">
        <v>100</v>
      </c>
      <c r="Q22" s="160" t="s">
        <v>100</v>
      </c>
      <c r="R22" s="160" t="s">
        <v>100</v>
      </c>
      <c r="S22" s="160" t="s">
        <v>100</v>
      </c>
      <c r="T22" s="161" t="s">
        <v>100</v>
      </c>
      <c r="U22" s="161" t="s">
        <v>100</v>
      </c>
      <c r="V22" s="161" t="s">
        <v>100</v>
      </c>
      <c r="W22" s="161" t="s">
        <v>100</v>
      </c>
      <c r="X22" s="161" t="s">
        <v>100</v>
      </c>
      <c r="Y22" s="162" t="s">
        <v>100</v>
      </c>
    </row>
    <row r="23" spans="1:25" ht="12" customHeight="1">
      <c r="A23" s="158" t="s">
        <v>72</v>
      </c>
      <c r="B23" s="159" t="s">
        <v>100</v>
      </c>
      <c r="C23" s="160" t="s">
        <v>100</v>
      </c>
      <c r="D23" s="160" t="s">
        <v>100</v>
      </c>
      <c r="E23" s="160" t="s">
        <v>100</v>
      </c>
      <c r="F23" s="160" t="s">
        <v>100</v>
      </c>
      <c r="G23" s="160" t="s">
        <v>100</v>
      </c>
      <c r="H23" s="160" t="s">
        <v>100</v>
      </c>
      <c r="I23" s="160" t="s">
        <v>100</v>
      </c>
      <c r="J23" s="160" t="s">
        <v>100</v>
      </c>
      <c r="K23" s="160" t="s">
        <v>100</v>
      </c>
      <c r="L23" s="160" t="s">
        <v>100</v>
      </c>
      <c r="M23" s="160" t="s">
        <v>100</v>
      </c>
      <c r="N23" s="160" t="s">
        <v>100</v>
      </c>
      <c r="O23" s="160" t="s">
        <v>100</v>
      </c>
      <c r="P23" s="160" t="s">
        <v>100</v>
      </c>
      <c r="Q23" s="160" t="s">
        <v>100</v>
      </c>
      <c r="R23" s="160" t="s">
        <v>100</v>
      </c>
      <c r="S23" s="160" t="s">
        <v>100</v>
      </c>
      <c r="T23" s="161" t="s">
        <v>100</v>
      </c>
      <c r="U23" s="161" t="s">
        <v>100</v>
      </c>
      <c r="V23" s="161" t="s">
        <v>100</v>
      </c>
      <c r="W23" s="161" t="s">
        <v>100</v>
      </c>
      <c r="X23" s="161" t="s">
        <v>100</v>
      </c>
      <c r="Y23" s="162" t="s">
        <v>100</v>
      </c>
    </row>
    <row r="24" spans="1:25" ht="12" customHeight="1">
      <c r="A24" s="158" t="s">
        <v>73</v>
      </c>
      <c r="B24" s="159" t="s">
        <v>100</v>
      </c>
      <c r="C24" s="160" t="s">
        <v>100</v>
      </c>
      <c r="D24" s="160" t="s">
        <v>100</v>
      </c>
      <c r="E24" s="160" t="s">
        <v>100</v>
      </c>
      <c r="F24" s="160" t="s">
        <v>100</v>
      </c>
      <c r="G24" s="160" t="s">
        <v>100</v>
      </c>
      <c r="H24" s="160" t="s">
        <v>100</v>
      </c>
      <c r="I24" s="160" t="s">
        <v>100</v>
      </c>
      <c r="J24" s="160" t="s">
        <v>100</v>
      </c>
      <c r="K24" s="160" t="s">
        <v>100</v>
      </c>
      <c r="L24" s="160" t="s">
        <v>100</v>
      </c>
      <c r="M24" s="160" t="s">
        <v>100</v>
      </c>
      <c r="N24" s="160" t="s">
        <v>100</v>
      </c>
      <c r="O24" s="160" t="s">
        <v>100</v>
      </c>
      <c r="P24" s="160" t="s">
        <v>100</v>
      </c>
      <c r="Q24" s="160" t="s">
        <v>100</v>
      </c>
      <c r="R24" s="160" t="s">
        <v>100</v>
      </c>
      <c r="S24" s="160" t="s">
        <v>100</v>
      </c>
      <c r="T24" s="161" t="s">
        <v>100</v>
      </c>
      <c r="U24" s="161" t="s">
        <v>100</v>
      </c>
      <c r="V24" s="161" t="s">
        <v>100</v>
      </c>
      <c r="W24" s="161" t="s">
        <v>100</v>
      </c>
      <c r="X24" s="161" t="s">
        <v>100</v>
      </c>
      <c r="Y24" s="162" t="s">
        <v>100</v>
      </c>
    </row>
    <row r="25" spans="1:25" ht="12" customHeight="1">
      <c r="A25" s="158" t="s">
        <v>74</v>
      </c>
      <c r="B25" s="159" t="s">
        <v>100</v>
      </c>
      <c r="C25" s="160" t="s">
        <v>100</v>
      </c>
      <c r="D25" s="160" t="s">
        <v>100</v>
      </c>
      <c r="E25" s="160" t="s">
        <v>100</v>
      </c>
      <c r="F25" s="160" t="s">
        <v>100</v>
      </c>
      <c r="G25" s="160" t="s">
        <v>100</v>
      </c>
      <c r="H25" s="160" t="s">
        <v>100</v>
      </c>
      <c r="I25" s="160" t="s">
        <v>100</v>
      </c>
      <c r="J25" s="160" t="s">
        <v>100</v>
      </c>
      <c r="K25" s="160" t="s">
        <v>100</v>
      </c>
      <c r="L25" s="160" t="s">
        <v>100</v>
      </c>
      <c r="M25" s="160" t="s">
        <v>100</v>
      </c>
      <c r="N25" s="160" t="s">
        <v>100</v>
      </c>
      <c r="O25" s="160" t="s">
        <v>100</v>
      </c>
      <c r="P25" s="160" t="s">
        <v>100</v>
      </c>
      <c r="Q25" s="160" t="s">
        <v>100</v>
      </c>
      <c r="R25" s="160" t="s">
        <v>100</v>
      </c>
      <c r="S25" s="160" t="s">
        <v>100</v>
      </c>
      <c r="T25" s="161" t="s">
        <v>100</v>
      </c>
      <c r="U25" s="161" t="s">
        <v>100</v>
      </c>
      <c r="V25" s="161" t="s">
        <v>100</v>
      </c>
      <c r="W25" s="161" t="s">
        <v>100</v>
      </c>
      <c r="X25" s="161" t="s">
        <v>100</v>
      </c>
      <c r="Y25" s="162" t="s">
        <v>100</v>
      </c>
    </row>
    <row r="26" spans="1:25" ht="12" customHeight="1">
      <c r="A26" s="158" t="s">
        <v>75</v>
      </c>
      <c r="B26" s="159" t="s">
        <v>100</v>
      </c>
      <c r="C26" s="160" t="s">
        <v>100</v>
      </c>
      <c r="D26" s="160" t="s">
        <v>100</v>
      </c>
      <c r="E26" s="160" t="s">
        <v>100</v>
      </c>
      <c r="F26" s="160" t="s">
        <v>100</v>
      </c>
      <c r="G26" s="160" t="s">
        <v>100</v>
      </c>
      <c r="H26" s="160" t="s">
        <v>100</v>
      </c>
      <c r="I26" s="160" t="s">
        <v>100</v>
      </c>
      <c r="J26" s="160" t="s">
        <v>100</v>
      </c>
      <c r="K26" s="160" t="s">
        <v>100</v>
      </c>
      <c r="L26" s="160" t="s">
        <v>100</v>
      </c>
      <c r="M26" s="160" t="s">
        <v>100</v>
      </c>
      <c r="N26" s="160" t="s">
        <v>100</v>
      </c>
      <c r="O26" s="160" t="s">
        <v>100</v>
      </c>
      <c r="P26" s="160" t="s">
        <v>100</v>
      </c>
      <c r="Q26" s="160" t="s">
        <v>100</v>
      </c>
      <c r="R26" s="160" t="s">
        <v>100</v>
      </c>
      <c r="S26" s="160" t="s">
        <v>100</v>
      </c>
      <c r="T26" s="161" t="s">
        <v>100</v>
      </c>
      <c r="U26" s="161" t="s">
        <v>100</v>
      </c>
      <c r="V26" s="161" t="s">
        <v>100</v>
      </c>
      <c r="W26" s="161" t="s">
        <v>100</v>
      </c>
      <c r="X26" s="161" t="s">
        <v>100</v>
      </c>
      <c r="Y26" s="162" t="s">
        <v>100</v>
      </c>
    </row>
    <row r="27" spans="1:25" ht="12" customHeight="1">
      <c r="A27" s="163" t="s">
        <v>76</v>
      </c>
      <c r="B27" s="164" t="s">
        <v>100</v>
      </c>
      <c r="C27" s="165" t="s">
        <v>100</v>
      </c>
      <c r="D27" s="165" t="s">
        <v>100</v>
      </c>
      <c r="E27" s="165" t="s">
        <v>100</v>
      </c>
      <c r="F27" s="165" t="s">
        <v>100</v>
      </c>
      <c r="G27" s="165" t="s">
        <v>100</v>
      </c>
      <c r="H27" s="165" t="s">
        <v>100</v>
      </c>
      <c r="I27" s="165" t="s">
        <v>100</v>
      </c>
      <c r="J27" s="165" t="s">
        <v>100</v>
      </c>
      <c r="K27" s="165" t="s">
        <v>100</v>
      </c>
      <c r="L27" s="165" t="s">
        <v>100</v>
      </c>
      <c r="M27" s="165" t="s">
        <v>100</v>
      </c>
      <c r="N27" s="165" t="s">
        <v>100</v>
      </c>
      <c r="O27" s="165" t="s">
        <v>100</v>
      </c>
      <c r="P27" s="165" t="s">
        <v>100</v>
      </c>
      <c r="Q27" s="165" t="s">
        <v>100</v>
      </c>
      <c r="R27" s="165" t="s">
        <v>100</v>
      </c>
      <c r="S27" s="165" t="s">
        <v>100</v>
      </c>
      <c r="T27" s="166" t="s">
        <v>100</v>
      </c>
      <c r="U27" s="166" t="s">
        <v>100</v>
      </c>
      <c r="V27" s="166" t="s">
        <v>100</v>
      </c>
      <c r="W27" s="166" t="s">
        <v>100</v>
      </c>
      <c r="X27" s="166" t="s">
        <v>100</v>
      </c>
      <c r="Y27" s="167" t="s">
        <v>100</v>
      </c>
    </row>
    <row r="28" spans="1:25" ht="12" customHeight="1" thickBot="1"/>
    <row r="29" spans="1:25" ht="12" customHeight="1">
      <c r="A29" s="145" t="s">
        <v>67</v>
      </c>
      <c r="B29" s="145"/>
      <c r="C29" s="145"/>
      <c r="D29" s="39" t="s">
        <v>34</v>
      </c>
      <c r="E29" s="145"/>
      <c r="F29" s="145"/>
      <c r="G29" s="145"/>
      <c r="H29" s="145"/>
      <c r="I29" s="145"/>
      <c r="J29" s="145"/>
      <c r="K29" s="145"/>
      <c r="L29" s="145"/>
      <c r="M29" s="145"/>
      <c r="N29" s="145"/>
      <c r="O29" s="145"/>
      <c r="P29" s="145"/>
      <c r="Q29" s="145"/>
      <c r="R29" s="145"/>
      <c r="S29" s="146"/>
      <c r="T29" s="145"/>
      <c r="U29" s="145"/>
      <c r="V29" s="145"/>
      <c r="W29" s="145"/>
      <c r="X29" s="145"/>
      <c r="Y29" s="145"/>
    </row>
    <row r="30" spans="1:25" ht="16.5" customHeight="1">
      <c r="A30" s="147"/>
      <c r="B30" s="148">
        <v>1</v>
      </c>
      <c r="C30" s="149">
        <v>2</v>
      </c>
      <c r="D30" s="150">
        <v>3</v>
      </c>
      <c r="E30" s="149">
        <v>4</v>
      </c>
      <c r="F30" s="149">
        <v>5</v>
      </c>
      <c r="G30" s="149">
        <v>6</v>
      </c>
      <c r="H30" s="149">
        <v>7</v>
      </c>
      <c r="I30" s="149">
        <v>8</v>
      </c>
      <c r="J30" s="149">
        <v>9</v>
      </c>
      <c r="K30" s="149">
        <v>10</v>
      </c>
      <c r="L30" s="149">
        <v>11</v>
      </c>
      <c r="M30" s="149">
        <v>12</v>
      </c>
      <c r="N30" s="149">
        <v>13</v>
      </c>
      <c r="O30" s="149">
        <v>14</v>
      </c>
      <c r="P30" s="149">
        <v>15</v>
      </c>
      <c r="Q30" s="149">
        <v>16</v>
      </c>
      <c r="R30" s="149">
        <v>17</v>
      </c>
      <c r="S30" s="149">
        <v>18</v>
      </c>
      <c r="T30" s="151">
        <v>19</v>
      </c>
      <c r="U30" s="151">
        <v>20</v>
      </c>
      <c r="V30" s="151">
        <v>21</v>
      </c>
      <c r="W30" s="151">
        <v>22</v>
      </c>
      <c r="X30" s="151">
        <v>23</v>
      </c>
      <c r="Y30" s="152">
        <v>24</v>
      </c>
    </row>
    <row r="31" spans="1:25" ht="12" customHeight="1">
      <c r="A31" s="153" t="s">
        <v>106</v>
      </c>
      <c r="B31" s="200">
        <v>5</v>
      </c>
      <c r="C31" s="201">
        <v>4.5999999999999996</v>
      </c>
      <c r="D31" s="201">
        <v>4.3</v>
      </c>
      <c r="E31" s="201">
        <v>3.9</v>
      </c>
      <c r="F31" s="201">
        <v>3.5</v>
      </c>
      <c r="G31" s="201">
        <v>3.2</v>
      </c>
      <c r="H31" s="201">
        <v>2.8</v>
      </c>
      <c r="I31" s="201">
        <v>2.5</v>
      </c>
      <c r="J31" s="201">
        <v>2.2000000000000002</v>
      </c>
      <c r="K31" s="201">
        <v>2.1</v>
      </c>
      <c r="L31" s="201">
        <v>2.2000000000000002</v>
      </c>
      <c r="M31" s="201">
        <v>2.4</v>
      </c>
      <c r="N31" s="201">
        <v>2.8</v>
      </c>
      <c r="O31" s="201">
        <v>3.3</v>
      </c>
      <c r="P31" s="201">
        <v>4</v>
      </c>
      <c r="Q31" s="201">
        <v>4.5999999999999996</v>
      </c>
      <c r="R31" s="201">
        <v>5.2</v>
      </c>
      <c r="S31" s="201">
        <v>5.6</v>
      </c>
      <c r="T31" s="202">
        <v>6</v>
      </c>
      <c r="U31" s="202">
        <v>6.1</v>
      </c>
      <c r="V31" s="202">
        <v>6.1</v>
      </c>
      <c r="W31" s="202">
        <v>6</v>
      </c>
      <c r="X31" s="202">
        <v>5.7</v>
      </c>
      <c r="Y31" s="203">
        <v>5.4</v>
      </c>
    </row>
    <row r="32" spans="1:25" ht="12" customHeight="1">
      <c r="A32" s="158" t="s">
        <v>68</v>
      </c>
      <c r="B32" s="159">
        <v>10.199999999999999</v>
      </c>
      <c r="C32" s="160">
        <v>9.4</v>
      </c>
      <c r="D32" s="160">
        <v>8.5</v>
      </c>
      <c r="E32" s="160">
        <v>7.8</v>
      </c>
      <c r="F32" s="160">
        <v>7</v>
      </c>
      <c r="G32" s="160">
        <v>6.3</v>
      </c>
      <c r="H32" s="160">
        <v>5.7</v>
      </c>
      <c r="I32" s="160">
        <v>5.0999999999999996</v>
      </c>
      <c r="J32" s="160">
        <v>4.5999999999999996</v>
      </c>
      <c r="K32" s="160">
        <v>4.5</v>
      </c>
      <c r="L32" s="160">
        <v>4.7</v>
      </c>
      <c r="M32" s="160">
        <v>5.4</v>
      </c>
      <c r="N32" s="160">
        <v>6.4</v>
      </c>
      <c r="O32" s="160">
        <v>7.7</v>
      </c>
      <c r="P32" s="160">
        <v>9.1</v>
      </c>
      <c r="Q32" s="160">
        <v>10.6</v>
      </c>
      <c r="R32" s="160">
        <v>11.9</v>
      </c>
      <c r="S32" s="160">
        <v>12.8</v>
      </c>
      <c r="T32" s="161">
        <v>13.3</v>
      </c>
      <c r="U32" s="161">
        <v>13.4</v>
      </c>
      <c r="V32" s="161">
        <v>13.1</v>
      </c>
      <c r="W32" s="161">
        <v>12.6</v>
      </c>
      <c r="X32" s="161">
        <v>11.8</v>
      </c>
      <c r="Y32" s="162">
        <v>11</v>
      </c>
    </row>
    <row r="33" spans="1:25" ht="12" customHeight="1">
      <c r="A33" s="158" t="s">
        <v>69</v>
      </c>
      <c r="B33" s="159" t="s">
        <v>100</v>
      </c>
      <c r="C33" s="160" t="s">
        <v>100</v>
      </c>
      <c r="D33" s="160" t="s">
        <v>100</v>
      </c>
      <c r="E33" s="160" t="s">
        <v>100</v>
      </c>
      <c r="F33" s="160" t="s">
        <v>100</v>
      </c>
      <c r="G33" s="160" t="s">
        <v>100</v>
      </c>
      <c r="H33" s="160" t="s">
        <v>100</v>
      </c>
      <c r="I33" s="160" t="s">
        <v>100</v>
      </c>
      <c r="J33" s="160" t="s">
        <v>100</v>
      </c>
      <c r="K33" s="160" t="s">
        <v>100</v>
      </c>
      <c r="L33" s="160" t="s">
        <v>100</v>
      </c>
      <c r="M33" s="160" t="s">
        <v>100</v>
      </c>
      <c r="N33" s="160" t="s">
        <v>100</v>
      </c>
      <c r="O33" s="160" t="s">
        <v>100</v>
      </c>
      <c r="P33" s="160" t="s">
        <v>100</v>
      </c>
      <c r="Q33" s="160" t="s">
        <v>100</v>
      </c>
      <c r="R33" s="160" t="s">
        <v>100</v>
      </c>
      <c r="S33" s="160" t="s">
        <v>100</v>
      </c>
      <c r="T33" s="161" t="s">
        <v>100</v>
      </c>
      <c r="U33" s="161" t="s">
        <v>100</v>
      </c>
      <c r="V33" s="161" t="s">
        <v>100</v>
      </c>
      <c r="W33" s="161" t="s">
        <v>100</v>
      </c>
      <c r="X33" s="161" t="s">
        <v>100</v>
      </c>
      <c r="Y33" s="162" t="s">
        <v>100</v>
      </c>
    </row>
    <row r="34" spans="1:25" ht="12" customHeight="1">
      <c r="A34" s="158" t="s">
        <v>70</v>
      </c>
      <c r="B34" s="159" t="s">
        <v>100</v>
      </c>
      <c r="C34" s="160" t="s">
        <v>100</v>
      </c>
      <c r="D34" s="160" t="s">
        <v>100</v>
      </c>
      <c r="E34" s="160" t="s">
        <v>100</v>
      </c>
      <c r="F34" s="160" t="s">
        <v>100</v>
      </c>
      <c r="G34" s="160" t="s">
        <v>100</v>
      </c>
      <c r="H34" s="160" t="s">
        <v>100</v>
      </c>
      <c r="I34" s="160" t="s">
        <v>100</v>
      </c>
      <c r="J34" s="160" t="s">
        <v>100</v>
      </c>
      <c r="K34" s="160" t="s">
        <v>100</v>
      </c>
      <c r="L34" s="160" t="s">
        <v>100</v>
      </c>
      <c r="M34" s="160" t="s">
        <v>100</v>
      </c>
      <c r="N34" s="160" t="s">
        <v>100</v>
      </c>
      <c r="O34" s="160" t="s">
        <v>100</v>
      </c>
      <c r="P34" s="160" t="s">
        <v>100</v>
      </c>
      <c r="Q34" s="160" t="s">
        <v>100</v>
      </c>
      <c r="R34" s="160" t="s">
        <v>100</v>
      </c>
      <c r="S34" s="160" t="s">
        <v>100</v>
      </c>
      <c r="T34" s="161" t="s">
        <v>100</v>
      </c>
      <c r="U34" s="161" t="s">
        <v>100</v>
      </c>
      <c r="V34" s="161" t="s">
        <v>100</v>
      </c>
      <c r="W34" s="161" t="s">
        <v>100</v>
      </c>
      <c r="X34" s="161" t="s">
        <v>100</v>
      </c>
      <c r="Y34" s="162" t="s">
        <v>100</v>
      </c>
    </row>
    <row r="35" spans="1:25" ht="12" customHeight="1">
      <c r="A35" s="158" t="s">
        <v>71</v>
      </c>
      <c r="B35" s="159" t="s">
        <v>100</v>
      </c>
      <c r="C35" s="160" t="s">
        <v>100</v>
      </c>
      <c r="D35" s="160" t="s">
        <v>100</v>
      </c>
      <c r="E35" s="160" t="s">
        <v>100</v>
      </c>
      <c r="F35" s="160" t="s">
        <v>100</v>
      </c>
      <c r="G35" s="160" t="s">
        <v>100</v>
      </c>
      <c r="H35" s="160" t="s">
        <v>100</v>
      </c>
      <c r="I35" s="160" t="s">
        <v>100</v>
      </c>
      <c r="J35" s="160" t="s">
        <v>100</v>
      </c>
      <c r="K35" s="160" t="s">
        <v>100</v>
      </c>
      <c r="L35" s="160" t="s">
        <v>100</v>
      </c>
      <c r="M35" s="160" t="s">
        <v>100</v>
      </c>
      <c r="N35" s="160" t="s">
        <v>100</v>
      </c>
      <c r="O35" s="160" t="s">
        <v>100</v>
      </c>
      <c r="P35" s="160" t="s">
        <v>100</v>
      </c>
      <c r="Q35" s="160" t="s">
        <v>100</v>
      </c>
      <c r="R35" s="160" t="s">
        <v>100</v>
      </c>
      <c r="S35" s="160" t="s">
        <v>100</v>
      </c>
      <c r="T35" s="161" t="s">
        <v>100</v>
      </c>
      <c r="U35" s="161" t="s">
        <v>100</v>
      </c>
      <c r="V35" s="161" t="s">
        <v>100</v>
      </c>
      <c r="W35" s="161" t="s">
        <v>100</v>
      </c>
      <c r="X35" s="161" t="s">
        <v>100</v>
      </c>
      <c r="Y35" s="162" t="s">
        <v>100</v>
      </c>
    </row>
    <row r="36" spans="1:25" ht="12" customHeight="1">
      <c r="A36" s="158" t="s">
        <v>72</v>
      </c>
      <c r="B36" s="159" t="s">
        <v>100</v>
      </c>
      <c r="C36" s="160" t="s">
        <v>100</v>
      </c>
      <c r="D36" s="160" t="s">
        <v>100</v>
      </c>
      <c r="E36" s="160" t="s">
        <v>100</v>
      </c>
      <c r="F36" s="160" t="s">
        <v>100</v>
      </c>
      <c r="G36" s="160" t="s">
        <v>100</v>
      </c>
      <c r="H36" s="160" t="s">
        <v>100</v>
      </c>
      <c r="I36" s="160" t="s">
        <v>100</v>
      </c>
      <c r="J36" s="160" t="s">
        <v>100</v>
      </c>
      <c r="K36" s="160" t="s">
        <v>100</v>
      </c>
      <c r="L36" s="160" t="s">
        <v>100</v>
      </c>
      <c r="M36" s="160" t="s">
        <v>100</v>
      </c>
      <c r="N36" s="160" t="s">
        <v>100</v>
      </c>
      <c r="O36" s="160" t="s">
        <v>100</v>
      </c>
      <c r="P36" s="160" t="s">
        <v>100</v>
      </c>
      <c r="Q36" s="160" t="s">
        <v>100</v>
      </c>
      <c r="R36" s="160" t="s">
        <v>100</v>
      </c>
      <c r="S36" s="160" t="s">
        <v>100</v>
      </c>
      <c r="T36" s="161" t="s">
        <v>100</v>
      </c>
      <c r="U36" s="161" t="s">
        <v>100</v>
      </c>
      <c r="V36" s="161" t="s">
        <v>100</v>
      </c>
      <c r="W36" s="161" t="s">
        <v>100</v>
      </c>
      <c r="X36" s="161" t="s">
        <v>100</v>
      </c>
      <c r="Y36" s="162" t="s">
        <v>100</v>
      </c>
    </row>
    <row r="37" spans="1:25" ht="12" customHeight="1">
      <c r="A37" s="158" t="s">
        <v>73</v>
      </c>
      <c r="B37" s="159" t="s">
        <v>100</v>
      </c>
      <c r="C37" s="160" t="s">
        <v>100</v>
      </c>
      <c r="D37" s="160" t="s">
        <v>100</v>
      </c>
      <c r="E37" s="160" t="s">
        <v>100</v>
      </c>
      <c r="F37" s="160" t="s">
        <v>100</v>
      </c>
      <c r="G37" s="160" t="s">
        <v>100</v>
      </c>
      <c r="H37" s="160" t="s">
        <v>100</v>
      </c>
      <c r="I37" s="160" t="s">
        <v>100</v>
      </c>
      <c r="J37" s="160" t="s">
        <v>100</v>
      </c>
      <c r="K37" s="160" t="s">
        <v>100</v>
      </c>
      <c r="L37" s="160" t="s">
        <v>100</v>
      </c>
      <c r="M37" s="160" t="s">
        <v>100</v>
      </c>
      <c r="N37" s="160" t="s">
        <v>100</v>
      </c>
      <c r="O37" s="160" t="s">
        <v>100</v>
      </c>
      <c r="P37" s="160" t="s">
        <v>100</v>
      </c>
      <c r="Q37" s="160" t="s">
        <v>100</v>
      </c>
      <c r="R37" s="160" t="s">
        <v>100</v>
      </c>
      <c r="S37" s="160" t="s">
        <v>100</v>
      </c>
      <c r="T37" s="161" t="s">
        <v>100</v>
      </c>
      <c r="U37" s="161" t="s">
        <v>100</v>
      </c>
      <c r="V37" s="161" t="s">
        <v>100</v>
      </c>
      <c r="W37" s="161" t="s">
        <v>100</v>
      </c>
      <c r="X37" s="161" t="s">
        <v>100</v>
      </c>
      <c r="Y37" s="162" t="s">
        <v>100</v>
      </c>
    </row>
    <row r="38" spans="1:25" ht="12" customHeight="1">
      <c r="A38" s="158" t="s">
        <v>74</v>
      </c>
      <c r="B38" s="159" t="s">
        <v>100</v>
      </c>
      <c r="C38" s="160" t="s">
        <v>100</v>
      </c>
      <c r="D38" s="160" t="s">
        <v>100</v>
      </c>
      <c r="E38" s="160" t="s">
        <v>100</v>
      </c>
      <c r="F38" s="160" t="s">
        <v>100</v>
      </c>
      <c r="G38" s="160" t="s">
        <v>100</v>
      </c>
      <c r="H38" s="160" t="s">
        <v>100</v>
      </c>
      <c r="I38" s="160" t="s">
        <v>100</v>
      </c>
      <c r="J38" s="160" t="s">
        <v>100</v>
      </c>
      <c r="K38" s="160" t="s">
        <v>100</v>
      </c>
      <c r="L38" s="160" t="s">
        <v>100</v>
      </c>
      <c r="M38" s="160" t="s">
        <v>100</v>
      </c>
      <c r="N38" s="160" t="s">
        <v>100</v>
      </c>
      <c r="O38" s="160" t="s">
        <v>100</v>
      </c>
      <c r="P38" s="160" t="s">
        <v>100</v>
      </c>
      <c r="Q38" s="160" t="s">
        <v>100</v>
      </c>
      <c r="R38" s="160" t="s">
        <v>100</v>
      </c>
      <c r="S38" s="160" t="s">
        <v>100</v>
      </c>
      <c r="T38" s="161" t="s">
        <v>100</v>
      </c>
      <c r="U38" s="161" t="s">
        <v>100</v>
      </c>
      <c r="V38" s="161" t="s">
        <v>100</v>
      </c>
      <c r="W38" s="161" t="s">
        <v>100</v>
      </c>
      <c r="X38" s="161" t="s">
        <v>100</v>
      </c>
      <c r="Y38" s="162" t="s">
        <v>100</v>
      </c>
    </row>
    <row r="39" spans="1:25" ht="12" customHeight="1">
      <c r="A39" s="158" t="s">
        <v>75</v>
      </c>
      <c r="B39" s="159" t="s">
        <v>100</v>
      </c>
      <c r="C39" s="160" t="s">
        <v>100</v>
      </c>
      <c r="D39" s="160" t="s">
        <v>100</v>
      </c>
      <c r="E39" s="160" t="s">
        <v>100</v>
      </c>
      <c r="F39" s="160" t="s">
        <v>100</v>
      </c>
      <c r="G39" s="160" t="s">
        <v>100</v>
      </c>
      <c r="H39" s="160" t="s">
        <v>100</v>
      </c>
      <c r="I39" s="160" t="s">
        <v>100</v>
      </c>
      <c r="J39" s="160" t="s">
        <v>100</v>
      </c>
      <c r="K39" s="160" t="s">
        <v>100</v>
      </c>
      <c r="L39" s="160" t="s">
        <v>100</v>
      </c>
      <c r="M39" s="160" t="s">
        <v>100</v>
      </c>
      <c r="N39" s="160" t="s">
        <v>100</v>
      </c>
      <c r="O39" s="160" t="s">
        <v>100</v>
      </c>
      <c r="P39" s="160" t="s">
        <v>100</v>
      </c>
      <c r="Q39" s="160" t="s">
        <v>100</v>
      </c>
      <c r="R39" s="160" t="s">
        <v>100</v>
      </c>
      <c r="S39" s="160" t="s">
        <v>100</v>
      </c>
      <c r="T39" s="161" t="s">
        <v>100</v>
      </c>
      <c r="U39" s="161" t="s">
        <v>100</v>
      </c>
      <c r="V39" s="161" t="s">
        <v>100</v>
      </c>
      <c r="W39" s="161" t="s">
        <v>100</v>
      </c>
      <c r="X39" s="161" t="s">
        <v>100</v>
      </c>
      <c r="Y39" s="162" t="s">
        <v>100</v>
      </c>
    </row>
    <row r="40" spans="1:25" ht="12" customHeight="1">
      <c r="A40" s="163" t="s">
        <v>76</v>
      </c>
      <c r="B40" s="164" t="s">
        <v>100</v>
      </c>
      <c r="C40" s="165" t="s">
        <v>100</v>
      </c>
      <c r="D40" s="165" t="s">
        <v>100</v>
      </c>
      <c r="E40" s="165" t="s">
        <v>100</v>
      </c>
      <c r="F40" s="165" t="s">
        <v>100</v>
      </c>
      <c r="G40" s="165" t="s">
        <v>100</v>
      </c>
      <c r="H40" s="165" t="s">
        <v>100</v>
      </c>
      <c r="I40" s="165" t="s">
        <v>100</v>
      </c>
      <c r="J40" s="165" t="s">
        <v>100</v>
      </c>
      <c r="K40" s="165" t="s">
        <v>100</v>
      </c>
      <c r="L40" s="165" t="s">
        <v>100</v>
      </c>
      <c r="M40" s="165" t="s">
        <v>100</v>
      </c>
      <c r="N40" s="165" t="s">
        <v>100</v>
      </c>
      <c r="O40" s="165" t="s">
        <v>100</v>
      </c>
      <c r="P40" s="165" t="s">
        <v>100</v>
      </c>
      <c r="Q40" s="165" t="s">
        <v>100</v>
      </c>
      <c r="R40" s="165" t="s">
        <v>100</v>
      </c>
      <c r="S40" s="165" t="s">
        <v>100</v>
      </c>
      <c r="T40" s="166" t="s">
        <v>100</v>
      </c>
      <c r="U40" s="166" t="s">
        <v>100</v>
      </c>
      <c r="V40" s="166" t="s">
        <v>100</v>
      </c>
      <c r="W40" s="166" t="s">
        <v>100</v>
      </c>
      <c r="X40" s="166" t="s">
        <v>100</v>
      </c>
      <c r="Y40" s="167" t="s">
        <v>100</v>
      </c>
    </row>
    <row r="42" spans="1:25" ht="12" customHeight="1">
      <c r="A42" s="145" t="s">
        <v>77</v>
      </c>
      <c r="B42" s="145"/>
      <c r="C42" s="145"/>
      <c r="D42" s="145"/>
      <c r="E42" s="145"/>
      <c r="G42" s="145"/>
      <c r="H42" s="145"/>
      <c r="I42" s="145"/>
      <c r="J42" s="145"/>
      <c r="K42" s="145"/>
    </row>
    <row r="43" spans="1:25" ht="15" customHeight="1">
      <c r="A43" s="168" t="s">
        <v>78</v>
      </c>
      <c r="B43" s="169" t="s">
        <v>79</v>
      </c>
      <c r="C43" s="170" t="s">
        <v>80</v>
      </c>
      <c r="D43" s="169" t="s">
        <v>79</v>
      </c>
      <c r="E43" s="170" t="s">
        <v>80</v>
      </c>
      <c r="F43" s="169" t="s">
        <v>79</v>
      </c>
      <c r="G43" s="170" t="s">
        <v>80</v>
      </c>
      <c r="H43" s="169" t="s">
        <v>79</v>
      </c>
      <c r="I43" s="170" t="s">
        <v>80</v>
      </c>
      <c r="J43" s="169" t="s">
        <v>79</v>
      </c>
      <c r="K43" s="170" t="s">
        <v>80</v>
      </c>
      <c r="L43" s="169" t="s">
        <v>79</v>
      </c>
      <c r="M43" s="171" t="s">
        <v>79</v>
      </c>
      <c r="N43" s="169" t="s">
        <v>79</v>
      </c>
      <c r="P43" s="73" t="s">
        <v>50</v>
      </c>
    </row>
    <row r="44" spans="1:25" ht="12" customHeight="1">
      <c r="A44" s="172">
        <v>0</v>
      </c>
      <c r="B44" s="173">
        <v>0</v>
      </c>
      <c r="C44" s="174">
        <f t="shared" ref="C44:C67" si="0">A44+24</f>
        <v>24</v>
      </c>
      <c r="D44" s="173">
        <v>1.4E-2</v>
      </c>
      <c r="E44" s="174">
        <f t="shared" ref="E44:E67" si="1">C44+24</f>
        <v>48</v>
      </c>
      <c r="F44" s="173">
        <v>1E-3</v>
      </c>
      <c r="G44" s="174">
        <f t="shared" ref="G44:G67" si="2">E44+24</f>
        <v>72</v>
      </c>
      <c r="H44" s="175">
        <v>0</v>
      </c>
      <c r="I44" s="174">
        <f t="shared" ref="I44:I67" si="3">G44+24</f>
        <v>96</v>
      </c>
      <c r="J44" s="175">
        <v>0</v>
      </c>
      <c r="K44" s="174">
        <f t="shared" ref="K44:K67" si="4">I44+24</f>
        <v>120</v>
      </c>
      <c r="L44" s="175">
        <v>0</v>
      </c>
      <c r="M44" s="176">
        <f t="shared" ref="M44:M67" si="5">K44+24</f>
        <v>144</v>
      </c>
      <c r="N44" s="177">
        <v>0</v>
      </c>
      <c r="P44" s="178" t="s">
        <v>84</v>
      </c>
    </row>
    <row r="45" spans="1:25" ht="12" customHeight="1">
      <c r="A45" s="179">
        <v>1</v>
      </c>
      <c r="B45" s="180">
        <v>1E-3</v>
      </c>
      <c r="C45" s="181">
        <f t="shared" si="0"/>
        <v>25</v>
      </c>
      <c r="D45" s="180">
        <v>1.2E-2</v>
      </c>
      <c r="E45" s="181">
        <f t="shared" si="1"/>
        <v>49</v>
      </c>
      <c r="F45" s="180">
        <v>1E-3</v>
      </c>
      <c r="G45" s="181">
        <f t="shared" si="2"/>
        <v>73</v>
      </c>
      <c r="H45" s="182">
        <v>0</v>
      </c>
      <c r="I45" s="181">
        <f t="shared" si="3"/>
        <v>97</v>
      </c>
      <c r="J45" s="182">
        <v>0</v>
      </c>
      <c r="K45" s="181">
        <f t="shared" si="4"/>
        <v>121</v>
      </c>
      <c r="L45" s="182">
        <v>0</v>
      </c>
      <c r="M45" s="183">
        <f t="shared" si="5"/>
        <v>145</v>
      </c>
      <c r="N45" s="184">
        <v>0</v>
      </c>
      <c r="P45" s="185" t="s">
        <v>85</v>
      </c>
    </row>
    <row r="46" spans="1:25" ht="12" customHeight="1">
      <c r="A46" s="179">
        <v>2</v>
      </c>
      <c r="B46" s="180">
        <v>1.0999999999999999E-2</v>
      </c>
      <c r="C46" s="181">
        <f t="shared" si="0"/>
        <v>26</v>
      </c>
      <c r="D46" s="180">
        <v>1.0999999999999999E-2</v>
      </c>
      <c r="E46" s="181">
        <f t="shared" si="1"/>
        <v>50</v>
      </c>
      <c r="F46" s="180">
        <v>1E-3</v>
      </c>
      <c r="G46" s="181">
        <f t="shared" si="2"/>
        <v>74</v>
      </c>
      <c r="H46" s="182">
        <v>0</v>
      </c>
      <c r="I46" s="181">
        <f t="shared" si="3"/>
        <v>98</v>
      </c>
      <c r="J46" s="182">
        <v>0</v>
      </c>
      <c r="K46" s="181">
        <f t="shared" si="4"/>
        <v>122</v>
      </c>
      <c r="L46" s="182">
        <v>0</v>
      </c>
      <c r="M46" s="183">
        <f t="shared" si="5"/>
        <v>146</v>
      </c>
      <c r="N46" s="184">
        <v>0</v>
      </c>
      <c r="P46" s="178" t="s">
        <v>87</v>
      </c>
    </row>
    <row r="47" spans="1:25" ht="12" customHeight="1">
      <c r="A47" s="179">
        <v>3</v>
      </c>
      <c r="B47" s="180">
        <v>3.3000000000000002E-2</v>
      </c>
      <c r="C47" s="181">
        <f t="shared" si="0"/>
        <v>27</v>
      </c>
      <c r="D47" s="180">
        <v>0.01</v>
      </c>
      <c r="E47" s="181">
        <f t="shared" si="1"/>
        <v>51</v>
      </c>
      <c r="F47" s="180">
        <v>1E-3</v>
      </c>
      <c r="G47" s="181">
        <f t="shared" si="2"/>
        <v>75</v>
      </c>
      <c r="H47" s="182">
        <v>0</v>
      </c>
      <c r="I47" s="181">
        <f t="shared" si="3"/>
        <v>99</v>
      </c>
      <c r="J47" s="182">
        <v>0</v>
      </c>
      <c r="K47" s="181">
        <f t="shared" si="4"/>
        <v>123</v>
      </c>
      <c r="L47" s="182">
        <v>0</v>
      </c>
      <c r="M47" s="183">
        <f t="shared" si="5"/>
        <v>147</v>
      </c>
      <c r="N47" s="184">
        <v>0</v>
      </c>
      <c r="P47" s="178" t="s">
        <v>88</v>
      </c>
    </row>
    <row r="48" spans="1:25" ht="12" customHeight="1">
      <c r="A48" s="179">
        <v>4</v>
      </c>
      <c r="B48" s="180">
        <v>5.1999999999999998E-2</v>
      </c>
      <c r="C48" s="181">
        <f t="shared" si="0"/>
        <v>28</v>
      </c>
      <c r="D48" s="180">
        <v>8.9999999999999993E-3</v>
      </c>
      <c r="E48" s="181">
        <f t="shared" si="1"/>
        <v>52</v>
      </c>
      <c r="F48" s="180">
        <v>1E-3</v>
      </c>
      <c r="G48" s="181">
        <f t="shared" si="2"/>
        <v>76</v>
      </c>
      <c r="H48" s="182">
        <v>0</v>
      </c>
      <c r="I48" s="181">
        <f t="shared" si="3"/>
        <v>100</v>
      </c>
      <c r="J48" s="182">
        <v>0</v>
      </c>
      <c r="K48" s="181">
        <f t="shared" si="4"/>
        <v>124</v>
      </c>
      <c r="L48" s="182">
        <v>0</v>
      </c>
      <c r="M48" s="183">
        <f t="shared" si="5"/>
        <v>148</v>
      </c>
      <c r="N48" s="184">
        <v>0</v>
      </c>
      <c r="P48" s="178" t="s">
        <v>89</v>
      </c>
    </row>
    <row r="49" spans="1:16" ht="12" customHeight="1">
      <c r="A49" s="179">
        <v>5</v>
      </c>
      <c r="B49" s="180">
        <v>6.3E-2</v>
      </c>
      <c r="C49" s="181">
        <f t="shared" si="0"/>
        <v>29</v>
      </c>
      <c r="D49" s="180">
        <v>8.0000000000000002E-3</v>
      </c>
      <c r="E49" s="181">
        <f t="shared" si="1"/>
        <v>53</v>
      </c>
      <c r="F49" s="180">
        <v>1E-3</v>
      </c>
      <c r="G49" s="181">
        <f t="shared" si="2"/>
        <v>77</v>
      </c>
      <c r="H49" s="182">
        <v>0</v>
      </c>
      <c r="I49" s="181">
        <f t="shared" si="3"/>
        <v>101</v>
      </c>
      <c r="J49" s="182">
        <v>0</v>
      </c>
      <c r="K49" s="181">
        <f t="shared" si="4"/>
        <v>125</v>
      </c>
      <c r="L49" s="182">
        <v>0</v>
      </c>
      <c r="M49" s="183">
        <f t="shared" si="5"/>
        <v>149</v>
      </c>
      <c r="N49" s="184">
        <v>0</v>
      </c>
      <c r="P49" s="178" t="s">
        <v>90</v>
      </c>
    </row>
    <row r="50" spans="1:16" ht="12" customHeight="1">
      <c r="A50" s="179">
        <v>6</v>
      </c>
      <c r="B50" s="180">
        <v>6.7000000000000004E-2</v>
      </c>
      <c r="C50" s="181">
        <f t="shared" si="0"/>
        <v>30</v>
      </c>
      <c r="D50" s="180">
        <v>7.0000000000000001E-3</v>
      </c>
      <c r="E50" s="181">
        <f t="shared" si="1"/>
        <v>54</v>
      </c>
      <c r="F50" s="180">
        <v>1E-3</v>
      </c>
      <c r="G50" s="181">
        <f t="shared" si="2"/>
        <v>78</v>
      </c>
      <c r="H50" s="182">
        <v>0</v>
      </c>
      <c r="I50" s="181">
        <f t="shared" si="3"/>
        <v>102</v>
      </c>
      <c r="J50" s="182">
        <v>0</v>
      </c>
      <c r="K50" s="181">
        <f t="shared" si="4"/>
        <v>126</v>
      </c>
      <c r="L50" s="182">
        <v>0</v>
      </c>
      <c r="M50" s="183">
        <f t="shared" si="5"/>
        <v>150</v>
      </c>
      <c r="N50" s="184">
        <v>0</v>
      </c>
      <c r="P50" s="178" t="s">
        <v>91</v>
      </c>
    </row>
    <row r="51" spans="1:16" ht="12" customHeight="1">
      <c r="A51" s="179">
        <v>7</v>
      </c>
      <c r="B51" s="180">
        <v>6.7000000000000004E-2</v>
      </c>
      <c r="C51" s="181">
        <f t="shared" si="0"/>
        <v>31</v>
      </c>
      <c r="D51" s="180">
        <v>7.0000000000000001E-3</v>
      </c>
      <c r="E51" s="181">
        <f t="shared" si="1"/>
        <v>55</v>
      </c>
      <c r="F51" s="180">
        <v>1E-3</v>
      </c>
      <c r="G51" s="181">
        <f t="shared" si="2"/>
        <v>79</v>
      </c>
      <c r="H51" s="182">
        <v>0</v>
      </c>
      <c r="I51" s="181">
        <f t="shared" si="3"/>
        <v>103</v>
      </c>
      <c r="J51" s="182">
        <v>0</v>
      </c>
      <c r="K51" s="181">
        <f t="shared" si="4"/>
        <v>127</v>
      </c>
      <c r="L51" s="182">
        <v>0</v>
      </c>
      <c r="M51" s="183">
        <f t="shared" si="5"/>
        <v>151</v>
      </c>
      <c r="N51" s="184">
        <v>0</v>
      </c>
      <c r="P51" s="178" t="s">
        <v>92</v>
      </c>
    </row>
    <row r="52" spans="1:16" ht="12" customHeight="1">
      <c r="A52" s="179">
        <v>8</v>
      </c>
      <c r="B52" s="180">
        <v>6.4000000000000001E-2</v>
      </c>
      <c r="C52" s="181">
        <f t="shared" si="0"/>
        <v>32</v>
      </c>
      <c r="D52" s="180">
        <v>6.0000000000000001E-3</v>
      </c>
      <c r="E52" s="181">
        <f t="shared" si="1"/>
        <v>56</v>
      </c>
      <c r="F52" s="180">
        <v>0</v>
      </c>
      <c r="G52" s="181">
        <f t="shared" si="2"/>
        <v>80</v>
      </c>
      <c r="H52" s="182">
        <v>0</v>
      </c>
      <c r="I52" s="181">
        <f t="shared" si="3"/>
        <v>104</v>
      </c>
      <c r="J52" s="182">
        <v>0</v>
      </c>
      <c r="K52" s="181">
        <f t="shared" si="4"/>
        <v>128</v>
      </c>
      <c r="L52" s="182">
        <v>0</v>
      </c>
      <c r="M52" s="183">
        <f t="shared" si="5"/>
        <v>152</v>
      </c>
      <c r="N52" s="184">
        <v>0</v>
      </c>
      <c r="P52" s="178" t="s">
        <v>103</v>
      </c>
    </row>
    <row r="53" spans="1:16" ht="12" customHeight="1">
      <c r="A53" s="179">
        <v>9</v>
      </c>
      <c r="B53" s="180">
        <v>0.06</v>
      </c>
      <c r="C53" s="181">
        <f t="shared" si="0"/>
        <v>33</v>
      </c>
      <c r="D53" s="180">
        <v>5.0000000000000001E-3</v>
      </c>
      <c r="E53" s="181">
        <f t="shared" si="1"/>
        <v>57</v>
      </c>
      <c r="F53" s="180">
        <v>0</v>
      </c>
      <c r="G53" s="181">
        <f t="shared" si="2"/>
        <v>81</v>
      </c>
      <c r="H53" s="182">
        <v>0</v>
      </c>
      <c r="I53" s="181">
        <f t="shared" si="3"/>
        <v>105</v>
      </c>
      <c r="J53" s="182">
        <v>0</v>
      </c>
      <c r="K53" s="181">
        <f t="shared" si="4"/>
        <v>129</v>
      </c>
      <c r="L53" s="182">
        <v>0</v>
      </c>
      <c r="M53" s="183">
        <f t="shared" si="5"/>
        <v>153</v>
      </c>
      <c r="N53" s="184">
        <v>0</v>
      </c>
      <c r="P53" s="178" t="s">
        <v>104</v>
      </c>
    </row>
    <row r="54" spans="1:16" ht="12" customHeight="1">
      <c r="A54" s="179">
        <v>10</v>
      </c>
      <c r="B54" s="180">
        <v>5.5E-2</v>
      </c>
      <c r="C54" s="181">
        <f t="shared" si="0"/>
        <v>34</v>
      </c>
      <c r="D54" s="180">
        <v>5.0000000000000001E-3</v>
      </c>
      <c r="E54" s="181">
        <f t="shared" si="1"/>
        <v>58</v>
      </c>
      <c r="F54" s="180">
        <v>0</v>
      </c>
      <c r="G54" s="181">
        <f t="shared" si="2"/>
        <v>82</v>
      </c>
      <c r="H54" s="182">
        <v>0</v>
      </c>
      <c r="I54" s="181">
        <f t="shared" si="3"/>
        <v>106</v>
      </c>
      <c r="J54" s="182">
        <v>0</v>
      </c>
      <c r="K54" s="181">
        <f t="shared" si="4"/>
        <v>130</v>
      </c>
      <c r="L54" s="182">
        <v>0</v>
      </c>
      <c r="M54" s="183">
        <f t="shared" si="5"/>
        <v>154</v>
      </c>
      <c r="N54" s="184">
        <v>0</v>
      </c>
      <c r="P54" s="178"/>
    </row>
    <row r="55" spans="1:16" ht="12" customHeight="1">
      <c r="A55" s="179">
        <v>11</v>
      </c>
      <c r="B55" s="180">
        <v>5.0999999999999997E-2</v>
      </c>
      <c r="C55" s="181">
        <f t="shared" si="0"/>
        <v>35</v>
      </c>
      <c r="D55" s="180">
        <v>4.0000000000000001E-3</v>
      </c>
      <c r="E55" s="181">
        <f t="shared" si="1"/>
        <v>59</v>
      </c>
      <c r="F55" s="180">
        <v>0</v>
      </c>
      <c r="G55" s="181">
        <f t="shared" si="2"/>
        <v>83</v>
      </c>
      <c r="H55" s="182">
        <v>0</v>
      </c>
      <c r="I55" s="181">
        <f t="shared" si="3"/>
        <v>107</v>
      </c>
      <c r="J55" s="182">
        <v>0</v>
      </c>
      <c r="K55" s="181">
        <f t="shared" si="4"/>
        <v>131</v>
      </c>
      <c r="L55" s="182">
        <v>0</v>
      </c>
      <c r="M55" s="183">
        <f t="shared" si="5"/>
        <v>155</v>
      </c>
      <c r="N55" s="184">
        <v>0</v>
      </c>
      <c r="P55" s="178"/>
    </row>
    <row r="56" spans="1:16" ht="12" customHeight="1">
      <c r="A56" s="179">
        <v>12</v>
      </c>
      <c r="B56" s="180">
        <v>4.5999999999999999E-2</v>
      </c>
      <c r="C56" s="181">
        <f t="shared" si="0"/>
        <v>36</v>
      </c>
      <c r="D56" s="180">
        <v>4.0000000000000001E-3</v>
      </c>
      <c r="E56" s="181">
        <f t="shared" si="1"/>
        <v>60</v>
      </c>
      <c r="F56" s="180">
        <v>0</v>
      </c>
      <c r="G56" s="181">
        <f t="shared" si="2"/>
        <v>84</v>
      </c>
      <c r="H56" s="182">
        <v>0</v>
      </c>
      <c r="I56" s="181">
        <f t="shared" si="3"/>
        <v>108</v>
      </c>
      <c r="J56" s="182">
        <v>0</v>
      </c>
      <c r="K56" s="181">
        <f t="shared" si="4"/>
        <v>132</v>
      </c>
      <c r="L56" s="182">
        <v>0</v>
      </c>
      <c r="M56" s="183">
        <f t="shared" si="5"/>
        <v>156</v>
      </c>
      <c r="N56" s="184">
        <v>0</v>
      </c>
      <c r="P56" s="178"/>
    </row>
    <row r="57" spans="1:16" ht="12" customHeight="1">
      <c r="A57" s="179">
        <v>13</v>
      </c>
      <c r="B57" s="180">
        <v>4.2000000000000003E-2</v>
      </c>
      <c r="C57" s="181">
        <f t="shared" si="0"/>
        <v>37</v>
      </c>
      <c r="D57" s="180">
        <v>4.0000000000000001E-3</v>
      </c>
      <c r="E57" s="181">
        <f t="shared" si="1"/>
        <v>61</v>
      </c>
      <c r="F57" s="180">
        <v>0</v>
      </c>
      <c r="G57" s="181">
        <f t="shared" si="2"/>
        <v>85</v>
      </c>
      <c r="H57" s="182">
        <v>0</v>
      </c>
      <c r="I57" s="181">
        <f t="shared" si="3"/>
        <v>109</v>
      </c>
      <c r="J57" s="182">
        <v>0</v>
      </c>
      <c r="K57" s="181">
        <f t="shared" si="4"/>
        <v>133</v>
      </c>
      <c r="L57" s="182">
        <v>0</v>
      </c>
      <c r="M57" s="183">
        <f t="shared" si="5"/>
        <v>157</v>
      </c>
      <c r="N57" s="184">
        <v>0</v>
      </c>
      <c r="P57" s="178"/>
    </row>
    <row r="58" spans="1:16" ht="12" customHeight="1">
      <c r="A58" s="179">
        <v>14</v>
      </c>
      <c r="B58" s="180">
        <v>3.7999999999999999E-2</v>
      </c>
      <c r="C58" s="181">
        <f t="shared" si="0"/>
        <v>38</v>
      </c>
      <c r="D58" s="180">
        <v>3.0000000000000001E-3</v>
      </c>
      <c r="E58" s="181">
        <f t="shared" si="1"/>
        <v>62</v>
      </c>
      <c r="F58" s="180">
        <v>0</v>
      </c>
      <c r="G58" s="181">
        <f t="shared" si="2"/>
        <v>86</v>
      </c>
      <c r="H58" s="182">
        <v>0</v>
      </c>
      <c r="I58" s="181">
        <f t="shared" si="3"/>
        <v>110</v>
      </c>
      <c r="J58" s="182">
        <v>0</v>
      </c>
      <c r="K58" s="181">
        <f t="shared" si="4"/>
        <v>134</v>
      </c>
      <c r="L58" s="182">
        <v>0</v>
      </c>
      <c r="M58" s="183">
        <f t="shared" si="5"/>
        <v>158</v>
      </c>
      <c r="N58" s="184">
        <v>0</v>
      </c>
      <c r="P58" s="178"/>
    </row>
    <row r="59" spans="1:16" ht="12" customHeight="1">
      <c r="A59" s="179">
        <v>15</v>
      </c>
      <c r="B59" s="180">
        <v>3.4000000000000002E-2</v>
      </c>
      <c r="C59" s="181">
        <f t="shared" si="0"/>
        <v>39</v>
      </c>
      <c r="D59" s="180">
        <v>3.0000000000000001E-3</v>
      </c>
      <c r="E59" s="181">
        <f t="shared" si="1"/>
        <v>63</v>
      </c>
      <c r="F59" s="180">
        <v>0</v>
      </c>
      <c r="G59" s="181">
        <f t="shared" si="2"/>
        <v>87</v>
      </c>
      <c r="H59" s="182">
        <v>0</v>
      </c>
      <c r="I59" s="181">
        <f t="shared" si="3"/>
        <v>111</v>
      </c>
      <c r="J59" s="182">
        <v>0</v>
      </c>
      <c r="K59" s="181">
        <f t="shared" si="4"/>
        <v>135</v>
      </c>
      <c r="L59" s="182">
        <v>0</v>
      </c>
      <c r="M59" s="183">
        <f t="shared" si="5"/>
        <v>159</v>
      </c>
      <c r="N59" s="184">
        <v>0</v>
      </c>
      <c r="P59" s="178"/>
    </row>
    <row r="60" spans="1:16" ht="12" customHeight="1">
      <c r="A60" s="179">
        <v>16</v>
      </c>
      <c r="B60" s="180">
        <v>3.1E-2</v>
      </c>
      <c r="C60" s="181">
        <f t="shared" si="0"/>
        <v>40</v>
      </c>
      <c r="D60" s="180">
        <v>3.0000000000000001E-3</v>
      </c>
      <c r="E60" s="181">
        <f t="shared" si="1"/>
        <v>64</v>
      </c>
      <c r="F60" s="180">
        <v>0</v>
      </c>
      <c r="G60" s="181">
        <f t="shared" si="2"/>
        <v>88</v>
      </c>
      <c r="H60" s="182">
        <v>0</v>
      </c>
      <c r="I60" s="181">
        <f t="shared" si="3"/>
        <v>112</v>
      </c>
      <c r="J60" s="182">
        <v>0</v>
      </c>
      <c r="K60" s="181">
        <f t="shared" si="4"/>
        <v>136</v>
      </c>
      <c r="L60" s="182">
        <v>0</v>
      </c>
      <c r="M60" s="183">
        <f t="shared" si="5"/>
        <v>160</v>
      </c>
      <c r="N60" s="184">
        <v>0</v>
      </c>
      <c r="P60" s="178"/>
    </row>
    <row r="61" spans="1:16" ht="12" customHeight="1">
      <c r="A61" s="179">
        <v>17</v>
      </c>
      <c r="B61" s="180">
        <v>2.8000000000000001E-2</v>
      </c>
      <c r="C61" s="181">
        <f t="shared" si="0"/>
        <v>41</v>
      </c>
      <c r="D61" s="180">
        <v>2E-3</v>
      </c>
      <c r="E61" s="181">
        <f t="shared" si="1"/>
        <v>65</v>
      </c>
      <c r="F61" s="180">
        <v>0</v>
      </c>
      <c r="G61" s="181">
        <f t="shared" si="2"/>
        <v>89</v>
      </c>
      <c r="H61" s="182">
        <v>0</v>
      </c>
      <c r="I61" s="181">
        <f t="shared" si="3"/>
        <v>113</v>
      </c>
      <c r="J61" s="182">
        <v>0</v>
      </c>
      <c r="K61" s="181">
        <f t="shared" si="4"/>
        <v>137</v>
      </c>
      <c r="L61" s="182">
        <v>0</v>
      </c>
      <c r="M61" s="183">
        <f t="shared" si="5"/>
        <v>161</v>
      </c>
      <c r="N61" s="184">
        <v>0</v>
      </c>
      <c r="P61" s="178"/>
    </row>
    <row r="62" spans="1:16" ht="12" customHeight="1">
      <c r="A62" s="179">
        <v>18</v>
      </c>
      <c r="B62" s="180">
        <v>2.5000000000000001E-2</v>
      </c>
      <c r="C62" s="181">
        <f t="shared" si="0"/>
        <v>42</v>
      </c>
      <c r="D62" s="180">
        <v>2E-3</v>
      </c>
      <c r="E62" s="181">
        <f t="shared" si="1"/>
        <v>66</v>
      </c>
      <c r="F62" s="180">
        <v>0</v>
      </c>
      <c r="G62" s="181">
        <f t="shared" si="2"/>
        <v>90</v>
      </c>
      <c r="H62" s="182">
        <v>0</v>
      </c>
      <c r="I62" s="181">
        <f t="shared" si="3"/>
        <v>114</v>
      </c>
      <c r="J62" s="182">
        <v>0</v>
      </c>
      <c r="K62" s="181">
        <f t="shared" si="4"/>
        <v>138</v>
      </c>
      <c r="L62" s="182">
        <v>0</v>
      </c>
      <c r="M62" s="183">
        <f t="shared" si="5"/>
        <v>162</v>
      </c>
      <c r="N62" s="184">
        <v>0</v>
      </c>
      <c r="P62" s="178"/>
    </row>
    <row r="63" spans="1:16" ht="12" customHeight="1">
      <c r="A63" s="179">
        <v>19</v>
      </c>
      <c r="B63" s="180">
        <v>2.3E-2</v>
      </c>
      <c r="C63" s="181">
        <f t="shared" si="0"/>
        <v>43</v>
      </c>
      <c r="D63" s="180">
        <v>2E-3</v>
      </c>
      <c r="E63" s="181">
        <f t="shared" si="1"/>
        <v>67</v>
      </c>
      <c r="F63" s="180">
        <v>0</v>
      </c>
      <c r="G63" s="181">
        <f t="shared" si="2"/>
        <v>91</v>
      </c>
      <c r="H63" s="182">
        <v>0</v>
      </c>
      <c r="I63" s="181">
        <f t="shared" si="3"/>
        <v>115</v>
      </c>
      <c r="J63" s="182">
        <v>0</v>
      </c>
      <c r="K63" s="181">
        <f t="shared" si="4"/>
        <v>139</v>
      </c>
      <c r="L63" s="182">
        <v>0</v>
      </c>
      <c r="M63" s="183">
        <f t="shared" si="5"/>
        <v>163</v>
      </c>
      <c r="N63" s="184">
        <v>0</v>
      </c>
      <c r="P63" s="178"/>
    </row>
    <row r="64" spans="1:16" ht="12" customHeight="1">
      <c r="A64" s="179">
        <v>20</v>
      </c>
      <c r="B64" s="180">
        <v>2.1000000000000001E-2</v>
      </c>
      <c r="C64" s="181">
        <f t="shared" si="0"/>
        <v>44</v>
      </c>
      <c r="D64" s="180">
        <v>2E-3</v>
      </c>
      <c r="E64" s="181">
        <f t="shared" si="1"/>
        <v>68</v>
      </c>
      <c r="F64" s="180">
        <v>0</v>
      </c>
      <c r="G64" s="181">
        <f t="shared" si="2"/>
        <v>92</v>
      </c>
      <c r="H64" s="182">
        <v>0</v>
      </c>
      <c r="I64" s="181">
        <f t="shared" si="3"/>
        <v>116</v>
      </c>
      <c r="J64" s="182">
        <v>0</v>
      </c>
      <c r="K64" s="181">
        <f t="shared" si="4"/>
        <v>140</v>
      </c>
      <c r="L64" s="182">
        <v>0</v>
      </c>
      <c r="M64" s="183">
        <f t="shared" si="5"/>
        <v>164</v>
      </c>
      <c r="N64" s="184">
        <v>0</v>
      </c>
      <c r="P64" s="178"/>
    </row>
    <row r="65" spans="1:16" ht="12" customHeight="1">
      <c r="A65" s="179">
        <v>21</v>
      </c>
      <c r="B65" s="180">
        <v>1.9E-2</v>
      </c>
      <c r="C65" s="181">
        <f t="shared" si="0"/>
        <v>45</v>
      </c>
      <c r="D65" s="180">
        <v>2E-3</v>
      </c>
      <c r="E65" s="181">
        <f t="shared" si="1"/>
        <v>69</v>
      </c>
      <c r="F65" s="180">
        <v>0</v>
      </c>
      <c r="G65" s="181">
        <f t="shared" si="2"/>
        <v>93</v>
      </c>
      <c r="H65" s="182">
        <v>0</v>
      </c>
      <c r="I65" s="181">
        <f t="shared" si="3"/>
        <v>117</v>
      </c>
      <c r="J65" s="182">
        <v>0</v>
      </c>
      <c r="K65" s="181">
        <f t="shared" si="4"/>
        <v>141</v>
      </c>
      <c r="L65" s="182">
        <v>0</v>
      </c>
      <c r="M65" s="183">
        <f t="shared" si="5"/>
        <v>165</v>
      </c>
      <c r="N65" s="184">
        <v>0</v>
      </c>
      <c r="P65" s="178"/>
    </row>
    <row r="66" spans="1:16" ht="12" customHeight="1">
      <c r="A66" s="179">
        <v>22</v>
      </c>
      <c r="B66" s="180">
        <v>1.7000000000000001E-2</v>
      </c>
      <c r="C66" s="181">
        <f t="shared" si="0"/>
        <v>46</v>
      </c>
      <c r="D66" s="180">
        <v>1E-3</v>
      </c>
      <c r="E66" s="181">
        <f t="shared" si="1"/>
        <v>70</v>
      </c>
      <c r="F66" s="180">
        <v>0</v>
      </c>
      <c r="G66" s="181">
        <f t="shared" si="2"/>
        <v>94</v>
      </c>
      <c r="H66" s="182">
        <v>0</v>
      </c>
      <c r="I66" s="181">
        <f t="shared" si="3"/>
        <v>118</v>
      </c>
      <c r="J66" s="182">
        <v>0</v>
      </c>
      <c r="K66" s="181">
        <f t="shared" si="4"/>
        <v>142</v>
      </c>
      <c r="L66" s="182">
        <v>0</v>
      </c>
      <c r="M66" s="183">
        <f t="shared" si="5"/>
        <v>166</v>
      </c>
      <c r="N66" s="184">
        <v>0</v>
      </c>
      <c r="P66" s="178"/>
    </row>
    <row r="67" spans="1:16" ht="12" customHeight="1">
      <c r="A67" s="186">
        <v>23</v>
      </c>
      <c r="B67" s="187">
        <v>1.4999999999999999E-2</v>
      </c>
      <c r="C67" s="188">
        <f t="shared" si="0"/>
        <v>47</v>
      </c>
      <c r="D67" s="187">
        <v>1E-3</v>
      </c>
      <c r="E67" s="188">
        <f t="shared" si="1"/>
        <v>71</v>
      </c>
      <c r="F67" s="187">
        <v>0</v>
      </c>
      <c r="G67" s="188">
        <f t="shared" si="2"/>
        <v>95</v>
      </c>
      <c r="H67" s="189">
        <v>0</v>
      </c>
      <c r="I67" s="188">
        <f t="shared" si="3"/>
        <v>119</v>
      </c>
      <c r="J67" s="189">
        <v>0</v>
      </c>
      <c r="K67" s="188">
        <f t="shared" si="4"/>
        <v>143</v>
      </c>
      <c r="L67" s="189">
        <v>0</v>
      </c>
      <c r="M67" s="190">
        <f t="shared" si="5"/>
        <v>167</v>
      </c>
      <c r="N67" s="191">
        <v>0</v>
      </c>
      <c r="P67" s="178"/>
    </row>
  </sheetData>
  <phoneticPr fontId="3"/>
  <pageMargins left="1.1811023622047245" right="0.70866141732283472" top="0.59055118110236227" bottom="0.39370078740157483" header="0.31496062992125984" footer="0.11811023622047245"/>
  <pageSetup paperSize="9" scale="67" orientation="landscape" horizontalDpi="1200" verticalDpi="1200" r:id="rId1"/>
  <headerFooter scaleWithDoc="0">
    <oddFooter>&amp;C&amp;"ＭＳ Ｐゴシック,標準"&amp;9( &amp;P / &amp;N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Z68"/>
  <sheetViews>
    <sheetView showGridLines="0" zoomScale="90" zoomScaleNormal="90" workbookViewId="0"/>
  </sheetViews>
  <sheetFormatPr defaultColWidth="10.28515625" defaultRowHeight="15" customHeight="1"/>
  <cols>
    <col min="1" max="1" width="20.140625" style="207" customWidth="1"/>
    <col min="2" max="2" width="42.7109375" style="207" customWidth="1"/>
    <col min="3" max="5" width="24.7109375" style="207" customWidth="1"/>
    <col min="6" max="16384" width="10.28515625" style="207"/>
  </cols>
  <sheetData>
    <row r="1" spans="1:26" ht="18" customHeight="1">
      <c r="A1" s="204" t="s">
        <v>110</v>
      </c>
      <c r="B1" s="205"/>
      <c r="C1" s="205"/>
      <c r="D1" s="205"/>
      <c r="E1" s="206"/>
    </row>
    <row r="2" spans="1:26" ht="15" customHeight="1">
      <c r="A2" s="208"/>
      <c r="B2" s="209"/>
      <c r="C2" s="209"/>
      <c r="D2" s="209"/>
      <c r="E2" s="210" t="s">
        <v>111</v>
      </c>
    </row>
    <row r="3" spans="1:26" ht="15" customHeight="1">
      <c r="A3" s="211" t="s">
        <v>113</v>
      </c>
      <c r="B3" s="212" t="s">
        <v>114</v>
      </c>
      <c r="C3" s="213" t="s">
        <v>115</v>
      </c>
      <c r="D3" s="213"/>
      <c r="E3" s="214"/>
      <c r="Z3" s="215"/>
    </row>
    <row r="4" spans="1:26" ht="21" customHeight="1">
      <c r="A4" s="216"/>
      <c r="B4" s="217"/>
      <c r="C4" s="218" t="s">
        <v>116</v>
      </c>
      <c r="D4" s="219" t="s">
        <v>117</v>
      </c>
      <c r="E4" s="220" t="s">
        <v>118</v>
      </c>
      <c r="Z4" s="215"/>
    </row>
    <row r="5" spans="1:26" ht="15" customHeight="1">
      <c r="A5" s="221" t="s">
        <v>119</v>
      </c>
      <c r="B5" s="222" t="s">
        <v>120</v>
      </c>
      <c r="C5" s="223" t="s">
        <v>121</v>
      </c>
      <c r="D5" s="223" t="s">
        <v>121</v>
      </c>
      <c r="E5" s="224" t="s">
        <v>121</v>
      </c>
      <c r="F5" s="215"/>
      <c r="G5" s="215"/>
      <c r="H5" s="215"/>
      <c r="I5" s="215"/>
      <c r="J5" s="215"/>
      <c r="K5" s="215"/>
      <c r="L5" s="215"/>
      <c r="M5" s="215"/>
      <c r="N5" s="215"/>
      <c r="O5" s="215"/>
      <c r="P5" s="215"/>
      <c r="Q5" s="215"/>
      <c r="R5" s="215"/>
      <c r="S5" s="215"/>
      <c r="T5" s="215"/>
      <c r="U5" s="215"/>
      <c r="V5" s="215"/>
      <c r="W5" s="215"/>
      <c r="X5" s="215"/>
      <c r="Y5" s="215"/>
      <c r="Z5" s="215"/>
    </row>
    <row r="6" spans="1:26" ht="15" customHeight="1">
      <c r="A6" s="225" t="s">
        <v>122</v>
      </c>
      <c r="B6" s="226" t="s">
        <v>123</v>
      </c>
      <c r="C6" s="227" t="s">
        <v>124</v>
      </c>
      <c r="D6" s="227" t="s">
        <v>124</v>
      </c>
      <c r="E6" s="228" t="s">
        <v>124</v>
      </c>
      <c r="F6" s="215"/>
      <c r="G6" s="215"/>
      <c r="H6" s="215"/>
      <c r="I6" s="215"/>
      <c r="J6" s="215"/>
      <c r="K6" s="215"/>
      <c r="L6" s="215"/>
      <c r="M6" s="215"/>
      <c r="N6" s="215"/>
      <c r="O6" s="215"/>
      <c r="P6" s="215"/>
      <c r="Q6" s="215"/>
      <c r="R6" s="215"/>
      <c r="S6" s="215"/>
      <c r="T6" s="215"/>
      <c r="U6" s="215"/>
      <c r="V6" s="215"/>
      <c r="W6" s="215"/>
      <c r="X6" s="215"/>
      <c r="Y6" s="215"/>
      <c r="Z6" s="215"/>
    </row>
    <row r="7" spans="1:26" ht="15" customHeight="1">
      <c r="A7" s="225" t="s">
        <v>125</v>
      </c>
      <c r="B7" s="226" t="s">
        <v>126</v>
      </c>
      <c r="C7" s="227" t="s">
        <v>124</v>
      </c>
      <c r="D7" s="227" t="s">
        <v>124</v>
      </c>
      <c r="E7" s="228" t="s">
        <v>124</v>
      </c>
      <c r="F7" s="215"/>
      <c r="G7" s="215"/>
      <c r="H7" s="215"/>
      <c r="I7" s="215"/>
      <c r="J7" s="215"/>
      <c r="K7" s="215"/>
      <c r="L7" s="215"/>
      <c r="M7" s="215"/>
      <c r="N7" s="215"/>
      <c r="O7" s="215"/>
      <c r="P7" s="215"/>
      <c r="Q7" s="215"/>
      <c r="R7" s="215"/>
      <c r="S7" s="215"/>
      <c r="T7" s="215"/>
      <c r="U7" s="215"/>
      <c r="V7" s="215"/>
      <c r="W7" s="215"/>
      <c r="X7" s="215"/>
      <c r="Y7" s="215"/>
      <c r="Z7" s="215"/>
    </row>
    <row r="8" spans="1:26" ht="15" customHeight="1">
      <c r="A8" s="225" t="s">
        <v>127</v>
      </c>
      <c r="B8" s="226" t="s">
        <v>128</v>
      </c>
      <c r="C8" s="227" t="s">
        <v>129</v>
      </c>
      <c r="D8" s="227" t="s">
        <v>129</v>
      </c>
      <c r="E8" s="228" t="s">
        <v>129</v>
      </c>
      <c r="F8" s="215"/>
      <c r="G8" s="215"/>
      <c r="H8" s="215"/>
      <c r="I8" s="215"/>
      <c r="J8" s="215"/>
      <c r="K8" s="215"/>
      <c r="L8" s="215"/>
      <c r="M8" s="215"/>
      <c r="N8" s="215"/>
      <c r="O8" s="215"/>
      <c r="P8" s="215"/>
      <c r="Q8" s="215"/>
      <c r="R8" s="215"/>
      <c r="S8" s="215"/>
      <c r="T8" s="215"/>
      <c r="U8" s="215"/>
      <c r="V8" s="215"/>
      <c r="W8" s="215"/>
      <c r="X8" s="215"/>
      <c r="Y8" s="215"/>
      <c r="Z8" s="215"/>
    </row>
    <row r="9" spans="1:26" ht="15" customHeight="1">
      <c r="A9" s="225" t="s">
        <v>130</v>
      </c>
      <c r="B9" s="226" t="s">
        <v>131</v>
      </c>
      <c r="C9" s="227" t="s">
        <v>121</v>
      </c>
      <c r="D9" s="227" t="s">
        <v>121</v>
      </c>
      <c r="E9" s="228" t="s">
        <v>121</v>
      </c>
      <c r="F9" s="215"/>
      <c r="G9" s="215"/>
      <c r="H9" s="215"/>
      <c r="I9" s="215"/>
      <c r="J9" s="215"/>
      <c r="K9" s="215"/>
      <c r="L9" s="215"/>
      <c r="M9" s="215"/>
      <c r="N9" s="215"/>
      <c r="O9" s="215"/>
      <c r="P9" s="215"/>
      <c r="Q9" s="215"/>
      <c r="R9" s="215"/>
      <c r="S9" s="215"/>
      <c r="T9" s="215"/>
      <c r="U9" s="215"/>
      <c r="V9" s="215"/>
      <c r="W9" s="215"/>
      <c r="X9" s="215"/>
      <c r="Y9" s="215"/>
      <c r="Z9" s="215"/>
    </row>
    <row r="10" spans="1:26" ht="15" customHeight="1">
      <c r="A10" s="225" t="s">
        <v>132</v>
      </c>
      <c r="B10" s="226" t="s">
        <v>133</v>
      </c>
      <c r="C10" s="227" t="s">
        <v>134</v>
      </c>
      <c r="D10" s="227" t="s">
        <v>121</v>
      </c>
      <c r="E10" s="228" t="s">
        <v>134</v>
      </c>
      <c r="F10" s="215"/>
      <c r="G10" s="215"/>
      <c r="H10" s="215"/>
      <c r="I10" s="215"/>
      <c r="J10" s="215"/>
      <c r="K10" s="215"/>
      <c r="L10" s="215"/>
      <c r="M10" s="215"/>
      <c r="N10" s="215"/>
      <c r="O10" s="215"/>
      <c r="P10" s="215"/>
      <c r="Q10" s="215"/>
      <c r="R10" s="215"/>
      <c r="S10" s="215"/>
      <c r="T10" s="215"/>
      <c r="U10" s="215"/>
      <c r="V10" s="215"/>
      <c r="W10" s="215"/>
      <c r="X10" s="215"/>
      <c r="Y10" s="215"/>
      <c r="Z10" s="215"/>
    </row>
    <row r="11" spans="1:26" ht="15" customHeight="1">
      <c r="A11" s="229" t="s">
        <v>135</v>
      </c>
      <c r="B11" s="226" t="s">
        <v>136</v>
      </c>
      <c r="C11" s="227" t="s">
        <v>137</v>
      </c>
      <c r="D11" s="227" t="s">
        <v>138</v>
      </c>
      <c r="E11" s="228" t="s">
        <v>138</v>
      </c>
      <c r="F11" s="215"/>
      <c r="G11" s="215"/>
      <c r="H11" s="215"/>
      <c r="I11" s="215"/>
      <c r="J11" s="215"/>
      <c r="K11" s="215"/>
      <c r="L11" s="215"/>
      <c r="M11" s="215"/>
      <c r="N11" s="215"/>
      <c r="O11" s="215"/>
      <c r="P11" s="215"/>
      <c r="Q11" s="215"/>
      <c r="R11" s="215"/>
      <c r="S11" s="215"/>
      <c r="T11" s="215"/>
      <c r="U11" s="215"/>
      <c r="V11" s="215"/>
      <c r="W11" s="215"/>
      <c r="X11" s="215"/>
      <c r="Y11" s="215"/>
      <c r="Z11" s="215"/>
    </row>
    <row r="12" spans="1:26" ht="15" customHeight="1">
      <c r="A12" s="229" t="s">
        <v>139</v>
      </c>
      <c r="B12" s="226" t="s">
        <v>139</v>
      </c>
      <c r="C12" s="227" t="s">
        <v>138</v>
      </c>
      <c r="D12" s="227" t="s">
        <v>138</v>
      </c>
      <c r="E12" s="228" t="s">
        <v>138</v>
      </c>
      <c r="F12" s="215"/>
      <c r="G12" s="215"/>
      <c r="H12" s="215"/>
      <c r="I12" s="215"/>
      <c r="J12" s="215"/>
      <c r="K12" s="215"/>
      <c r="L12" s="215"/>
      <c r="M12" s="215"/>
      <c r="N12" s="215"/>
      <c r="O12" s="215"/>
      <c r="P12" s="215"/>
      <c r="Q12" s="215"/>
      <c r="R12" s="215"/>
      <c r="S12" s="215"/>
      <c r="T12" s="215"/>
      <c r="U12" s="215"/>
      <c r="V12" s="215"/>
      <c r="W12" s="215"/>
      <c r="X12" s="215"/>
      <c r="Y12" s="215"/>
      <c r="Z12" s="215"/>
    </row>
    <row r="13" spans="1:26" ht="15" customHeight="1">
      <c r="A13" s="229" t="s">
        <v>140</v>
      </c>
      <c r="B13" s="226" t="s">
        <v>141</v>
      </c>
      <c r="C13" s="227" t="s">
        <v>137</v>
      </c>
      <c r="D13" s="227" t="s">
        <v>138</v>
      </c>
      <c r="E13" s="228" t="s">
        <v>138</v>
      </c>
      <c r="F13" s="215"/>
      <c r="G13" s="215"/>
      <c r="H13" s="215"/>
      <c r="I13" s="215"/>
      <c r="J13" s="215"/>
      <c r="K13" s="215"/>
      <c r="L13" s="215"/>
      <c r="M13" s="215"/>
      <c r="N13" s="215"/>
      <c r="O13" s="215"/>
      <c r="P13" s="215"/>
      <c r="Q13" s="215"/>
      <c r="R13" s="215"/>
      <c r="S13" s="215"/>
      <c r="T13" s="215"/>
      <c r="U13" s="215"/>
      <c r="V13" s="215"/>
      <c r="W13" s="215"/>
      <c r="X13" s="215"/>
      <c r="Y13" s="215"/>
      <c r="Z13" s="215"/>
    </row>
    <row r="14" spans="1:26" ht="15" customHeight="1">
      <c r="A14" s="225" t="s">
        <v>142</v>
      </c>
      <c r="B14" s="226" t="s">
        <v>143</v>
      </c>
      <c r="C14" s="227" t="s">
        <v>137</v>
      </c>
      <c r="D14" s="227" t="s">
        <v>138</v>
      </c>
      <c r="E14" s="228" t="s">
        <v>138</v>
      </c>
      <c r="F14" s="215"/>
      <c r="G14" s="215"/>
      <c r="H14" s="215"/>
      <c r="I14" s="215"/>
      <c r="J14" s="215"/>
      <c r="K14" s="215"/>
      <c r="L14" s="215"/>
      <c r="M14" s="215"/>
      <c r="N14" s="215"/>
      <c r="O14" s="215"/>
      <c r="P14" s="215"/>
      <c r="Q14" s="215"/>
      <c r="R14" s="215"/>
      <c r="S14" s="215"/>
      <c r="T14" s="215"/>
      <c r="U14" s="215"/>
      <c r="V14" s="215"/>
      <c r="W14" s="215"/>
      <c r="X14" s="215"/>
      <c r="Y14" s="215"/>
      <c r="Z14" s="215"/>
    </row>
    <row r="15" spans="1:26" ht="15" customHeight="1">
      <c r="A15" s="225" t="s">
        <v>144</v>
      </c>
      <c r="B15" s="226" t="s">
        <v>145</v>
      </c>
      <c r="C15" s="227" t="s">
        <v>146</v>
      </c>
      <c r="D15" s="227" t="s">
        <v>146</v>
      </c>
      <c r="E15" s="228" t="s">
        <v>146</v>
      </c>
      <c r="F15" s="215"/>
      <c r="G15" s="215"/>
      <c r="H15" s="215"/>
      <c r="I15" s="215"/>
      <c r="J15" s="215"/>
      <c r="K15" s="215"/>
      <c r="L15" s="215"/>
      <c r="M15" s="215"/>
      <c r="N15" s="215"/>
      <c r="O15" s="215"/>
      <c r="P15" s="215"/>
      <c r="Q15" s="215"/>
      <c r="R15" s="215"/>
      <c r="S15" s="215"/>
      <c r="T15" s="215"/>
      <c r="U15" s="215"/>
      <c r="V15" s="215"/>
      <c r="W15" s="215"/>
      <c r="X15" s="215"/>
      <c r="Y15" s="215"/>
      <c r="Z15" s="215"/>
    </row>
    <row r="16" spans="1:26" ht="15" customHeight="1">
      <c r="A16" s="225" t="s">
        <v>147</v>
      </c>
      <c r="B16" s="226" t="s">
        <v>148</v>
      </c>
      <c r="C16" s="227" t="s">
        <v>137</v>
      </c>
      <c r="D16" s="227" t="s">
        <v>146</v>
      </c>
      <c r="E16" s="228" t="s">
        <v>146</v>
      </c>
      <c r="F16" s="215"/>
      <c r="G16" s="215"/>
      <c r="H16" s="215"/>
      <c r="I16" s="215"/>
      <c r="J16" s="215"/>
      <c r="K16" s="215"/>
      <c r="L16" s="215"/>
      <c r="M16" s="215"/>
      <c r="N16" s="215"/>
      <c r="O16" s="215"/>
      <c r="P16" s="215"/>
      <c r="Q16" s="215"/>
      <c r="R16" s="215"/>
      <c r="S16" s="215"/>
      <c r="T16" s="215"/>
      <c r="U16" s="215"/>
      <c r="V16" s="215"/>
      <c r="W16" s="215"/>
      <c r="X16" s="215"/>
      <c r="Y16" s="215"/>
      <c r="Z16" s="215"/>
    </row>
    <row r="17" spans="1:26" ht="15" customHeight="1">
      <c r="A17" s="225" t="s">
        <v>149</v>
      </c>
      <c r="B17" s="226" t="s">
        <v>150</v>
      </c>
      <c r="C17" s="227" t="s">
        <v>151</v>
      </c>
      <c r="D17" s="227" t="s">
        <v>151</v>
      </c>
      <c r="E17" s="228" t="s">
        <v>151</v>
      </c>
      <c r="F17" s="215"/>
      <c r="G17" s="215"/>
      <c r="H17" s="215"/>
      <c r="I17" s="215"/>
      <c r="J17" s="215"/>
      <c r="K17" s="215"/>
      <c r="L17" s="215"/>
      <c r="M17" s="215"/>
      <c r="N17" s="215"/>
      <c r="O17" s="215"/>
      <c r="P17" s="215"/>
      <c r="Q17" s="215"/>
      <c r="R17" s="215"/>
      <c r="S17" s="215"/>
      <c r="T17" s="215"/>
      <c r="U17" s="215"/>
      <c r="V17" s="215"/>
      <c r="W17" s="215"/>
      <c r="X17" s="215"/>
      <c r="Y17" s="215"/>
      <c r="Z17" s="215"/>
    </row>
    <row r="18" spans="1:26" ht="15" customHeight="1">
      <c r="A18" s="229" t="s">
        <v>152</v>
      </c>
      <c r="B18" s="226" t="s">
        <v>153</v>
      </c>
      <c r="C18" s="227" t="s">
        <v>154</v>
      </c>
      <c r="D18" s="227" t="s">
        <v>154</v>
      </c>
      <c r="E18" s="228" t="s">
        <v>154</v>
      </c>
      <c r="F18" s="215"/>
      <c r="G18" s="215"/>
      <c r="H18" s="215"/>
      <c r="I18" s="215"/>
      <c r="J18" s="215"/>
      <c r="K18" s="215"/>
      <c r="L18" s="215"/>
      <c r="M18" s="215"/>
      <c r="N18" s="215"/>
      <c r="O18" s="215"/>
      <c r="P18" s="215"/>
      <c r="Q18" s="215"/>
      <c r="R18" s="215"/>
      <c r="S18" s="215"/>
      <c r="T18" s="215"/>
      <c r="U18" s="215"/>
      <c r="V18" s="215"/>
      <c r="W18" s="215"/>
      <c r="X18" s="215"/>
      <c r="Y18" s="215"/>
      <c r="Z18" s="215"/>
    </row>
    <row r="19" spans="1:26" ht="15" customHeight="1">
      <c r="A19" s="229"/>
      <c r="B19" s="226"/>
      <c r="C19" s="227"/>
      <c r="D19" s="227"/>
      <c r="E19" s="228"/>
      <c r="F19" s="215"/>
      <c r="G19" s="215"/>
      <c r="H19" s="215"/>
      <c r="I19" s="215"/>
      <c r="J19" s="215"/>
      <c r="K19" s="215"/>
      <c r="L19" s="215"/>
      <c r="M19" s="215"/>
      <c r="N19" s="215"/>
      <c r="O19" s="215"/>
      <c r="P19" s="215"/>
      <c r="Q19" s="215"/>
      <c r="R19" s="215"/>
      <c r="S19" s="215"/>
      <c r="T19" s="215"/>
      <c r="U19" s="215"/>
      <c r="V19" s="215"/>
      <c r="W19" s="215"/>
      <c r="X19" s="215"/>
      <c r="Y19" s="215"/>
      <c r="Z19" s="215"/>
    </row>
    <row r="20" spans="1:26" ht="15" customHeight="1">
      <c r="A20" s="229"/>
      <c r="B20" s="226"/>
      <c r="C20" s="227"/>
      <c r="D20" s="227"/>
      <c r="E20" s="228"/>
      <c r="F20" s="215"/>
      <c r="G20" s="215"/>
      <c r="H20" s="215"/>
      <c r="I20" s="215"/>
      <c r="J20" s="215"/>
      <c r="K20" s="215"/>
      <c r="L20" s="215"/>
      <c r="M20" s="215"/>
      <c r="N20" s="215"/>
      <c r="O20" s="215"/>
      <c r="P20" s="215"/>
      <c r="Q20" s="215"/>
      <c r="R20" s="215"/>
      <c r="S20" s="215"/>
      <c r="T20" s="215"/>
      <c r="U20" s="215"/>
      <c r="V20" s="215"/>
      <c r="W20" s="215"/>
      <c r="X20" s="215"/>
      <c r="Y20" s="215"/>
      <c r="Z20" s="215"/>
    </row>
    <row r="21" spans="1:26" ht="15" customHeight="1">
      <c r="A21" s="229"/>
      <c r="B21" s="226"/>
      <c r="C21" s="227"/>
      <c r="D21" s="227"/>
      <c r="E21" s="228"/>
      <c r="F21" s="215"/>
      <c r="G21" s="215"/>
      <c r="H21" s="215"/>
      <c r="I21" s="215"/>
      <c r="J21" s="215"/>
      <c r="K21" s="215"/>
      <c r="L21" s="215"/>
      <c r="M21" s="215"/>
      <c r="N21" s="215"/>
      <c r="O21" s="215"/>
      <c r="P21" s="215"/>
      <c r="Q21" s="215"/>
      <c r="R21" s="215"/>
      <c r="S21" s="215"/>
      <c r="T21" s="215"/>
      <c r="U21" s="215"/>
      <c r="V21" s="215"/>
      <c r="W21" s="215"/>
      <c r="X21" s="215"/>
      <c r="Y21" s="215"/>
      <c r="Z21" s="215"/>
    </row>
    <row r="22" spans="1:26" ht="15" customHeight="1">
      <c r="A22" s="225"/>
      <c r="B22" s="226"/>
      <c r="C22" s="227"/>
      <c r="D22" s="227"/>
      <c r="E22" s="228"/>
      <c r="F22" s="215"/>
      <c r="G22" s="215"/>
      <c r="H22" s="215"/>
      <c r="I22" s="215"/>
      <c r="J22" s="215"/>
      <c r="K22" s="215"/>
      <c r="L22" s="215"/>
      <c r="M22" s="215"/>
      <c r="N22" s="215"/>
      <c r="O22" s="215"/>
      <c r="P22" s="215"/>
      <c r="Q22" s="215"/>
      <c r="R22" s="215"/>
      <c r="S22" s="215"/>
      <c r="T22" s="215"/>
      <c r="U22" s="215"/>
      <c r="V22" s="215"/>
      <c r="W22" s="215"/>
      <c r="X22" s="215"/>
      <c r="Y22" s="215"/>
      <c r="Z22" s="215"/>
    </row>
    <row r="23" spans="1:26" ht="15" customHeight="1">
      <c r="A23" s="225"/>
      <c r="B23" s="226"/>
      <c r="C23" s="227"/>
      <c r="D23" s="227"/>
      <c r="E23" s="228"/>
      <c r="F23" s="215"/>
      <c r="G23" s="215"/>
      <c r="H23" s="215"/>
      <c r="I23" s="215"/>
      <c r="J23" s="215"/>
      <c r="K23" s="215"/>
      <c r="L23" s="215"/>
      <c r="M23" s="215"/>
      <c r="N23" s="215"/>
      <c r="O23" s="215"/>
      <c r="P23" s="215"/>
      <c r="Q23" s="215"/>
      <c r="R23" s="215"/>
      <c r="S23" s="215"/>
      <c r="T23" s="215"/>
      <c r="U23" s="215"/>
      <c r="V23" s="215"/>
      <c r="W23" s="215"/>
      <c r="X23" s="215"/>
      <c r="Y23" s="215"/>
      <c r="Z23" s="215"/>
    </row>
    <row r="24" spans="1:26" ht="15" customHeight="1">
      <c r="A24" s="229"/>
      <c r="B24" s="226"/>
      <c r="C24" s="227"/>
      <c r="D24" s="227"/>
      <c r="E24" s="228"/>
      <c r="F24" s="215"/>
      <c r="G24" s="215"/>
      <c r="H24" s="215"/>
      <c r="I24" s="215"/>
      <c r="J24" s="215"/>
      <c r="K24" s="215"/>
      <c r="L24" s="215"/>
      <c r="M24" s="215"/>
      <c r="N24" s="215"/>
      <c r="O24" s="215"/>
      <c r="P24" s="215"/>
      <c r="Q24" s="215"/>
      <c r="R24" s="215"/>
      <c r="S24" s="215"/>
      <c r="T24" s="215"/>
      <c r="U24" s="215"/>
      <c r="V24" s="215"/>
      <c r="W24" s="215"/>
      <c r="X24" s="215"/>
      <c r="Y24" s="215"/>
      <c r="Z24" s="215"/>
    </row>
    <row r="25" spans="1:26" ht="15" customHeight="1">
      <c r="A25" s="229"/>
      <c r="B25" s="226"/>
      <c r="C25" s="227"/>
      <c r="D25" s="227"/>
      <c r="E25" s="228"/>
      <c r="F25" s="215"/>
      <c r="G25" s="215"/>
      <c r="H25" s="215"/>
      <c r="I25" s="215"/>
      <c r="J25" s="215"/>
      <c r="K25" s="215"/>
      <c r="L25" s="215"/>
      <c r="M25" s="215"/>
      <c r="N25" s="215"/>
      <c r="O25" s="215"/>
      <c r="P25" s="215"/>
      <c r="Q25" s="215"/>
      <c r="R25" s="215"/>
      <c r="S25" s="215"/>
      <c r="T25" s="215"/>
      <c r="U25" s="215"/>
      <c r="V25" s="215"/>
      <c r="W25" s="215"/>
      <c r="X25" s="215"/>
      <c r="Y25" s="215"/>
      <c r="Z25" s="215"/>
    </row>
    <row r="26" spans="1:26" s="215" customFormat="1" ht="15" customHeight="1">
      <c r="A26" s="229"/>
      <c r="B26" s="226"/>
      <c r="C26" s="227"/>
      <c r="D26" s="227"/>
      <c r="E26" s="228"/>
    </row>
    <row r="27" spans="1:26" ht="15" customHeight="1">
      <c r="A27" s="229"/>
      <c r="B27" s="226"/>
      <c r="C27" s="227"/>
      <c r="D27" s="227"/>
      <c r="E27" s="228"/>
      <c r="Z27" s="215"/>
    </row>
    <row r="28" spans="1:26" ht="15" customHeight="1">
      <c r="A28" s="229"/>
      <c r="B28" s="226"/>
      <c r="C28" s="227"/>
      <c r="D28" s="227"/>
      <c r="E28" s="228"/>
      <c r="Z28" s="215"/>
    </row>
    <row r="29" spans="1:26" ht="15" customHeight="1">
      <c r="A29" s="229"/>
      <c r="B29" s="226"/>
      <c r="C29" s="227"/>
      <c r="D29" s="227"/>
      <c r="E29" s="228"/>
      <c r="Z29" s="215"/>
    </row>
    <row r="30" spans="1:26" ht="15" customHeight="1">
      <c r="A30" s="230"/>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row>
    <row r="31" spans="1:26" ht="15" customHeight="1">
      <c r="A31" s="230"/>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row>
    <row r="32" spans="1:26" ht="15" customHeight="1">
      <c r="A32" s="230"/>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row>
    <row r="33" spans="1:26" ht="15" customHeight="1">
      <c r="A33" s="230"/>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row>
    <row r="34" spans="1:26" ht="15" customHeight="1">
      <c r="A34" s="230"/>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row>
    <row r="35" spans="1:26" ht="15" customHeight="1">
      <c r="A35" s="230"/>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row>
    <row r="36" spans="1:26" ht="15" customHeight="1">
      <c r="A36" s="230"/>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row>
    <row r="37" spans="1:26" ht="15" customHeight="1">
      <c r="A37" s="230"/>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row>
    <row r="38" spans="1:26" ht="15" customHeight="1">
      <c r="A38" s="230"/>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row>
    <row r="39" spans="1:26" ht="15" customHeight="1">
      <c r="A39" s="230"/>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row>
    <row r="40" spans="1:26" ht="15" customHeight="1">
      <c r="A40" s="230"/>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row>
    <row r="41" spans="1:26" ht="15" customHeight="1">
      <c r="A41" s="230"/>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row>
    <row r="42" spans="1:26" ht="15" customHeight="1">
      <c r="A42" s="230"/>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row>
    <row r="43" spans="1:26" ht="15" customHeight="1">
      <c r="A43" s="230"/>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row>
    <row r="44" spans="1:26" ht="15" customHeight="1">
      <c r="A44" s="230"/>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row>
    <row r="45" spans="1:26" ht="15" customHeight="1">
      <c r="A45" s="230"/>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row>
    <row r="46" spans="1:26" ht="15" customHeight="1">
      <c r="A46" s="230"/>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row>
    <row r="47" spans="1:26" ht="15" customHeight="1">
      <c r="A47" s="231"/>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15"/>
    </row>
    <row r="48" spans="1:26" ht="15" customHeight="1">
      <c r="Z48" s="215"/>
    </row>
    <row r="49" spans="1:26" ht="15" customHeight="1">
      <c r="Z49" s="215"/>
    </row>
    <row r="50" spans="1:26" ht="15" customHeight="1">
      <c r="Z50" s="215"/>
    </row>
    <row r="51" spans="1:26" ht="15" customHeight="1">
      <c r="A51" s="230"/>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row>
    <row r="52" spans="1:26" ht="15" customHeight="1">
      <c r="A52" s="230"/>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row>
    <row r="53" spans="1:26" ht="15" customHeight="1">
      <c r="A53" s="230"/>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row>
    <row r="54" spans="1:26" ht="15" customHeight="1">
      <c r="A54" s="230"/>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row>
    <row r="55" spans="1:26" ht="15" customHeight="1">
      <c r="A55" s="230"/>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row>
    <row r="56" spans="1:26" ht="15" customHeight="1">
      <c r="A56" s="230"/>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row>
    <row r="57" spans="1:26" ht="15" customHeight="1">
      <c r="A57" s="230"/>
      <c r="B57" s="215"/>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row>
    <row r="58" spans="1:26" ht="15" customHeight="1">
      <c r="A58" s="230"/>
      <c r="B58" s="215"/>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row>
    <row r="59" spans="1:26" ht="15" customHeight="1">
      <c r="A59" s="230"/>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row>
    <row r="60" spans="1:26" ht="15" customHeight="1">
      <c r="A60" s="230"/>
      <c r="B60" s="215"/>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row>
    <row r="61" spans="1:26" ht="15" customHeight="1">
      <c r="A61" s="230"/>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row>
    <row r="62" spans="1:26" ht="15" customHeight="1">
      <c r="A62" s="230"/>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row>
    <row r="63" spans="1:26" ht="15" customHeight="1">
      <c r="A63" s="230"/>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row>
    <row r="64" spans="1:26" ht="15" customHeight="1">
      <c r="A64" s="230"/>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row>
    <row r="65" spans="1:26" ht="15" customHeight="1">
      <c r="A65" s="230"/>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row>
    <row r="66" spans="1:26" ht="15" customHeight="1">
      <c r="A66" s="230"/>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row>
    <row r="67" spans="1:26" ht="15" customHeight="1">
      <c r="A67" s="230"/>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row>
    <row r="68" spans="1:26" ht="15" customHeight="1">
      <c r="A68" s="231"/>
      <c r="B68" s="232"/>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15"/>
    </row>
  </sheetData>
  <mergeCells count="3">
    <mergeCell ref="A3:A4"/>
    <mergeCell ref="B3:B4"/>
    <mergeCell ref="C3:E3"/>
  </mergeCells>
  <phoneticPr fontId="3"/>
  <printOptions horizontalCentered="1"/>
  <pageMargins left="0.74803149606299213" right="0.74803149606299213" top="0.98425196850393704" bottom="0.98425196850393704" header="0.51181102362204722" footer="0.51181102362204722"/>
  <pageSetup paperSize="9" fitToHeight="0" orientation="landscape" horizontalDpi="400" verticalDpi="400" r:id="rId1"/>
  <headerFooter scaleWithDoc="0">
    <oddFooter>&amp;C&amp;"ＭＳ Ｐゴシック,標準"&amp;9( &amp;P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47</vt:i4>
      </vt:variant>
    </vt:vector>
  </HeadingPairs>
  <TitlesOfParts>
    <vt:vector size="72" baseType="lpstr">
      <vt:lpstr>表紙</vt:lpstr>
      <vt:lpstr>外界条件</vt:lpstr>
      <vt:lpstr>位置情報</vt:lpstr>
      <vt:lpstr>外気温度等</vt:lpstr>
      <vt:lpstr>ETD(OW1)</vt:lpstr>
      <vt:lpstr>ETD(OW2)</vt:lpstr>
      <vt:lpstr>ETD(OR1)</vt:lpstr>
      <vt:lpstr>ETD(OR2)</vt:lpstr>
      <vt:lpstr>非空調室温度</vt:lpstr>
      <vt:lpstr>ガラス日射（標準）</vt:lpstr>
      <vt:lpstr>ガラス日射（2F-E）</vt:lpstr>
      <vt:lpstr>熱貫流率</vt:lpstr>
      <vt:lpstr>熱貫流率表</vt:lpstr>
      <vt:lpstr>各室熱負荷</vt:lpstr>
      <vt:lpstr>201</vt:lpstr>
      <vt:lpstr>204</vt:lpstr>
      <vt:lpstr>205</vt:lpstr>
      <vt:lpstr>208</vt:lpstr>
      <vt:lpstr>系統別集計</vt:lpstr>
      <vt:lpstr>AC-2系統集計表</vt:lpstr>
      <vt:lpstr>AC-2系統空気線図</vt:lpstr>
      <vt:lpstr>熱源集計</vt:lpstr>
      <vt:lpstr>R-1系統冷熱源</vt:lpstr>
      <vt:lpstr>R-1系統温熱源</vt:lpstr>
      <vt:lpstr>市水系統加湿源</vt:lpstr>
      <vt:lpstr>'201'!ID</vt:lpstr>
      <vt:lpstr>'204'!ID</vt:lpstr>
      <vt:lpstr>'205'!ID</vt:lpstr>
      <vt:lpstr>'208'!ID</vt:lpstr>
      <vt:lpstr>外界条件!ID</vt:lpstr>
      <vt:lpstr>各室熱負荷!ID</vt:lpstr>
      <vt:lpstr>系統別集計!ID</vt:lpstr>
      <vt:lpstr>熱貫流率!ID</vt:lpstr>
      <vt:lpstr>熱源集計!ID</vt:lpstr>
      <vt:lpstr>表紙!ID</vt:lpstr>
      <vt:lpstr>'201'!Print_Area</vt:lpstr>
      <vt:lpstr>'204'!Print_Area</vt:lpstr>
      <vt:lpstr>'205'!Print_Area</vt:lpstr>
      <vt:lpstr>'208'!Print_Area</vt:lpstr>
      <vt:lpstr>'AC-2系統集計表'!Print_Area</vt:lpstr>
      <vt:lpstr>'R-1系統温熱源'!Print_Area</vt:lpstr>
      <vt:lpstr>'R-1系統冷熱源'!Print_Area</vt:lpstr>
      <vt:lpstr>'ガラス日射（2F-E）'!Print_Area</vt:lpstr>
      <vt:lpstr>'ガラス日射（標準）'!Print_Area</vt:lpstr>
      <vt:lpstr>位置情報!Print_Area</vt:lpstr>
      <vt:lpstr>外界条件!Print_Area</vt:lpstr>
      <vt:lpstr>各室熱負荷!Print_Area</vt:lpstr>
      <vt:lpstr>系統別集計!Print_Area</vt:lpstr>
      <vt:lpstr>市水系統加湿源!Print_Area</vt:lpstr>
      <vt:lpstr>熱貫流率!Print_Area</vt:lpstr>
      <vt:lpstr>熱貫流率表!Print_Area</vt:lpstr>
      <vt:lpstr>熱源集計!Print_Area</vt:lpstr>
      <vt:lpstr>非空調室温度!Print_Area</vt:lpstr>
      <vt:lpstr>表紙!Print_Area</vt:lpstr>
      <vt:lpstr>'AC-2系統集計表'!Print_Titles</vt:lpstr>
      <vt:lpstr>'R-1系統温熱源'!Print_Titles</vt:lpstr>
      <vt:lpstr>'R-1系統冷熱源'!Print_Titles</vt:lpstr>
      <vt:lpstr>'ガラス日射（2F-E）'!Print_Titles</vt:lpstr>
      <vt:lpstr>'ガラス日射（標準）'!Print_Titles</vt:lpstr>
      <vt:lpstr>市水系統加湿源!Print_Titles</vt:lpstr>
      <vt:lpstr>熱貫流率表!Print_Titles</vt:lpstr>
      <vt:lpstr>表紙!会社名</vt:lpstr>
      <vt:lpstr>表紙!顧客名</vt:lpstr>
      <vt:lpstr>'201'!室NO</vt:lpstr>
      <vt:lpstr>'204'!室NO</vt:lpstr>
      <vt:lpstr>'205'!室NO</vt:lpstr>
      <vt:lpstr>'208'!室NO</vt:lpstr>
      <vt:lpstr>表紙!日付</vt:lpstr>
      <vt:lpstr>'201'!面積</vt:lpstr>
      <vt:lpstr>'204'!面積</vt:lpstr>
      <vt:lpstr>'205'!面積</vt:lpstr>
      <vt:lpstr>'208'!面積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Bohra Staff</dc:creator>
  <cp:lastModifiedBy>Bohra Staff</cp:lastModifiedBy>
  <dcterms:created xsi:type="dcterms:W3CDTF">2017-05-28T03:33:03Z</dcterms:created>
  <dcterms:modified xsi:type="dcterms:W3CDTF">2017-05-28T03:34:02Z</dcterms:modified>
</cp:coreProperties>
</file>