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23385" windowHeight="11085"/>
  </bookViews>
  <sheets>
    <sheet name="表紙" sheetId="27" r:id="rId1"/>
    <sheet name="外界条件" sheetId="1" r:id="rId2"/>
    <sheet name="位置情報" sheetId="2" r:id="rId3"/>
    <sheet name="外気温度等" sheetId="3" r:id="rId4"/>
    <sheet name="ETD(OW1)" sheetId="4" r:id="rId5"/>
    <sheet name="ETD(OW2)" sheetId="5" r:id="rId6"/>
    <sheet name="ETD(OR1)" sheetId="6" r:id="rId7"/>
    <sheet name="ETD(OR2)" sheetId="7" r:id="rId8"/>
    <sheet name="非空調室温度" sheetId="8" r:id="rId9"/>
    <sheet name="ガラス日射（標準）" sheetId="9" r:id="rId10"/>
    <sheet name="ガラス日射（2F-E）" sheetId="10" r:id="rId11"/>
    <sheet name="熱貫流率" sheetId="11" r:id="rId12"/>
    <sheet name="熱貫流率表" sheetId="12" r:id="rId13"/>
    <sheet name="各室熱負荷" sheetId="13" r:id="rId14"/>
    <sheet name="201" sheetId="14" r:id="rId15"/>
    <sheet name="204" sheetId="15" r:id="rId16"/>
    <sheet name="205" sheetId="16" r:id="rId17"/>
    <sheet name="208" sheetId="17" r:id="rId18"/>
    <sheet name="系統別集計" sheetId="18" r:id="rId19"/>
    <sheet name="AC-2系統集計表" sheetId="19" r:id="rId20"/>
    <sheet name="AC-2系統空気線図" sheetId="20" r:id="rId21"/>
    <sheet name="AC-2系統 TH" sheetId="21" r:id="rId22"/>
    <sheet name="熱源集計" sheetId="22" r:id="rId23"/>
    <sheet name="R-1系統冷熱源" sheetId="23" r:id="rId24"/>
    <sheet name="R-1系統再熱・再生熱源" sheetId="24" r:id="rId25"/>
    <sheet name="R-1系統温熱源" sheetId="25" r:id="rId26"/>
    <sheet name="市水系統加湿源" sheetId="26" r:id="rId27"/>
  </sheets>
  <definedNames>
    <definedName name="ID" localSheetId="14">'201'!$HH$1</definedName>
    <definedName name="ID" localSheetId="15">'204'!$HH$1</definedName>
    <definedName name="ID" localSheetId="16">'205'!$HH$1</definedName>
    <definedName name="ID" localSheetId="17">'208'!$HH$1</definedName>
    <definedName name="ID" localSheetId="1">外界条件!$D$1</definedName>
    <definedName name="ID" localSheetId="13">各室熱負荷!$D$1</definedName>
    <definedName name="ID" localSheetId="18">系統別集計!$D$1</definedName>
    <definedName name="ID" localSheetId="11">熱貫流率!$D$1</definedName>
    <definedName name="ID" localSheetId="22">熱源集計!$D$1</definedName>
    <definedName name="ID" localSheetId="0">表紙!$K$1</definedName>
    <definedName name="_xlnm.Print_Area" localSheetId="14">'201'!$A$1:$HC$69</definedName>
    <definedName name="_xlnm.Print_Area" localSheetId="15">'204'!$A$1:$HC$69</definedName>
    <definedName name="_xlnm.Print_Area" localSheetId="16">'205'!$A$1:$HC$69</definedName>
    <definedName name="_xlnm.Print_Area" localSheetId="17">'208'!$A$1:$HC$69</definedName>
    <definedName name="_xlnm.Print_Area" localSheetId="21">'AC-2系統 TH'!$A$1:$S$45</definedName>
    <definedName name="_xlnm.Print_Area" localSheetId="19">'AC-2系統集計表'!$A$7:$Y$48</definedName>
    <definedName name="_xlnm.Print_Area" localSheetId="25">'R-1系統温熱源'!$A$6:$G$41</definedName>
    <definedName name="_xlnm.Print_Area" localSheetId="24">'R-1系統再熱・再生熱源'!$A$6:$AC$58</definedName>
    <definedName name="_xlnm.Print_Area" localSheetId="23">'R-1系統冷熱源'!$A$6:$AC$58</definedName>
    <definedName name="_xlnm.Print_Area" localSheetId="10">'ガラス日射（2F-E）'!$A$1:$AB$96</definedName>
    <definedName name="_xlnm.Print_Area" localSheetId="9">'ガラス日射（標準）'!$A$1:$AB$96</definedName>
    <definedName name="_xlnm.Print_Area" localSheetId="2">位置情報!$A$1:$AA$40</definedName>
    <definedName name="_xlnm.Print_Area" localSheetId="1">外界条件!$A$1:$A$16</definedName>
    <definedName name="_xlnm.Print_Area" localSheetId="13">各室熱負荷!$A$1:$A$16</definedName>
    <definedName name="_xlnm.Print_Area" localSheetId="18">系統別集計!$A$1:$A$16</definedName>
    <definedName name="_xlnm.Print_Area" localSheetId="26">市水系統加湿源!$A$7:$R$40</definedName>
    <definedName name="_xlnm.Print_Area" localSheetId="11">熱貫流率!$A$1:$A$16</definedName>
    <definedName name="_xlnm.Print_Area" localSheetId="12">熱貫流率表!$A$6:$L$141</definedName>
    <definedName name="_xlnm.Print_Area" localSheetId="22">熱源集計!$A$1:$A$16</definedName>
    <definedName name="_xlnm.Print_Area" localSheetId="8">非空調室温度!$A$1:$E$29</definedName>
    <definedName name="_xlnm.Print_Area" localSheetId="0">表紙!$A$1:$E$13</definedName>
    <definedName name="_xlnm.Print_Titles" localSheetId="21">'AC-2系統 TH'!$1:$7</definedName>
    <definedName name="_xlnm.Print_Titles" localSheetId="19">'AC-2系統集計表'!$1:$6</definedName>
    <definedName name="_xlnm.Print_Titles" localSheetId="25">'R-1系統温熱源'!$1:$5</definedName>
    <definedName name="_xlnm.Print_Titles" localSheetId="24">'R-1系統再熱・再生熱源'!$1:$5</definedName>
    <definedName name="_xlnm.Print_Titles" localSheetId="23">'R-1系統冷熱源'!$1:$5</definedName>
    <definedName name="_xlnm.Print_Titles" localSheetId="10">'ガラス日射（2F-E）'!$1:$9</definedName>
    <definedName name="_xlnm.Print_Titles" localSheetId="9">'ガラス日射（標準）'!$1:$9</definedName>
    <definedName name="_xlnm.Print_Titles" localSheetId="26">市水系統加湿源!$1:$6</definedName>
    <definedName name="_xlnm.Print_Titles" localSheetId="12">熱貫流率表!$1:$5</definedName>
    <definedName name="会社名" localSheetId="0">表紙!$A$10</definedName>
    <definedName name="顧客名" localSheetId="0">表紙!$A$1</definedName>
    <definedName name="室NO" localSheetId="14">'201'!$B$3</definedName>
    <definedName name="室NO" localSheetId="15">'204'!$B$3</definedName>
    <definedName name="室NO" localSheetId="16">'205'!$B$3</definedName>
    <definedName name="室NO" localSheetId="17">'208'!$B$3</definedName>
    <definedName name="日付" localSheetId="0">表紙!$A$8</definedName>
    <definedName name="面積" localSheetId="14">'201'!$D$5</definedName>
    <definedName name="面積" localSheetId="15">'204'!$D$5</definedName>
    <definedName name="面積" localSheetId="16">'205'!$D$5</definedName>
    <definedName name="面積" localSheetId="17">'208'!$D$5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23" i="17" l="1"/>
  <c r="FR23" i="17"/>
  <c r="FH23"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U22" i="17"/>
  <c r="FR22" i="17"/>
  <c r="FH22" i="17"/>
  <c r="FF22" i="17"/>
  <c r="FD22" i="17"/>
  <c r="FB22" i="17"/>
  <c r="EZ22" i="17"/>
  <c r="EX22" i="17"/>
  <c r="EV22" i="17"/>
  <c r="ET22" i="17"/>
  <c r="ER22" i="17"/>
  <c r="EP22" i="17"/>
  <c r="EN22" i="17"/>
  <c r="EL22" i="17"/>
  <c r="EJ22" i="17"/>
  <c r="EH22" i="17"/>
  <c r="EF22" i="17"/>
  <c r="ED22" i="17"/>
  <c r="EB22" i="17"/>
  <c r="DZ22" i="17"/>
  <c r="DX22" i="17"/>
  <c r="DV22" i="17"/>
  <c r="DT22" i="17"/>
  <c r="DR22" i="17"/>
  <c r="DP22" i="17"/>
  <c r="DN22" i="17"/>
  <c r="DE22" i="17"/>
  <c r="DC22" i="17"/>
  <c r="DA22" i="17"/>
  <c r="CY22" i="17"/>
  <c r="CW22" i="17"/>
  <c r="CU22" i="17"/>
  <c r="CS22" i="17"/>
  <c r="CQ22" i="17"/>
  <c r="CO22" i="17"/>
  <c r="CM22" i="17"/>
  <c r="CK22" i="17"/>
  <c r="CI22" i="17"/>
  <c r="CG22" i="17"/>
  <c r="CE22" i="17"/>
  <c r="CC22" i="17"/>
  <c r="CA22" i="17"/>
  <c r="BY22" i="17"/>
  <c r="BW22" i="17"/>
  <c r="BU22" i="17"/>
  <c r="BS22" i="17"/>
  <c r="BQ22" i="17"/>
  <c r="BO22" i="17"/>
  <c r="BM22" i="17"/>
  <c r="BK22" i="17"/>
  <c r="BB22" i="17"/>
  <c r="AZ22" i="17"/>
  <c r="AX22" i="17"/>
  <c r="AV22" i="17"/>
  <c r="AT22" i="17"/>
  <c r="AR22" i="17"/>
  <c r="AP22" i="17"/>
  <c r="AN22" i="17"/>
  <c r="AL22" i="17"/>
  <c r="AJ22" i="17"/>
  <c r="AH22" i="17"/>
  <c r="AF22" i="17"/>
  <c r="AD22" i="17"/>
  <c r="AB22" i="17"/>
  <c r="Z22" i="17"/>
  <c r="X22" i="17"/>
  <c r="V22" i="17"/>
  <c r="T22" i="17"/>
  <c r="R22" i="17"/>
  <c r="P22" i="17"/>
  <c r="N22" i="17"/>
  <c r="L22" i="17"/>
  <c r="J22" i="17"/>
  <c r="H22" i="17"/>
  <c r="FU21" i="17"/>
  <c r="FR21" i="17"/>
  <c r="FH21" i="17"/>
  <c r="FF21" i="17"/>
  <c r="FD21" i="17"/>
  <c r="FB21" i="17"/>
  <c r="EZ21" i="17"/>
  <c r="EX21" i="17"/>
  <c r="EV21" i="17"/>
  <c r="ET21" i="17"/>
  <c r="ER21" i="17"/>
  <c r="EP21" i="17"/>
  <c r="EN21" i="17"/>
  <c r="EL21" i="17"/>
  <c r="EJ21" i="17"/>
  <c r="EH21" i="17"/>
  <c r="EF21" i="17"/>
  <c r="ED21" i="17"/>
  <c r="EB21" i="17"/>
  <c r="DZ21" i="17"/>
  <c r="DX21" i="17"/>
  <c r="DV21" i="17"/>
  <c r="DT21" i="17"/>
  <c r="DR21" i="17"/>
  <c r="DP21" i="17"/>
  <c r="DN21" i="17"/>
  <c r="DE21" i="17"/>
  <c r="DC21" i="17"/>
  <c r="DA21" i="17"/>
  <c r="CY21" i="17"/>
  <c r="CW21" i="17"/>
  <c r="CU21" i="17"/>
  <c r="CS21" i="17"/>
  <c r="CQ21" i="17"/>
  <c r="CO21" i="17"/>
  <c r="CM21" i="17"/>
  <c r="CK21" i="17"/>
  <c r="CI21" i="17"/>
  <c r="CG21" i="17"/>
  <c r="CE21" i="17"/>
  <c r="CC21" i="17"/>
  <c r="CA21" i="17"/>
  <c r="BY21" i="17"/>
  <c r="BW21" i="17"/>
  <c r="BU21" i="17"/>
  <c r="BS21" i="17"/>
  <c r="BQ21" i="17"/>
  <c r="BO21" i="17"/>
  <c r="BM21" i="17"/>
  <c r="BK21" i="17"/>
  <c r="BB21" i="17"/>
  <c r="AZ21" i="17"/>
  <c r="AX21" i="17"/>
  <c r="AV21" i="17"/>
  <c r="AT21" i="17"/>
  <c r="AR21" i="17"/>
  <c r="AP21" i="17"/>
  <c r="AN21" i="17"/>
  <c r="AL21" i="17"/>
  <c r="AJ21" i="17"/>
  <c r="AH21" i="17"/>
  <c r="AF21" i="17"/>
  <c r="AD21" i="17"/>
  <c r="AB21" i="17"/>
  <c r="Z21" i="17"/>
  <c r="X21" i="17"/>
  <c r="V21" i="17"/>
  <c r="T21" i="17"/>
  <c r="R21" i="17"/>
  <c r="P21" i="17"/>
  <c r="N21" i="17"/>
  <c r="L21" i="17"/>
  <c r="J21" i="17"/>
  <c r="H21" i="17"/>
  <c r="FU20" i="17"/>
  <c r="FR20" i="17"/>
  <c r="FH20" i="17"/>
  <c r="FF20" i="17"/>
  <c r="FD20" i="17"/>
  <c r="FB20" i="17"/>
  <c r="EZ20" i="17"/>
  <c r="EX20" i="17"/>
  <c r="EV20" i="17"/>
  <c r="ET20" i="17"/>
  <c r="ER20" i="17"/>
  <c r="EP20" i="17"/>
  <c r="EN20" i="17"/>
  <c r="EL20" i="17"/>
  <c r="EJ20" i="17"/>
  <c r="EH20" i="17"/>
  <c r="EF20" i="17"/>
  <c r="ED20" i="17"/>
  <c r="EB20" i="17"/>
  <c r="DZ20" i="17"/>
  <c r="DX20" i="17"/>
  <c r="DV20" i="17"/>
  <c r="DT20" i="17"/>
  <c r="DR20" i="17"/>
  <c r="DP20" i="17"/>
  <c r="DN20" i="17"/>
  <c r="DE20" i="17"/>
  <c r="DC20" i="17"/>
  <c r="DA20" i="17"/>
  <c r="CY20" i="17"/>
  <c r="CW20" i="17"/>
  <c r="CU20" i="17"/>
  <c r="CS20" i="17"/>
  <c r="CQ20" i="17"/>
  <c r="CO20" i="17"/>
  <c r="CM20" i="17"/>
  <c r="CK20" i="17"/>
  <c r="CI20" i="17"/>
  <c r="CG20" i="17"/>
  <c r="CE20" i="17"/>
  <c r="CC20" i="17"/>
  <c r="CA20" i="17"/>
  <c r="BY20" i="17"/>
  <c r="BW20" i="17"/>
  <c r="BU20" i="17"/>
  <c r="BS20" i="17"/>
  <c r="BQ20" i="17"/>
  <c r="BO20" i="17"/>
  <c r="BM20" i="17"/>
  <c r="BK20" i="17"/>
  <c r="BB20" i="17"/>
  <c r="AZ20" i="17"/>
  <c r="AX20" i="17"/>
  <c r="AV20" i="17"/>
  <c r="AT20" i="17"/>
  <c r="AR20" i="17"/>
  <c r="AP20" i="17"/>
  <c r="AN20" i="17"/>
  <c r="AL20" i="17"/>
  <c r="AJ20" i="17"/>
  <c r="AH20" i="17"/>
  <c r="AF20" i="17"/>
  <c r="AD20" i="17"/>
  <c r="AB20" i="17"/>
  <c r="Z20" i="17"/>
  <c r="X20" i="17"/>
  <c r="V20" i="17"/>
  <c r="T20" i="17"/>
  <c r="R20" i="17"/>
  <c r="P20" i="17"/>
  <c r="N20" i="17"/>
  <c r="L20" i="17"/>
  <c r="J20" i="17"/>
  <c r="H20" i="17"/>
  <c r="FU19" i="17"/>
  <c r="FR19" i="17"/>
  <c r="FH19" i="17"/>
  <c r="FF19" i="17"/>
  <c r="FD19" i="17"/>
  <c r="FB19" i="17"/>
  <c r="EZ19" i="17"/>
  <c r="EX19" i="17"/>
  <c r="EV19" i="17"/>
  <c r="ET19" i="17"/>
  <c r="ER19" i="17"/>
  <c r="EP19" i="17"/>
  <c r="EN19" i="17"/>
  <c r="EL19" i="17"/>
  <c r="EJ19" i="17"/>
  <c r="EH19" i="17"/>
  <c r="EF19" i="17"/>
  <c r="ED19" i="17"/>
  <c r="EB19" i="17"/>
  <c r="DZ19" i="17"/>
  <c r="DX19" i="17"/>
  <c r="DV19" i="17"/>
  <c r="DT19" i="17"/>
  <c r="DR19" i="17"/>
  <c r="DP19" i="17"/>
  <c r="DN19" i="17"/>
  <c r="DE19" i="17"/>
  <c r="DC19" i="17"/>
  <c r="DA19" i="17"/>
  <c r="CY19" i="17"/>
  <c r="CW19" i="17"/>
  <c r="CU19" i="17"/>
  <c r="CS19" i="17"/>
  <c r="CQ19" i="17"/>
  <c r="CO19" i="17"/>
  <c r="CM19" i="17"/>
  <c r="CK19" i="17"/>
  <c r="CI19" i="17"/>
  <c r="CG19" i="17"/>
  <c r="CE19" i="17"/>
  <c r="CC19" i="17"/>
  <c r="CA19" i="17"/>
  <c r="BY19" i="17"/>
  <c r="BW19" i="17"/>
  <c r="BU19" i="17"/>
  <c r="BS19" i="17"/>
  <c r="BQ19" i="17"/>
  <c r="BO19" i="17"/>
  <c r="BM19" i="17"/>
  <c r="BK19" i="17"/>
  <c r="BB19" i="17"/>
  <c r="AZ19" i="17"/>
  <c r="AX19" i="17"/>
  <c r="AV19" i="17"/>
  <c r="AT19" i="17"/>
  <c r="AR19" i="17"/>
  <c r="AP19" i="17"/>
  <c r="AN19" i="17"/>
  <c r="AL19" i="17"/>
  <c r="AJ19" i="17"/>
  <c r="AH19" i="17"/>
  <c r="AF19" i="17"/>
  <c r="AD19" i="17"/>
  <c r="AB19" i="17"/>
  <c r="Z19" i="17"/>
  <c r="X19" i="17"/>
  <c r="V19" i="17"/>
  <c r="T19" i="17"/>
  <c r="R19" i="17"/>
  <c r="P19" i="17"/>
  <c r="N19" i="17"/>
  <c r="L19" i="17"/>
  <c r="J19" i="17"/>
  <c r="H19" i="17"/>
  <c r="FH10" i="17"/>
  <c r="FF10" i="17"/>
  <c r="FD10" i="17"/>
  <c r="FB10" i="17"/>
  <c r="EZ10" i="17"/>
  <c r="EX10" i="17"/>
  <c r="EV10" i="17"/>
  <c r="ET10" i="17"/>
  <c r="ER10" i="17"/>
  <c r="EP10" i="17"/>
  <c r="EN10" i="17"/>
  <c r="EL10" i="17"/>
  <c r="EJ10" i="17"/>
  <c r="EH10" i="17"/>
  <c r="EF10" i="17"/>
  <c r="ED10" i="17"/>
  <c r="EB10" i="17"/>
  <c r="DZ10" i="17"/>
  <c r="DX10" i="17"/>
  <c r="DV10" i="17"/>
  <c r="DT10" i="17"/>
  <c r="DR10" i="17"/>
  <c r="DP10" i="17"/>
  <c r="DN10" i="17"/>
  <c r="DE10" i="17"/>
  <c r="DC10" i="17"/>
  <c r="DA10" i="17"/>
  <c r="CY10" i="17"/>
  <c r="CW10" i="17"/>
  <c r="CU10" i="17"/>
  <c r="CS10" i="17"/>
  <c r="CQ10" i="17"/>
  <c r="CO10" i="17"/>
  <c r="CM10" i="17"/>
  <c r="CK10" i="17"/>
  <c r="CI10" i="17"/>
  <c r="CG10" i="17"/>
  <c r="CE10" i="17"/>
  <c r="CC10" i="17"/>
  <c r="CA10" i="17"/>
  <c r="BY10" i="17"/>
  <c r="BW10" i="17"/>
  <c r="BU10" i="17"/>
  <c r="BS10" i="17"/>
  <c r="BQ10" i="17"/>
  <c r="BO10" i="17"/>
  <c r="BM10" i="17"/>
  <c r="BK10" i="17"/>
  <c r="BB10" i="17"/>
  <c r="AZ10" i="17"/>
  <c r="AX10" i="17"/>
  <c r="AV10" i="17"/>
  <c r="AT10" i="17"/>
  <c r="AR10" i="17"/>
  <c r="AP10" i="17"/>
  <c r="AN10" i="17"/>
  <c r="AL10" i="17"/>
  <c r="AJ10" i="17"/>
  <c r="AH10" i="17"/>
  <c r="AF10" i="17"/>
  <c r="AD10" i="17"/>
  <c r="AB10" i="17"/>
  <c r="Z10" i="17"/>
  <c r="X10" i="17"/>
  <c r="V10" i="17"/>
  <c r="T10" i="17"/>
  <c r="R10" i="17"/>
  <c r="P10" i="17"/>
  <c r="N10" i="17"/>
  <c r="L10" i="17"/>
  <c r="J10" i="17"/>
  <c r="H10" i="17"/>
  <c r="D10" i="17"/>
  <c r="FU18" i="17"/>
  <c r="FR18" i="17"/>
  <c r="FH18"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U17" i="17"/>
  <c r="FR17" i="17"/>
  <c r="FH17" i="17"/>
  <c r="FF17" i="17"/>
  <c r="FD17" i="17"/>
  <c r="FB17" i="17"/>
  <c r="EZ17" i="17"/>
  <c r="EX17" i="17"/>
  <c r="EV17" i="17"/>
  <c r="ET17" i="17"/>
  <c r="ER17" i="17"/>
  <c r="EP17" i="17"/>
  <c r="EN17" i="17"/>
  <c r="EL17" i="17"/>
  <c r="EJ17" i="17"/>
  <c r="EH17" i="17"/>
  <c r="EF17" i="17"/>
  <c r="ED17" i="17"/>
  <c r="EB17" i="17"/>
  <c r="DZ17" i="17"/>
  <c r="DX17" i="17"/>
  <c r="DV17" i="17"/>
  <c r="DV26" i="17" s="1"/>
  <c r="DT17" i="17"/>
  <c r="DR17" i="17"/>
  <c r="DP17" i="17"/>
  <c r="DN17" i="17"/>
  <c r="DE17" i="17"/>
  <c r="DC17" i="17"/>
  <c r="DA17" i="17"/>
  <c r="CY17" i="17"/>
  <c r="CW17" i="17"/>
  <c r="CU17" i="17"/>
  <c r="CS17" i="17"/>
  <c r="CQ17" i="17"/>
  <c r="CO17" i="17"/>
  <c r="CM17" i="17"/>
  <c r="CK17" i="17"/>
  <c r="CI17" i="17"/>
  <c r="CG17" i="17"/>
  <c r="CE17" i="17"/>
  <c r="CC17" i="17"/>
  <c r="CA17" i="17"/>
  <c r="BY17" i="17"/>
  <c r="BW17" i="17"/>
  <c r="BU17" i="17"/>
  <c r="BU26" i="17" s="1"/>
  <c r="BS17" i="17"/>
  <c r="BQ17" i="17"/>
  <c r="BO17" i="17"/>
  <c r="BM17" i="17"/>
  <c r="BK17" i="17"/>
  <c r="BB17" i="17"/>
  <c r="AZ17" i="17"/>
  <c r="AX17" i="17"/>
  <c r="AX26" i="17" s="1"/>
  <c r="AV17" i="17"/>
  <c r="AT17" i="17"/>
  <c r="AR17" i="17"/>
  <c r="AP17" i="17"/>
  <c r="AN17" i="17"/>
  <c r="AN26" i="17" s="1"/>
  <c r="AL17" i="17"/>
  <c r="AJ17" i="17"/>
  <c r="AH17" i="17"/>
  <c r="AH26" i="17" s="1"/>
  <c r="AF17" i="17"/>
  <c r="AD17" i="17"/>
  <c r="AB17" i="17"/>
  <c r="Z17" i="17"/>
  <c r="X17" i="17"/>
  <c r="V17" i="17"/>
  <c r="T17" i="17"/>
  <c r="R17" i="17"/>
  <c r="R26" i="17" s="1"/>
  <c r="P17" i="17"/>
  <c r="N17" i="17"/>
  <c r="L17" i="17"/>
  <c r="J17" i="17"/>
  <c r="H17" i="17"/>
  <c r="FU16" i="17"/>
  <c r="FR16" i="17"/>
  <c r="FH16" i="17"/>
  <c r="FF16" i="17"/>
  <c r="FD16" i="17"/>
  <c r="FB16" i="17"/>
  <c r="FB26" i="17" s="1"/>
  <c r="EZ16" i="17"/>
  <c r="EX16" i="17"/>
  <c r="EV16" i="17"/>
  <c r="ET16" i="17"/>
  <c r="ET26" i="17" s="1"/>
  <c r="ER16" i="17"/>
  <c r="EP16" i="17"/>
  <c r="EP26" i="17" s="1"/>
  <c r="EN16" i="17"/>
  <c r="EL16" i="17"/>
  <c r="EJ16" i="17"/>
  <c r="EH16" i="17"/>
  <c r="EH26" i="17" s="1"/>
  <c r="EF16" i="17"/>
  <c r="ED16" i="17"/>
  <c r="EB16" i="17"/>
  <c r="EB26" i="17" s="1"/>
  <c r="DZ16" i="17"/>
  <c r="DZ26" i="17" s="1"/>
  <c r="DX16" i="17"/>
  <c r="DV16" i="17"/>
  <c r="DT16" i="17"/>
  <c r="DR16" i="17"/>
  <c r="DR26" i="17" s="1"/>
  <c r="DP16" i="17"/>
  <c r="DN16" i="17"/>
  <c r="DE16" i="17"/>
  <c r="DC16" i="17"/>
  <c r="DC26" i="17" s="1"/>
  <c r="DA16" i="17"/>
  <c r="CY16" i="17"/>
  <c r="CW16" i="17"/>
  <c r="CU16" i="17"/>
  <c r="CS16" i="17"/>
  <c r="CQ16" i="17"/>
  <c r="CO16" i="17"/>
  <c r="CM16" i="17"/>
  <c r="CK16" i="17"/>
  <c r="CI16" i="17"/>
  <c r="CI26" i="17" s="1"/>
  <c r="CG16" i="17"/>
  <c r="CE16" i="17"/>
  <c r="CE26" i="17" s="1"/>
  <c r="CC16" i="17"/>
  <c r="CA16" i="17"/>
  <c r="CA26" i="17" s="1"/>
  <c r="BY16" i="17"/>
  <c r="BW16" i="17"/>
  <c r="BU16" i="17"/>
  <c r="BS16" i="17"/>
  <c r="BQ16" i="17"/>
  <c r="BO16" i="17"/>
  <c r="BO26" i="17" s="1"/>
  <c r="BM16" i="17"/>
  <c r="BK16" i="17"/>
  <c r="BB16" i="17"/>
  <c r="BB26" i="17" s="1"/>
  <c r="AZ16" i="17"/>
  <c r="AZ26" i="17" s="1"/>
  <c r="AX16" i="17"/>
  <c r="AV16" i="17"/>
  <c r="AT16" i="17"/>
  <c r="AR16" i="17"/>
  <c r="AR26" i="17" s="1"/>
  <c r="AP16" i="17"/>
  <c r="AN16" i="17"/>
  <c r="AL16" i="17"/>
  <c r="AJ16" i="17"/>
  <c r="AJ26" i="17" s="1"/>
  <c r="AH16" i="17"/>
  <c r="AF16" i="17"/>
  <c r="AD16" i="17"/>
  <c r="AB16" i="17"/>
  <c r="Z16" i="17"/>
  <c r="X16" i="17"/>
  <c r="V16" i="17"/>
  <c r="V26" i="17" s="1"/>
  <c r="T16" i="17"/>
  <c r="R16" i="17"/>
  <c r="P16" i="17"/>
  <c r="P26" i="17" s="1"/>
  <c r="N16" i="17"/>
  <c r="L16" i="17"/>
  <c r="J16" i="17"/>
  <c r="H16" i="17"/>
  <c r="H26" i="17" s="1"/>
  <c r="DM68" i="17"/>
  <c r="BJ68" i="17"/>
  <c r="FU26" i="17"/>
  <c r="FR26" i="17"/>
  <c r="FH26" i="17"/>
  <c r="FF26" i="17"/>
  <c r="EZ26" i="17"/>
  <c r="EX26" i="17"/>
  <c r="EV26" i="17"/>
  <c r="ER26" i="17"/>
  <c r="EL26" i="17"/>
  <c r="EJ26" i="17"/>
  <c r="EF26" i="17"/>
  <c r="ED26" i="17"/>
  <c r="DT26" i="17"/>
  <c r="DP26" i="17"/>
  <c r="DN26" i="17"/>
  <c r="DE26" i="17"/>
  <c r="CY26" i="17"/>
  <c r="CW26" i="17"/>
  <c r="CU26" i="17"/>
  <c r="CS26" i="17"/>
  <c r="CQ26" i="17"/>
  <c r="CO26" i="17"/>
  <c r="CM26" i="17"/>
  <c r="CG26" i="17"/>
  <c r="CC26" i="17"/>
  <c r="BY26" i="17"/>
  <c r="BW26" i="17"/>
  <c r="BS26" i="17"/>
  <c r="BQ26" i="17"/>
  <c r="BM26" i="17"/>
  <c r="BK26" i="17"/>
  <c r="AV26" i="17"/>
  <c r="AT26" i="17"/>
  <c r="AP26" i="17"/>
  <c r="AL26" i="17"/>
  <c r="AF26" i="17"/>
  <c r="AD26" i="17"/>
  <c r="AB26" i="17"/>
  <c r="Z26" i="17"/>
  <c r="X26" i="17"/>
  <c r="T26" i="17"/>
  <c r="N26" i="17"/>
  <c r="L26" i="17"/>
  <c r="J26" i="17"/>
  <c r="FU14" i="17"/>
  <c r="FR14" i="17"/>
  <c r="FH14" i="17"/>
  <c r="FF14" i="17"/>
  <c r="FD14" i="17"/>
  <c r="FB14" i="17"/>
  <c r="EZ14" i="17"/>
  <c r="EX14" i="17"/>
  <c r="EV14" i="17"/>
  <c r="ET14" i="17"/>
  <c r="ER14" i="17"/>
  <c r="EP14" i="17"/>
  <c r="EN14" i="17"/>
  <c r="EL14" i="17"/>
  <c r="EJ14" i="17"/>
  <c r="EH14" i="17"/>
  <c r="EF14" i="17"/>
  <c r="ED14" i="17"/>
  <c r="EB14" i="17"/>
  <c r="DZ14" i="17"/>
  <c r="DX14" i="17"/>
  <c r="DV14" i="17"/>
  <c r="DT14" i="17"/>
  <c r="DR14" i="17"/>
  <c r="DP14" i="17"/>
  <c r="DN14" i="17"/>
  <c r="DE14" i="17"/>
  <c r="DC14" i="17"/>
  <c r="DA14" i="17"/>
  <c r="CY14" i="17"/>
  <c r="CW14" i="17"/>
  <c r="CU14" i="17"/>
  <c r="CS14" i="17"/>
  <c r="CQ14" i="17"/>
  <c r="CO14" i="17"/>
  <c r="CM14" i="17"/>
  <c r="CK14" i="17"/>
  <c r="CI14" i="17"/>
  <c r="CG14" i="17"/>
  <c r="CE14" i="17"/>
  <c r="CC14" i="17"/>
  <c r="CA14" i="17"/>
  <c r="BY14" i="17"/>
  <c r="BW14" i="17"/>
  <c r="BU14" i="17"/>
  <c r="BS14" i="17"/>
  <c r="BQ14" i="17"/>
  <c r="BO14" i="17"/>
  <c r="BM14" i="17"/>
  <c r="BK14" i="17"/>
  <c r="BB14" i="17"/>
  <c r="AZ14" i="17"/>
  <c r="AX14" i="17"/>
  <c r="AV14" i="17"/>
  <c r="AT14" i="17"/>
  <c r="AR14" i="17"/>
  <c r="AP14" i="17"/>
  <c r="AN14" i="17"/>
  <c r="AL14" i="17"/>
  <c r="AJ14" i="17"/>
  <c r="AH14" i="17"/>
  <c r="AF14" i="17"/>
  <c r="AD14" i="17"/>
  <c r="AB14" i="17"/>
  <c r="Z14" i="17"/>
  <c r="X14" i="17"/>
  <c r="V14" i="17"/>
  <c r="T14" i="17"/>
  <c r="R14" i="17"/>
  <c r="P14" i="17"/>
  <c r="N14" i="17"/>
  <c r="L14" i="17"/>
  <c r="J14" i="17"/>
  <c r="H14" i="17"/>
  <c r="FE1" i="17"/>
  <c r="DB1" i="17"/>
  <c r="FU20" i="16"/>
  <c r="FR20" i="16"/>
  <c r="FH20"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U19" i="16"/>
  <c r="FR19" i="16"/>
  <c r="FH19" i="16"/>
  <c r="FF19" i="16"/>
  <c r="FD19" i="16"/>
  <c r="FB19" i="16"/>
  <c r="EZ19" i="16"/>
  <c r="EX19" i="16"/>
  <c r="EV19" i="16"/>
  <c r="ET19" i="16"/>
  <c r="ER19" i="16"/>
  <c r="EP19" i="16"/>
  <c r="EN19" i="16"/>
  <c r="EL19" i="16"/>
  <c r="EJ19" i="16"/>
  <c r="EH19" i="16"/>
  <c r="EF19" i="16"/>
  <c r="ED19" i="16"/>
  <c r="EB19" i="16"/>
  <c r="DZ19" i="16"/>
  <c r="DX19" i="16"/>
  <c r="DV19" i="16"/>
  <c r="DT19" i="16"/>
  <c r="DR19" i="16"/>
  <c r="DP19" i="16"/>
  <c r="DN19" i="16"/>
  <c r="DE19" i="16"/>
  <c r="DC19" i="16"/>
  <c r="DA19" i="16"/>
  <c r="CY19" i="16"/>
  <c r="CW19" i="16"/>
  <c r="CU19" i="16"/>
  <c r="CS19" i="16"/>
  <c r="CQ19" i="16"/>
  <c r="CO19" i="16"/>
  <c r="CM19" i="16"/>
  <c r="CK19" i="16"/>
  <c r="CI19" i="16"/>
  <c r="CG19" i="16"/>
  <c r="CE19" i="16"/>
  <c r="CC19" i="16"/>
  <c r="CA19" i="16"/>
  <c r="BY19" i="16"/>
  <c r="BW19" i="16"/>
  <c r="BU19" i="16"/>
  <c r="BS19" i="16"/>
  <c r="BQ19" i="16"/>
  <c r="BO19" i="16"/>
  <c r="BM19" i="16"/>
  <c r="BK19" i="16"/>
  <c r="BB19" i="16"/>
  <c r="AZ19" i="16"/>
  <c r="AX19" i="16"/>
  <c r="AV19" i="16"/>
  <c r="AT19" i="16"/>
  <c r="AR19" i="16"/>
  <c r="AP19" i="16"/>
  <c r="AN19" i="16"/>
  <c r="AL19" i="16"/>
  <c r="AJ19" i="16"/>
  <c r="AH19" i="16"/>
  <c r="AF19" i="16"/>
  <c r="AD19" i="16"/>
  <c r="AB19" i="16"/>
  <c r="Z19" i="16"/>
  <c r="X19" i="16"/>
  <c r="V19" i="16"/>
  <c r="T19" i="16"/>
  <c r="R19" i="16"/>
  <c r="P19" i="16"/>
  <c r="N19" i="16"/>
  <c r="L19" i="16"/>
  <c r="J19" i="16"/>
  <c r="H19" i="16"/>
  <c r="FU18" i="16"/>
  <c r="FR18" i="16"/>
  <c r="FH18" i="16"/>
  <c r="FF18" i="16"/>
  <c r="FD18" i="16"/>
  <c r="FB18" i="16"/>
  <c r="EZ18" i="16"/>
  <c r="EX18" i="16"/>
  <c r="EV18" i="16"/>
  <c r="ET18" i="16"/>
  <c r="ER18" i="16"/>
  <c r="EP18" i="16"/>
  <c r="EN18" i="16"/>
  <c r="EL18" i="16"/>
  <c r="EJ18" i="16"/>
  <c r="EH18" i="16"/>
  <c r="EF18" i="16"/>
  <c r="ED18" i="16"/>
  <c r="EB18" i="16"/>
  <c r="DZ18" i="16"/>
  <c r="DX18" i="16"/>
  <c r="DV18" i="16"/>
  <c r="DT18" i="16"/>
  <c r="DR18" i="16"/>
  <c r="DP18" i="16"/>
  <c r="DN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B18" i="16"/>
  <c r="AZ18" i="16"/>
  <c r="AX18" i="16"/>
  <c r="AV18" i="16"/>
  <c r="AT18" i="16"/>
  <c r="AR18" i="16"/>
  <c r="AP18" i="16"/>
  <c r="AN18" i="16"/>
  <c r="AL18" i="16"/>
  <c r="AJ18" i="16"/>
  <c r="AH18" i="16"/>
  <c r="AF18" i="16"/>
  <c r="AD18" i="16"/>
  <c r="AB18" i="16"/>
  <c r="Z18" i="16"/>
  <c r="X18" i="16"/>
  <c r="V18" i="16"/>
  <c r="T18" i="16"/>
  <c r="R18" i="16"/>
  <c r="P18" i="16"/>
  <c r="N18" i="16"/>
  <c r="L18" i="16"/>
  <c r="J18" i="16"/>
  <c r="H18" i="16"/>
  <c r="FU17" i="16"/>
  <c r="FR17" i="16"/>
  <c r="FH17" i="16"/>
  <c r="FF17" i="16"/>
  <c r="FD17" i="16"/>
  <c r="FB17" i="16"/>
  <c r="EZ17" i="16"/>
  <c r="EX17" i="16"/>
  <c r="EV17" i="16"/>
  <c r="ET17" i="16"/>
  <c r="ER17" i="16"/>
  <c r="EP17" i="16"/>
  <c r="EN17" i="16"/>
  <c r="EL17" i="16"/>
  <c r="EJ17" i="16"/>
  <c r="EH17" i="16"/>
  <c r="EF17" i="16"/>
  <c r="ED17" i="16"/>
  <c r="EB17" i="16"/>
  <c r="DZ17" i="16"/>
  <c r="DX17" i="16"/>
  <c r="DV17" i="16"/>
  <c r="DT17" i="16"/>
  <c r="DR17" i="16"/>
  <c r="DP17" i="16"/>
  <c r="DN17" i="16"/>
  <c r="DE17" i="16"/>
  <c r="DC17" i="16"/>
  <c r="DA17" i="16"/>
  <c r="CY17" i="16"/>
  <c r="CW17" i="16"/>
  <c r="CU17" i="16"/>
  <c r="CS17" i="16"/>
  <c r="CQ17" i="16"/>
  <c r="CO17" i="16"/>
  <c r="CM17" i="16"/>
  <c r="CK17" i="16"/>
  <c r="CI17" i="16"/>
  <c r="CG17" i="16"/>
  <c r="CE17" i="16"/>
  <c r="CC17" i="16"/>
  <c r="CA17" i="16"/>
  <c r="BY17" i="16"/>
  <c r="BW17" i="16"/>
  <c r="BU17" i="16"/>
  <c r="BS17" i="16"/>
  <c r="BQ17" i="16"/>
  <c r="BO17" i="16"/>
  <c r="BM17" i="16"/>
  <c r="BK17" i="16"/>
  <c r="BB17" i="16"/>
  <c r="AZ17" i="16"/>
  <c r="AX17" i="16"/>
  <c r="AV17" i="16"/>
  <c r="AT17" i="16"/>
  <c r="AR17" i="16"/>
  <c r="AP17" i="16"/>
  <c r="AN17" i="16"/>
  <c r="AL17" i="16"/>
  <c r="AJ17" i="16"/>
  <c r="AH17" i="16"/>
  <c r="AF17" i="16"/>
  <c r="AD17" i="16"/>
  <c r="AB17" i="16"/>
  <c r="Z17" i="16"/>
  <c r="X17" i="16"/>
  <c r="V17" i="16"/>
  <c r="T17" i="16"/>
  <c r="R17" i="16"/>
  <c r="P17" i="16"/>
  <c r="N17" i="16"/>
  <c r="L17" i="16"/>
  <c r="J17" i="16"/>
  <c r="H17" i="16"/>
  <c r="FU16" i="16"/>
  <c r="FR16" i="16"/>
  <c r="FH16" i="16"/>
  <c r="FF16" i="16"/>
  <c r="FD16" i="16"/>
  <c r="FB16" i="16"/>
  <c r="EZ16" i="16"/>
  <c r="EX16" i="16"/>
  <c r="EV16" i="16"/>
  <c r="ET16" i="16"/>
  <c r="ER16" i="16"/>
  <c r="EP16" i="16"/>
  <c r="EN16" i="16"/>
  <c r="EL16" i="16"/>
  <c r="EJ16" i="16"/>
  <c r="EH16" i="16"/>
  <c r="EF16" i="16"/>
  <c r="ED16" i="16"/>
  <c r="EB16" i="16"/>
  <c r="DZ16" i="16"/>
  <c r="DX16" i="16"/>
  <c r="DV16" i="16"/>
  <c r="DT16" i="16"/>
  <c r="DR16" i="16"/>
  <c r="DP16" i="16"/>
  <c r="DN16" i="16"/>
  <c r="DE16" i="16"/>
  <c r="DC16" i="16"/>
  <c r="DA16" i="16"/>
  <c r="CY16" i="16"/>
  <c r="CW16" i="16"/>
  <c r="CU16" i="16"/>
  <c r="CS16" i="16"/>
  <c r="CQ16" i="16"/>
  <c r="CO16" i="16"/>
  <c r="CM16" i="16"/>
  <c r="CK16" i="16"/>
  <c r="CI16" i="16"/>
  <c r="CG16" i="16"/>
  <c r="CE16" i="16"/>
  <c r="CC16" i="16"/>
  <c r="CA16" i="16"/>
  <c r="BY16" i="16"/>
  <c r="BW16" i="16"/>
  <c r="BU16" i="16"/>
  <c r="BS16" i="16"/>
  <c r="BQ16" i="16"/>
  <c r="BO16" i="16"/>
  <c r="BM16" i="16"/>
  <c r="BK16" i="16"/>
  <c r="BB16" i="16"/>
  <c r="AZ16" i="16"/>
  <c r="AX16" i="16"/>
  <c r="AV16" i="16"/>
  <c r="AT16" i="16"/>
  <c r="AR16" i="16"/>
  <c r="AP16" i="16"/>
  <c r="AN16" i="16"/>
  <c r="AL16" i="16"/>
  <c r="AJ16" i="16"/>
  <c r="AH16" i="16"/>
  <c r="AF16" i="16"/>
  <c r="AD16" i="16"/>
  <c r="AB16" i="16"/>
  <c r="Z16" i="16"/>
  <c r="X16" i="16"/>
  <c r="V16" i="16"/>
  <c r="T16" i="16"/>
  <c r="R16" i="16"/>
  <c r="P16" i="16"/>
  <c r="N16" i="16"/>
  <c r="L16" i="16"/>
  <c r="J16" i="16"/>
  <c r="H16" i="16"/>
  <c r="DM68" i="16"/>
  <c r="BJ68" i="16"/>
  <c r="FU26" i="16"/>
  <c r="FR26" i="16"/>
  <c r="FH26" i="16"/>
  <c r="FF26" i="16"/>
  <c r="FD26" i="16"/>
  <c r="FB26" i="16"/>
  <c r="EZ26" i="16"/>
  <c r="EX26" i="16"/>
  <c r="EV26" i="16"/>
  <c r="ET26" i="16"/>
  <c r="ER26" i="16"/>
  <c r="EP26" i="16"/>
  <c r="EN26" i="16"/>
  <c r="EL26" i="16"/>
  <c r="EJ26" i="16"/>
  <c r="EH26" i="16"/>
  <c r="EF26" i="16"/>
  <c r="ED26" i="16"/>
  <c r="EB26" i="16"/>
  <c r="DZ26" i="16"/>
  <c r="DX26" i="16"/>
  <c r="DV26" i="16"/>
  <c r="DT26" i="16"/>
  <c r="DR26" i="16"/>
  <c r="DP26" i="16"/>
  <c r="DN26" i="16"/>
  <c r="DE26" i="16"/>
  <c r="DC26" i="16"/>
  <c r="DA26" i="16"/>
  <c r="CY26" i="16"/>
  <c r="CW26" i="16"/>
  <c r="CU26" i="16"/>
  <c r="CS26" i="16"/>
  <c r="CQ26" i="16"/>
  <c r="CO26" i="16"/>
  <c r="CM26" i="16"/>
  <c r="CK26" i="16"/>
  <c r="CI26" i="16"/>
  <c r="CG26" i="16"/>
  <c r="CE26" i="16"/>
  <c r="CC26" i="16"/>
  <c r="CA26" i="16"/>
  <c r="BY26" i="16"/>
  <c r="BW26" i="16"/>
  <c r="BU26" i="16"/>
  <c r="BS26" i="16"/>
  <c r="BQ26" i="16"/>
  <c r="BO26" i="16"/>
  <c r="BM26" i="16"/>
  <c r="BK26" i="16"/>
  <c r="BB26" i="16"/>
  <c r="AZ26" i="16"/>
  <c r="AX26" i="16"/>
  <c r="AV26" i="16"/>
  <c r="AT26" i="16"/>
  <c r="AR26" i="16"/>
  <c r="AP26" i="16"/>
  <c r="AN26" i="16"/>
  <c r="AL26" i="16"/>
  <c r="AJ26" i="16"/>
  <c r="AH26" i="16"/>
  <c r="AF26" i="16"/>
  <c r="AD26" i="16"/>
  <c r="AB26" i="16"/>
  <c r="Z26" i="16"/>
  <c r="X26" i="16"/>
  <c r="V26" i="16"/>
  <c r="T26" i="16"/>
  <c r="R26" i="16"/>
  <c r="P26" i="16"/>
  <c r="N26" i="16"/>
  <c r="L26" i="16"/>
  <c r="J26" i="16"/>
  <c r="H26" i="16"/>
  <c r="FU14" i="16"/>
  <c r="FR14" i="16"/>
  <c r="FH14"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E1" i="16"/>
  <c r="DB1" i="16"/>
  <c r="FU19" i="15"/>
  <c r="FR19" i="15"/>
  <c r="FH19" i="15"/>
  <c r="FF19" i="15"/>
  <c r="FD19" i="15"/>
  <c r="FB19" i="15"/>
  <c r="EZ19" i="15"/>
  <c r="EX19" i="15"/>
  <c r="EV19" i="15"/>
  <c r="ET19" i="15"/>
  <c r="ER19" i="15"/>
  <c r="EP19" i="15"/>
  <c r="EN19" i="15"/>
  <c r="EL19" i="15"/>
  <c r="EJ19" i="15"/>
  <c r="EH19" i="15"/>
  <c r="EF19" i="15"/>
  <c r="ED19" i="15"/>
  <c r="EB19" i="15"/>
  <c r="DZ19" i="15"/>
  <c r="DX19" i="15"/>
  <c r="DV19" i="15"/>
  <c r="DT19" i="15"/>
  <c r="DR19" i="15"/>
  <c r="DP19" i="15"/>
  <c r="DN19" i="15"/>
  <c r="DE19" i="15"/>
  <c r="DC19" i="15"/>
  <c r="DA19" i="15"/>
  <c r="CY19" i="15"/>
  <c r="CW19" i="15"/>
  <c r="CU19" i="15"/>
  <c r="CS19" i="15"/>
  <c r="CQ19" i="15"/>
  <c r="CO19" i="15"/>
  <c r="CM19" i="15"/>
  <c r="CK19" i="15"/>
  <c r="CI19" i="15"/>
  <c r="CG19" i="15"/>
  <c r="CE19" i="15"/>
  <c r="CC19" i="15"/>
  <c r="CA19" i="15"/>
  <c r="BY19" i="15"/>
  <c r="BW19" i="15"/>
  <c r="BU19" i="15"/>
  <c r="BS19" i="15"/>
  <c r="BQ19" i="15"/>
  <c r="BO19" i="15"/>
  <c r="BM19" i="15"/>
  <c r="BK19" i="15"/>
  <c r="BB19" i="15"/>
  <c r="AZ19" i="15"/>
  <c r="AX19" i="15"/>
  <c r="AV19" i="15"/>
  <c r="AT19" i="15"/>
  <c r="AR19" i="15"/>
  <c r="AP19" i="15"/>
  <c r="AN19" i="15"/>
  <c r="AL19" i="15"/>
  <c r="AJ19" i="15"/>
  <c r="AH19" i="15"/>
  <c r="AF19" i="15"/>
  <c r="AD19" i="15"/>
  <c r="AB19" i="15"/>
  <c r="Z19" i="15"/>
  <c r="X19" i="15"/>
  <c r="V19" i="15"/>
  <c r="T19" i="15"/>
  <c r="R19" i="15"/>
  <c r="P19" i="15"/>
  <c r="N19" i="15"/>
  <c r="L19" i="15"/>
  <c r="J19" i="15"/>
  <c r="H19" i="15"/>
  <c r="FU18" i="15"/>
  <c r="FR18" i="15"/>
  <c r="FH18" i="15"/>
  <c r="FF18" i="15"/>
  <c r="FD18" i="15"/>
  <c r="FB18" i="15"/>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W18" i="15"/>
  <c r="CU18" i="15"/>
  <c r="CS18" i="15"/>
  <c r="CQ18" i="15"/>
  <c r="CO18" i="15"/>
  <c r="CM18" i="15"/>
  <c r="CK18" i="15"/>
  <c r="CI18" i="15"/>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D18" i="15"/>
  <c r="AB18" i="15"/>
  <c r="Z18" i="15"/>
  <c r="X18" i="15"/>
  <c r="V18" i="15"/>
  <c r="T18" i="15"/>
  <c r="R18" i="15"/>
  <c r="P18" i="15"/>
  <c r="N18" i="15"/>
  <c r="L18" i="15"/>
  <c r="J18" i="15"/>
  <c r="H18" i="15"/>
  <c r="FU17" i="15"/>
  <c r="FR17" i="15"/>
  <c r="FH17" i="15"/>
  <c r="FF17" i="15"/>
  <c r="FF26" i="15" s="1"/>
  <c r="FD17" i="15"/>
  <c r="FB17" i="15"/>
  <c r="EZ17" i="15"/>
  <c r="EX17" i="15"/>
  <c r="EV17" i="15"/>
  <c r="ET17" i="15"/>
  <c r="ER17" i="15"/>
  <c r="EP17" i="15"/>
  <c r="EP26" i="15" s="1"/>
  <c r="EN17" i="15"/>
  <c r="EL17" i="15"/>
  <c r="EJ17" i="15"/>
  <c r="EH17" i="15"/>
  <c r="EF17" i="15"/>
  <c r="ED17" i="15"/>
  <c r="EB17" i="15"/>
  <c r="DZ17" i="15"/>
  <c r="DZ26" i="15" s="1"/>
  <c r="DX17" i="15"/>
  <c r="DV17" i="15"/>
  <c r="DT17" i="15"/>
  <c r="DR17" i="15"/>
  <c r="DP17" i="15"/>
  <c r="DN17" i="15"/>
  <c r="DE17" i="15"/>
  <c r="DC17" i="15"/>
  <c r="DC26" i="15" s="1"/>
  <c r="DA17" i="15"/>
  <c r="CY17" i="15"/>
  <c r="CW17" i="15"/>
  <c r="CU17" i="15"/>
  <c r="CS17" i="15"/>
  <c r="CQ17" i="15"/>
  <c r="CO17" i="15"/>
  <c r="CM17" i="15"/>
  <c r="CM26" i="15" s="1"/>
  <c r="CK17" i="15"/>
  <c r="CI17" i="15"/>
  <c r="CG17" i="15"/>
  <c r="CE17" i="15"/>
  <c r="CC17" i="15"/>
  <c r="CA17" i="15"/>
  <c r="BY17" i="15"/>
  <c r="BW17" i="15"/>
  <c r="BW26" i="15" s="1"/>
  <c r="BU17" i="15"/>
  <c r="BS17" i="15"/>
  <c r="BQ17" i="15"/>
  <c r="BO17" i="15"/>
  <c r="BM17" i="15"/>
  <c r="BK17" i="15"/>
  <c r="BB17" i="15"/>
  <c r="AZ17" i="15"/>
  <c r="AZ26" i="15" s="1"/>
  <c r="AX17" i="15"/>
  <c r="AV17" i="15"/>
  <c r="AT17" i="15"/>
  <c r="AR17" i="15"/>
  <c r="AP17" i="15"/>
  <c r="AN17" i="15"/>
  <c r="AL17" i="15"/>
  <c r="AJ17" i="15"/>
  <c r="AJ26" i="15" s="1"/>
  <c r="AH17" i="15"/>
  <c r="AF17" i="15"/>
  <c r="AD17" i="15"/>
  <c r="AB17" i="15"/>
  <c r="Z17" i="15"/>
  <c r="X17" i="15"/>
  <c r="V17" i="15"/>
  <c r="T17" i="15"/>
  <c r="T26" i="15" s="1"/>
  <c r="R17" i="15"/>
  <c r="P17" i="15"/>
  <c r="N17" i="15"/>
  <c r="L17" i="15"/>
  <c r="J17" i="15"/>
  <c r="H17" i="15"/>
  <c r="FU16" i="15"/>
  <c r="FR16" i="15"/>
  <c r="FR26" i="15" s="1"/>
  <c r="FH16" i="15"/>
  <c r="FF16" i="15"/>
  <c r="FD16" i="15"/>
  <c r="FB16" i="15"/>
  <c r="FB26" i="15" s="1"/>
  <c r="EZ16" i="15"/>
  <c r="EX16" i="15"/>
  <c r="EV16" i="15"/>
  <c r="ET16" i="15"/>
  <c r="ET26" i="15" s="1"/>
  <c r="ER16" i="15"/>
  <c r="EP16" i="15"/>
  <c r="EN16" i="15"/>
  <c r="EL16" i="15"/>
  <c r="EJ16" i="15"/>
  <c r="EH16" i="15"/>
  <c r="EF16" i="15"/>
  <c r="ED16" i="15"/>
  <c r="ED26" i="15" s="1"/>
  <c r="EB16" i="15"/>
  <c r="EB26" i="15" s="1"/>
  <c r="DZ16" i="15"/>
  <c r="DX16" i="15"/>
  <c r="DV16" i="15"/>
  <c r="DT16" i="15"/>
  <c r="DR16" i="15"/>
  <c r="DP16" i="15"/>
  <c r="DP26" i="15" s="1"/>
  <c r="DN16" i="15"/>
  <c r="DN26" i="15" s="1"/>
  <c r="DE16" i="15"/>
  <c r="DC16" i="15"/>
  <c r="DA16" i="15"/>
  <c r="CY16" i="15"/>
  <c r="CW16" i="15"/>
  <c r="CW26" i="15" s="1"/>
  <c r="CU16" i="15"/>
  <c r="CS16" i="15"/>
  <c r="CQ16" i="15"/>
  <c r="CQ26" i="15" s="1"/>
  <c r="CO16" i="15"/>
  <c r="CM16" i="15"/>
  <c r="CK16" i="15"/>
  <c r="CI16" i="15"/>
  <c r="CI26" i="15" s="1"/>
  <c r="CG16" i="15"/>
  <c r="CE16" i="15"/>
  <c r="CC16" i="15"/>
  <c r="CA16" i="15"/>
  <c r="CA26" i="15" s="1"/>
  <c r="BY16" i="15"/>
  <c r="BW16" i="15"/>
  <c r="BU16" i="15"/>
  <c r="BU26" i="15" s="1"/>
  <c r="BS16" i="15"/>
  <c r="BQ16" i="15"/>
  <c r="BO16" i="15"/>
  <c r="BM16" i="15"/>
  <c r="BK16" i="15"/>
  <c r="BK26" i="15" s="1"/>
  <c r="BB16" i="15"/>
  <c r="BB26" i="15" s="1"/>
  <c r="AZ16" i="15"/>
  <c r="AX16" i="15"/>
  <c r="AV16" i="15"/>
  <c r="AT16" i="15"/>
  <c r="AR16" i="15"/>
  <c r="AP16" i="15"/>
  <c r="AP26" i="15" s="1"/>
  <c r="AN16" i="15"/>
  <c r="AN26" i="15" s="1"/>
  <c r="AL16" i="15"/>
  <c r="AJ16" i="15"/>
  <c r="AH16" i="15"/>
  <c r="AF16" i="15"/>
  <c r="AD16" i="15"/>
  <c r="AD26" i="15" s="1"/>
  <c r="AB16" i="15"/>
  <c r="Z16" i="15"/>
  <c r="X16" i="15"/>
  <c r="X26" i="15" s="1"/>
  <c r="V16" i="15"/>
  <c r="T16" i="15"/>
  <c r="R16" i="15"/>
  <c r="P16" i="15"/>
  <c r="P26" i="15" s="1"/>
  <c r="N16" i="15"/>
  <c r="L16" i="15"/>
  <c r="J16" i="15"/>
  <c r="H16" i="15"/>
  <c r="H26" i="15" s="1"/>
  <c r="DM68" i="15"/>
  <c r="BJ68" i="15"/>
  <c r="FU26" i="15"/>
  <c r="FH26" i="15"/>
  <c r="FD26" i="15"/>
  <c r="EZ26" i="15"/>
  <c r="EV26" i="15"/>
  <c r="ER26" i="15"/>
  <c r="EN26" i="15"/>
  <c r="EL26" i="15"/>
  <c r="EJ26" i="15"/>
  <c r="EF26" i="15"/>
  <c r="DX26" i="15"/>
  <c r="DV26" i="15"/>
  <c r="DT26" i="15"/>
  <c r="DE26" i="15"/>
  <c r="DA26" i="15"/>
  <c r="CY26" i="15"/>
  <c r="CS26" i="15"/>
  <c r="CO26" i="15"/>
  <c r="CK26" i="15"/>
  <c r="CG26" i="15"/>
  <c r="CC26" i="15"/>
  <c r="BY26" i="15"/>
  <c r="BS26" i="15"/>
  <c r="BQ26" i="15"/>
  <c r="BM26" i="15"/>
  <c r="AX26" i="15"/>
  <c r="AV26" i="15"/>
  <c r="AT26" i="15"/>
  <c r="AL26" i="15"/>
  <c r="AH26" i="15"/>
  <c r="AF26" i="15"/>
  <c r="Z26" i="15"/>
  <c r="V26" i="15"/>
  <c r="R26" i="15"/>
  <c r="N26" i="15"/>
  <c r="J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22" i="14"/>
  <c r="FR22" i="14"/>
  <c r="FH22" i="14"/>
  <c r="FF22" i="14"/>
  <c r="FD22" i="14"/>
  <c r="FB22" i="14"/>
  <c r="EZ22" i="14"/>
  <c r="EX22" i="14"/>
  <c r="EV22" i="14"/>
  <c r="ET22" i="14"/>
  <c r="ER22" i="14"/>
  <c r="EP22" i="14"/>
  <c r="EN22" i="14"/>
  <c r="EL22" i="14"/>
  <c r="EJ22" i="14"/>
  <c r="EH22" i="14"/>
  <c r="EF22" i="14"/>
  <c r="ED22" i="14"/>
  <c r="EB22" i="14"/>
  <c r="DZ22" i="14"/>
  <c r="DX22" i="14"/>
  <c r="DV22" i="14"/>
  <c r="DT22" i="14"/>
  <c r="DR22" i="14"/>
  <c r="DP22" i="14"/>
  <c r="DN22" i="14"/>
  <c r="DE22" i="14"/>
  <c r="DC22" i="14"/>
  <c r="DA22" i="14"/>
  <c r="CY22" i="14"/>
  <c r="CW22" i="14"/>
  <c r="CU22" i="14"/>
  <c r="CS22" i="14"/>
  <c r="CQ22" i="14"/>
  <c r="CO22" i="14"/>
  <c r="CM22" i="14"/>
  <c r="CK22" i="14"/>
  <c r="CI22" i="14"/>
  <c r="CG22" i="14"/>
  <c r="CE22" i="14"/>
  <c r="CC22" i="14"/>
  <c r="CA22" i="14"/>
  <c r="BY22" i="14"/>
  <c r="BW22" i="14"/>
  <c r="BU22" i="14"/>
  <c r="BS22" i="14"/>
  <c r="BQ22" i="14"/>
  <c r="BO22" i="14"/>
  <c r="BM22" i="14"/>
  <c r="BK22" i="14"/>
  <c r="BB22" i="14"/>
  <c r="AZ22" i="14"/>
  <c r="AX22" i="14"/>
  <c r="AV22" i="14"/>
  <c r="AT22" i="14"/>
  <c r="AR22" i="14"/>
  <c r="AP22" i="14"/>
  <c r="AN22" i="14"/>
  <c r="AL22" i="14"/>
  <c r="AJ22" i="14"/>
  <c r="AH22" i="14"/>
  <c r="AF22" i="14"/>
  <c r="AD22" i="14"/>
  <c r="AB22" i="14"/>
  <c r="Z22" i="14"/>
  <c r="X22" i="14"/>
  <c r="V22" i="14"/>
  <c r="T22" i="14"/>
  <c r="R22" i="14"/>
  <c r="P22" i="14"/>
  <c r="N22" i="14"/>
  <c r="L22" i="14"/>
  <c r="J22" i="14"/>
  <c r="H22" i="14"/>
  <c r="FU21" i="14"/>
  <c r="FR21" i="14"/>
  <c r="FH21" i="14"/>
  <c r="FF21" i="14"/>
  <c r="FD21" i="14"/>
  <c r="FB21" i="14"/>
  <c r="EZ21" i="14"/>
  <c r="EX21" i="14"/>
  <c r="EV21" i="14"/>
  <c r="ET21" i="14"/>
  <c r="ER21" i="14"/>
  <c r="EP21" i="14"/>
  <c r="EN21" i="14"/>
  <c r="EL21" i="14"/>
  <c r="EJ21" i="14"/>
  <c r="EH21" i="14"/>
  <c r="EF21" i="14"/>
  <c r="ED21" i="14"/>
  <c r="EB21" i="14"/>
  <c r="DZ21" i="14"/>
  <c r="DX21" i="14"/>
  <c r="DV21" i="14"/>
  <c r="DT21" i="14"/>
  <c r="DR21" i="14"/>
  <c r="DP21" i="14"/>
  <c r="DN21" i="14"/>
  <c r="DE21" i="14"/>
  <c r="DC21" i="14"/>
  <c r="DA21" i="14"/>
  <c r="CY21" i="14"/>
  <c r="CW21" i="14"/>
  <c r="CU21" i="14"/>
  <c r="CS21" i="14"/>
  <c r="CQ21" i="14"/>
  <c r="CO21" i="14"/>
  <c r="CM21" i="14"/>
  <c r="CK21" i="14"/>
  <c r="CI21" i="14"/>
  <c r="CG21" i="14"/>
  <c r="CE21" i="14"/>
  <c r="CC21" i="14"/>
  <c r="CA21" i="14"/>
  <c r="BY21" i="14"/>
  <c r="BW21" i="14"/>
  <c r="BU21" i="14"/>
  <c r="BS21" i="14"/>
  <c r="BQ21" i="14"/>
  <c r="BO21" i="14"/>
  <c r="BM21" i="14"/>
  <c r="BK21" i="14"/>
  <c r="BB21" i="14"/>
  <c r="AZ21" i="14"/>
  <c r="AX21" i="14"/>
  <c r="AV21" i="14"/>
  <c r="AT21" i="14"/>
  <c r="AR21" i="14"/>
  <c r="AP21" i="14"/>
  <c r="AN21" i="14"/>
  <c r="AL21" i="14"/>
  <c r="AJ21" i="14"/>
  <c r="AH21" i="14"/>
  <c r="AF21" i="14"/>
  <c r="AD21" i="14"/>
  <c r="AB21" i="14"/>
  <c r="Z21" i="14"/>
  <c r="X21" i="14"/>
  <c r="V21" i="14"/>
  <c r="T21" i="14"/>
  <c r="R21" i="14"/>
  <c r="P21" i="14"/>
  <c r="N21" i="14"/>
  <c r="L21" i="14"/>
  <c r="J21" i="14"/>
  <c r="H21" i="14"/>
  <c r="FU20" i="14"/>
  <c r="FR20" i="14"/>
  <c r="FH20" i="14"/>
  <c r="FF20" i="14"/>
  <c r="FD20" i="14"/>
  <c r="FB20" i="14"/>
  <c r="EZ20" i="14"/>
  <c r="EX20" i="14"/>
  <c r="EV20" i="14"/>
  <c r="ET20" i="14"/>
  <c r="ER20" i="14"/>
  <c r="EP20" i="14"/>
  <c r="EN20" i="14"/>
  <c r="EL20" i="14"/>
  <c r="EJ20" i="14"/>
  <c r="EH20" i="14"/>
  <c r="EF20" i="14"/>
  <c r="ED20" i="14"/>
  <c r="EB20" i="14"/>
  <c r="DZ20" i="14"/>
  <c r="DX20" i="14"/>
  <c r="DV20" i="14"/>
  <c r="DT20" i="14"/>
  <c r="DR20" i="14"/>
  <c r="DP20" i="14"/>
  <c r="DN20" i="14"/>
  <c r="DE20" i="14"/>
  <c r="DC20" i="14"/>
  <c r="DA20" i="14"/>
  <c r="CY20" i="14"/>
  <c r="CW20" i="14"/>
  <c r="CU20" i="14"/>
  <c r="CS20" i="14"/>
  <c r="CQ20" i="14"/>
  <c r="CO20" i="14"/>
  <c r="CM20" i="14"/>
  <c r="CK20" i="14"/>
  <c r="CI20" i="14"/>
  <c r="CG20" i="14"/>
  <c r="CE20" i="14"/>
  <c r="CC20" i="14"/>
  <c r="CA20" i="14"/>
  <c r="BY20" i="14"/>
  <c r="BW20" i="14"/>
  <c r="BU20" i="14"/>
  <c r="BS20" i="14"/>
  <c r="BQ20" i="14"/>
  <c r="BO20" i="14"/>
  <c r="BM20" i="14"/>
  <c r="BK20" i="14"/>
  <c r="BB20" i="14"/>
  <c r="AZ20" i="14"/>
  <c r="AX20" i="14"/>
  <c r="AV20" i="14"/>
  <c r="AT20" i="14"/>
  <c r="AR20" i="14"/>
  <c r="AP20" i="14"/>
  <c r="AN20" i="14"/>
  <c r="AL20" i="14"/>
  <c r="AJ20" i="14"/>
  <c r="AH20" i="14"/>
  <c r="AF20" i="14"/>
  <c r="AD20" i="14"/>
  <c r="AB20" i="14"/>
  <c r="Z20" i="14"/>
  <c r="X20" i="14"/>
  <c r="V20" i="14"/>
  <c r="T20" i="14"/>
  <c r="R20" i="14"/>
  <c r="P20" i="14"/>
  <c r="N20" i="14"/>
  <c r="L20" i="14"/>
  <c r="J20" i="14"/>
  <c r="H20" i="14"/>
  <c r="FU19" i="14"/>
  <c r="FR19" i="14"/>
  <c r="FH19" i="14"/>
  <c r="FF19" i="14"/>
  <c r="FD19" i="14"/>
  <c r="FB19" i="14"/>
  <c r="EZ19" i="14"/>
  <c r="EX19" i="14"/>
  <c r="EV19" i="14"/>
  <c r="ET19" i="14"/>
  <c r="ER19" i="14"/>
  <c r="EP19" i="14"/>
  <c r="EN19" i="14"/>
  <c r="EL19" i="14"/>
  <c r="EJ19" i="14"/>
  <c r="EH19" i="14"/>
  <c r="EF19" i="14"/>
  <c r="ED19" i="14"/>
  <c r="EB19" i="14"/>
  <c r="DZ19" i="14"/>
  <c r="DX19" i="14"/>
  <c r="DV19" i="14"/>
  <c r="DT19" i="14"/>
  <c r="DR19" i="14"/>
  <c r="DP19" i="14"/>
  <c r="DN19" i="14"/>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B19" i="14"/>
  <c r="AZ19" i="14"/>
  <c r="AX19" i="14"/>
  <c r="AV19" i="14"/>
  <c r="AT19" i="14"/>
  <c r="AR19" i="14"/>
  <c r="AP19" i="14"/>
  <c r="AN19" i="14"/>
  <c r="AL19" i="14"/>
  <c r="AJ19" i="14"/>
  <c r="AH19" i="14"/>
  <c r="AF19" i="14"/>
  <c r="AD19" i="14"/>
  <c r="AB19" i="14"/>
  <c r="Z19" i="14"/>
  <c r="X19" i="14"/>
  <c r="V19" i="14"/>
  <c r="T19" i="14"/>
  <c r="R19" i="14"/>
  <c r="P19" i="14"/>
  <c r="N19" i="14"/>
  <c r="L19" i="14"/>
  <c r="J19" i="14"/>
  <c r="H19" i="14"/>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B10" i="14"/>
  <c r="EZ10" i="14"/>
  <c r="EX10" i="14"/>
  <c r="EV10" i="14"/>
  <c r="ET10" i="14"/>
  <c r="ER10" i="14"/>
  <c r="EP10" i="14"/>
  <c r="EN10" i="14"/>
  <c r="EL10" i="14"/>
  <c r="EJ10" i="14"/>
  <c r="EH10" i="14"/>
  <c r="EF10" i="14"/>
  <c r="ED10" i="14"/>
  <c r="EB10" i="14"/>
  <c r="DZ10" i="14"/>
  <c r="DX10" i="14"/>
  <c r="DV10" i="14"/>
  <c r="DT10" i="14"/>
  <c r="DR10" i="14"/>
  <c r="DP10" i="14"/>
  <c r="DN10" i="14"/>
  <c r="DE10" i="14"/>
  <c r="DC10" i="14"/>
  <c r="DA10" i="14"/>
  <c r="CY10" i="14"/>
  <c r="CW10" i="14"/>
  <c r="CU10" i="14"/>
  <c r="CS10" i="14"/>
  <c r="CQ10" i="14"/>
  <c r="CO10" i="14"/>
  <c r="CM10" i="14"/>
  <c r="CK10" i="14"/>
  <c r="CI10" i="14"/>
  <c r="CG10" i="14"/>
  <c r="CE10" i="14"/>
  <c r="CC10" i="14"/>
  <c r="CA10" i="14"/>
  <c r="BY10" i="14"/>
  <c r="BW10" i="14"/>
  <c r="BU10" i="14"/>
  <c r="BS10" i="14"/>
  <c r="BQ10" i="14"/>
  <c r="BO10" i="14"/>
  <c r="BM10" i="14"/>
  <c r="BK10" i="14"/>
  <c r="BB10" i="14"/>
  <c r="AZ10" i="14"/>
  <c r="AX10" i="14"/>
  <c r="AV10" i="14"/>
  <c r="AT10" i="14"/>
  <c r="AR10" i="14"/>
  <c r="AP10" i="14"/>
  <c r="AN10" i="14"/>
  <c r="AL10" i="14"/>
  <c r="AJ10" i="14"/>
  <c r="AH10" i="14"/>
  <c r="AF10" i="14"/>
  <c r="AD10" i="14"/>
  <c r="AB10" i="14"/>
  <c r="Z10" i="14"/>
  <c r="X10" i="14"/>
  <c r="V10" i="14"/>
  <c r="T10" i="14"/>
  <c r="R10" i="14"/>
  <c r="P10" i="14"/>
  <c r="N10" i="14"/>
  <c r="L10" i="14"/>
  <c r="J10" i="14"/>
  <c r="H10" i="14"/>
  <c r="D10" i="14"/>
  <c r="FU17" i="14"/>
  <c r="FU26" i="14" s="1"/>
  <c r="FR17" i="14"/>
  <c r="FH17" i="14"/>
  <c r="FF17" i="14"/>
  <c r="FD17" i="14"/>
  <c r="FD26" i="14" s="1"/>
  <c r="FB17" i="14"/>
  <c r="EZ17" i="14"/>
  <c r="EX17" i="14"/>
  <c r="EV17" i="14"/>
  <c r="EV26" i="14" s="1"/>
  <c r="ET17" i="14"/>
  <c r="ER17" i="14"/>
  <c r="EP17" i="14"/>
  <c r="EN17" i="14"/>
  <c r="EN26" i="14" s="1"/>
  <c r="EL17" i="14"/>
  <c r="EJ17" i="14"/>
  <c r="EH17" i="14"/>
  <c r="EF17" i="14"/>
  <c r="EF26" i="14" s="1"/>
  <c r="ED17" i="14"/>
  <c r="EB17" i="14"/>
  <c r="DZ17" i="14"/>
  <c r="DX17" i="14"/>
  <c r="DX26" i="14" s="1"/>
  <c r="DV17" i="14"/>
  <c r="DT17" i="14"/>
  <c r="DR17" i="14"/>
  <c r="DP17" i="14"/>
  <c r="DP26" i="14" s="1"/>
  <c r="DN17" i="14"/>
  <c r="DE17" i="14"/>
  <c r="DC17" i="14"/>
  <c r="DA17" i="14"/>
  <c r="DA26" i="14" s="1"/>
  <c r="CY17" i="14"/>
  <c r="CW17" i="14"/>
  <c r="CU17" i="14"/>
  <c r="CS17" i="14"/>
  <c r="CS26" i="14" s="1"/>
  <c r="CQ17" i="14"/>
  <c r="CO17" i="14"/>
  <c r="CM17" i="14"/>
  <c r="CK17" i="14"/>
  <c r="CK26" i="14" s="1"/>
  <c r="CI17" i="14"/>
  <c r="CG17" i="14"/>
  <c r="CE17" i="14"/>
  <c r="CC17" i="14"/>
  <c r="CC26" i="14" s="1"/>
  <c r="CA17" i="14"/>
  <c r="BY17" i="14"/>
  <c r="BW17" i="14"/>
  <c r="BU17" i="14"/>
  <c r="BU26" i="14" s="1"/>
  <c r="BS17" i="14"/>
  <c r="BQ17" i="14"/>
  <c r="BO17" i="14"/>
  <c r="BM17" i="14"/>
  <c r="BM26" i="14" s="1"/>
  <c r="BK17" i="14"/>
  <c r="BB17" i="14"/>
  <c r="AZ17" i="14"/>
  <c r="AX17" i="14"/>
  <c r="AX26" i="14" s="1"/>
  <c r="AV17" i="14"/>
  <c r="AT17" i="14"/>
  <c r="AR17" i="14"/>
  <c r="AP17" i="14"/>
  <c r="AP26" i="14" s="1"/>
  <c r="AN17" i="14"/>
  <c r="AL17" i="14"/>
  <c r="AJ17" i="14"/>
  <c r="AH17" i="14"/>
  <c r="AH26" i="14" s="1"/>
  <c r="AF17" i="14"/>
  <c r="AD17" i="14"/>
  <c r="AB17" i="14"/>
  <c r="Z17" i="14"/>
  <c r="Z26" i="14" s="1"/>
  <c r="X17" i="14"/>
  <c r="V17" i="14"/>
  <c r="T17" i="14"/>
  <c r="R17" i="14"/>
  <c r="R26" i="14" s="1"/>
  <c r="P17" i="14"/>
  <c r="N17" i="14"/>
  <c r="L17" i="14"/>
  <c r="J17" i="14"/>
  <c r="J26" i="14" s="1"/>
  <c r="H17" i="14"/>
  <c r="FU16" i="14"/>
  <c r="FR16" i="14"/>
  <c r="FH16" i="14"/>
  <c r="FF16" i="14"/>
  <c r="FD16" i="14"/>
  <c r="FB16" i="14"/>
  <c r="EZ16" i="14"/>
  <c r="EX16" i="14"/>
  <c r="EV16" i="14"/>
  <c r="ET16" i="14"/>
  <c r="ER16" i="14"/>
  <c r="EP16" i="14"/>
  <c r="EN16" i="14"/>
  <c r="EL16" i="14"/>
  <c r="EJ16" i="14"/>
  <c r="EH16" i="14"/>
  <c r="EF16" i="14"/>
  <c r="ED16" i="14"/>
  <c r="EB16" i="14"/>
  <c r="DZ16" i="14"/>
  <c r="DX16" i="14"/>
  <c r="DV16" i="14"/>
  <c r="DT16" i="14"/>
  <c r="DR16" i="14"/>
  <c r="DP16" i="14"/>
  <c r="DN16" i="14"/>
  <c r="DE16" i="14"/>
  <c r="DC16" i="14"/>
  <c r="DA16" i="14"/>
  <c r="CY16" i="14"/>
  <c r="CW16" i="14"/>
  <c r="CU16" i="14"/>
  <c r="CS16" i="14"/>
  <c r="CQ16" i="14"/>
  <c r="CO16" i="14"/>
  <c r="CM16" i="14"/>
  <c r="CK16" i="14"/>
  <c r="CI16" i="14"/>
  <c r="CG16" i="14"/>
  <c r="CE16" i="14"/>
  <c r="CC16" i="14"/>
  <c r="CA16" i="14"/>
  <c r="BY16" i="14"/>
  <c r="BW16" i="14"/>
  <c r="BU16" i="14"/>
  <c r="BS16" i="14"/>
  <c r="BQ16" i="14"/>
  <c r="BO16" i="14"/>
  <c r="BM16" i="14"/>
  <c r="BK16" i="14"/>
  <c r="BB16" i="14"/>
  <c r="AZ16" i="14"/>
  <c r="AX16" i="14"/>
  <c r="AV16" i="14"/>
  <c r="AT16" i="14"/>
  <c r="AR16" i="14"/>
  <c r="AP16" i="14"/>
  <c r="AN16" i="14"/>
  <c r="AL16" i="14"/>
  <c r="AJ16" i="14"/>
  <c r="AH16" i="14"/>
  <c r="AF16" i="14"/>
  <c r="AD16" i="14"/>
  <c r="AB16" i="14"/>
  <c r="Z16" i="14"/>
  <c r="X16" i="14"/>
  <c r="V16" i="14"/>
  <c r="T16" i="14"/>
  <c r="R16" i="14"/>
  <c r="P16" i="14"/>
  <c r="N16" i="14"/>
  <c r="L16" i="14"/>
  <c r="J16" i="14"/>
  <c r="H16" i="14"/>
  <c r="DM68" i="14"/>
  <c r="BJ68" i="14"/>
  <c r="FR26" i="14"/>
  <c r="FH26" i="14"/>
  <c r="FF26" i="14"/>
  <c r="FB26" i="14"/>
  <c r="EZ26" i="14"/>
  <c r="EX26" i="14"/>
  <c r="ET26" i="14"/>
  <c r="ER26" i="14"/>
  <c r="EP26" i="14"/>
  <c r="EL26" i="14"/>
  <c r="EJ26" i="14"/>
  <c r="EH26" i="14"/>
  <c r="ED26" i="14"/>
  <c r="EB26" i="14"/>
  <c r="DZ26" i="14"/>
  <c r="DV26" i="14"/>
  <c r="DT26" i="14"/>
  <c r="DR26" i="14"/>
  <c r="DN26" i="14"/>
  <c r="DE26" i="14"/>
  <c r="DC26" i="14"/>
  <c r="CY26" i="14"/>
  <c r="CW26" i="14"/>
  <c r="CU26" i="14"/>
  <c r="CQ26" i="14"/>
  <c r="CO26" i="14"/>
  <c r="CM26" i="14"/>
  <c r="CI26" i="14"/>
  <c r="CG26" i="14"/>
  <c r="CE26" i="14"/>
  <c r="CA26" i="14"/>
  <c r="BY26" i="14"/>
  <c r="BW26" i="14"/>
  <c r="BS26" i="14"/>
  <c r="BQ26" i="14"/>
  <c r="BO26" i="14"/>
  <c r="BK26" i="14"/>
  <c r="BB26" i="14"/>
  <c r="AZ26" i="14"/>
  <c r="AV26" i="14"/>
  <c r="AT26" i="14"/>
  <c r="AR26" i="14"/>
  <c r="AN26" i="14"/>
  <c r="AL26" i="14"/>
  <c r="AJ26" i="14"/>
  <c r="AF26" i="14"/>
  <c r="AD26" i="14"/>
  <c r="AB26" i="14"/>
  <c r="X26" i="14"/>
  <c r="V26" i="14"/>
  <c r="T26" i="14"/>
  <c r="P26" i="14"/>
  <c r="N26" i="14"/>
  <c r="L26" i="14"/>
  <c r="H26" i="14"/>
  <c r="FU14" i="14"/>
  <c r="FR14" i="14"/>
  <c r="FH14" i="14"/>
  <c r="FF14" i="14"/>
  <c r="FD14" i="14"/>
  <c r="FB14" i="14"/>
  <c r="EZ14" i="14"/>
  <c r="EX14" i="14"/>
  <c r="EV14" i="14"/>
  <c r="ET14" i="14"/>
  <c r="ER14" i="14"/>
  <c r="EP14" i="14"/>
  <c r="EN14" i="14"/>
  <c r="EL14" i="14"/>
  <c r="EJ14" i="14"/>
  <c r="EH14" i="14"/>
  <c r="EF14" i="14"/>
  <c r="ED14" i="14"/>
  <c r="EB14" i="14"/>
  <c r="DZ14" i="14"/>
  <c r="DX14" i="14"/>
  <c r="DV14" i="14"/>
  <c r="DT14" i="14"/>
  <c r="DR14" i="14"/>
  <c r="DP14" i="14"/>
  <c r="DN14" i="14"/>
  <c r="DE14" i="14"/>
  <c r="DC14" i="14"/>
  <c r="DA14" i="14"/>
  <c r="CY14" i="14"/>
  <c r="CW14" i="14"/>
  <c r="CU14" i="14"/>
  <c r="CS14" i="14"/>
  <c r="CQ14" i="14"/>
  <c r="CO14" i="14"/>
  <c r="CM14" i="14"/>
  <c r="CK14" i="14"/>
  <c r="CI14" i="14"/>
  <c r="CG14" i="14"/>
  <c r="CE14" i="14"/>
  <c r="CC14" i="14"/>
  <c r="CA14" i="14"/>
  <c r="BY14" i="14"/>
  <c r="BW14" i="14"/>
  <c r="BU14" i="14"/>
  <c r="BS14" i="14"/>
  <c r="BQ14" i="14"/>
  <c r="BO14" i="14"/>
  <c r="BM14" i="14"/>
  <c r="BK14" i="14"/>
  <c r="BB14" i="14"/>
  <c r="AZ14" i="14"/>
  <c r="AX14" i="14"/>
  <c r="AV14" i="14"/>
  <c r="AT14" i="14"/>
  <c r="AR14" i="14"/>
  <c r="AP14" i="14"/>
  <c r="AN14" i="14"/>
  <c r="AL14" i="14"/>
  <c r="AJ14" i="14"/>
  <c r="AH14" i="14"/>
  <c r="AF14" i="14"/>
  <c r="AD14" i="14"/>
  <c r="AB14" i="14"/>
  <c r="Z14" i="14"/>
  <c r="X14" i="14"/>
  <c r="V14" i="14"/>
  <c r="T14" i="14"/>
  <c r="R14" i="14"/>
  <c r="P14" i="14"/>
  <c r="N14" i="14"/>
  <c r="L14" i="14"/>
  <c r="J14" i="14"/>
  <c r="H14" i="14"/>
  <c r="FE1" i="14"/>
  <c r="DB1" i="14"/>
  <c r="E67" i="7"/>
  <c r="G67" i="7" s="1"/>
  <c r="I67" i="7" s="1"/>
  <c r="K67" i="7" s="1"/>
  <c r="M67" i="7" s="1"/>
  <c r="C67" i="7"/>
  <c r="C66" i="7"/>
  <c r="E66" i="7" s="1"/>
  <c r="G66" i="7" s="1"/>
  <c r="I66" i="7" s="1"/>
  <c r="K66" i="7" s="1"/>
  <c r="M66" i="7" s="1"/>
  <c r="E65" i="7"/>
  <c r="G65" i="7" s="1"/>
  <c r="I65" i="7" s="1"/>
  <c r="K65" i="7" s="1"/>
  <c r="M65" i="7" s="1"/>
  <c r="C65" i="7"/>
  <c r="C64" i="7"/>
  <c r="E64" i="7" s="1"/>
  <c r="G64" i="7" s="1"/>
  <c r="I64" i="7" s="1"/>
  <c r="K64" i="7" s="1"/>
  <c r="M64" i="7" s="1"/>
  <c r="E63" i="7"/>
  <c r="G63" i="7" s="1"/>
  <c r="I63" i="7" s="1"/>
  <c r="K63" i="7" s="1"/>
  <c r="M63" i="7" s="1"/>
  <c r="C63" i="7"/>
  <c r="C62" i="7"/>
  <c r="E62" i="7" s="1"/>
  <c r="G62" i="7" s="1"/>
  <c r="I62" i="7" s="1"/>
  <c r="K62" i="7" s="1"/>
  <c r="M62" i="7" s="1"/>
  <c r="E61" i="7"/>
  <c r="G61" i="7" s="1"/>
  <c r="I61" i="7" s="1"/>
  <c r="K61" i="7" s="1"/>
  <c r="M61" i="7" s="1"/>
  <c r="C61" i="7"/>
  <c r="C60" i="7"/>
  <c r="E60" i="7" s="1"/>
  <c r="G60" i="7" s="1"/>
  <c r="I60" i="7" s="1"/>
  <c r="K60" i="7" s="1"/>
  <c r="M60" i="7" s="1"/>
  <c r="E59" i="7"/>
  <c r="G59" i="7" s="1"/>
  <c r="I59" i="7" s="1"/>
  <c r="K59" i="7" s="1"/>
  <c r="M59" i="7" s="1"/>
  <c r="C59" i="7"/>
  <c r="C58" i="7"/>
  <c r="E58" i="7" s="1"/>
  <c r="G58" i="7" s="1"/>
  <c r="I58" i="7" s="1"/>
  <c r="K58" i="7" s="1"/>
  <c r="M58" i="7" s="1"/>
  <c r="E57" i="7"/>
  <c r="G57" i="7" s="1"/>
  <c r="I57" i="7" s="1"/>
  <c r="K57" i="7" s="1"/>
  <c r="M57" i="7" s="1"/>
  <c r="C57" i="7"/>
  <c r="C56" i="7"/>
  <c r="E56" i="7" s="1"/>
  <c r="G56" i="7" s="1"/>
  <c r="I56" i="7" s="1"/>
  <c r="K56" i="7" s="1"/>
  <c r="M56" i="7" s="1"/>
  <c r="E55" i="7"/>
  <c r="G55" i="7" s="1"/>
  <c r="I55" i="7" s="1"/>
  <c r="K55" i="7" s="1"/>
  <c r="M55" i="7" s="1"/>
  <c r="C55" i="7"/>
  <c r="C54" i="7"/>
  <c r="E54" i="7" s="1"/>
  <c r="G54" i="7" s="1"/>
  <c r="I54" i="7" s="1"/>
  <c r="K54" i="7" s="1"/>
  <c r="M54" i="7" s="1"/>
  <c r="E53" i="7"/>
  <c r="G53" i="7" s="1"/>
  <c r="I53" i="7" s="1"/>
  <c r="K53" i="7" s="1"/>
  <c r="M53" i="7" s="1"/>
  <c r="C53" i="7"/>
  <c r="C52" i="7"/>
  <c r="E52" i="7" s="1"/>
  <c r="G52" i="7" s="1"/>
  <c r="I52" i="7" s="1"/>
  <c r="K52" i="7" s="1"/>
  <c r="M52" i="7" s="1"/>
  <c r="E51" i="7"/>
  <c r="G51" i="7" s="1"/>
  <c r="I51" i="7" s="1"/>
  <c r="K51" i="7" s="1"/>
  <c r="M51" i="7" s="1"/>
  <c r="C51" i="7"/>
  <c r="C50" i="7"/>
  <c r="E50" i="7" s="1"/>
  <c r="G50" i="7" s="1"/>
  <c r="I50" i="7" s="1"/>
  <c r="K50" i="7" s="1"/>
  <c r="M50" i="7" s="1"/>
  <c r="E49" i="7"/>
  <c r="G49" i="7" s="1"/>
  <c r="I49" i="7" s="1"/>
  <c r="K49" i="7" s="1"/>
  <c r="M49" i="7" s="1"/>
  <c r="C49" i="7"/>
  <c r="C48" i="7"/>
  <c r="E48" i="7" s="1"/>
  <c r="G48" i="7" s="1"/>
  <c r="I48" i="7" s="1"/>
  <c r="K48" i="7" s="1"/>
  <c r="M48" i="7" s="1"/>
  <c r="E47" i="7"/>
  <c r="G47" i="7" s="1"/>
  <c r="I47" i="7" s="1"/>
  <c r="K47" i="7" s="1"/>
  <c r="M47" i="7" s="1"/>
  <c r="C47" i="7"/>
  <c r="C46" i="7"/>
  <c r="E46" i="7" s="1"/>
  <c r="G46" i="7" s="1"/>
  <c r="I46" i="7" s="1"/>
  <c r="K46" i="7" s="1"/>
  <c r="M46" i="7" s="1"/>
  <c r="E45" i="7"/>
  <c r="G45" i="7" s="1"/>
  <c r="I45" i="7" s="1"/>
  <c r="K45" i="7" s="1"/>
  <c r="M45" i="7" s="1"/>
  <c r="C45" i="7"/>
  <c r="C44" i="7"/>
  <c r="E44" i="7" s="1"/>
  <c r="G44" i="7" s="1"/>
  <c r="I44" i="7" s="1"/>
  <c r="K44" i="7" s="1"/>
  <c r="M44" i="7" s="1"/>
  <c r="E67" i="6"/>
  <c r="G67" i="6" s="1"/>
  <c r="I67" i="6" s="1"/>
  <c r="K67" i="6" s="1"/>
  <c r="M67" i="6" s="1"/>
  <c r="C67" i="6"/>
  <c r="C66" i="6"/>
  <c r="E66" i="6" s="1"/>
  <c r="G66" i="6" s="1"/>
  <c r="I66" i="6" s="1"/>
  <c r="K66" i="6" s="1"/>
  <c r="M66" i="6" s="1"/>
  <c r="E65" i="6"/>
  <c r="G65" i="6" s="1"/>
  <c r="I65" i="6" s="1"/>
  <c r="K65" i="6" s="1"/>
  <c r="M65" i="6" s="1"/>
  <c r="C65" i="6"/>
  <c r="I64" i="6"/>
  <c r="K64" i="6" s="1"/>
  <c r="M64" i="6" s="1"/>
  <c r="C64" i="6"/>
  <c r="E64" i="6" s="1"/>
  <c r="G64" i="6" s="1"/>
  <c r="E63" i="6"/>
  <c r="G63" i="6" s="1"/>
  <c r="I63" i="6" s="1"/>
  <c r="K63" i="6" s="1"/>
  <c r="M63" i="6" s="1"/>
  <c r="C63" i="6"/>
  <c r="C62" i="6"/>
  <c r="E62" i="6" s="1"/>
  <c r="G62" i="6" s="1"/>
  <c r="I62" i="6" s="1"/>
  <c r="K62" i="6" s="1"/>
  <c r="M62" i="6" s="1"/>
  <c r="E61" i="6"/>
  <c r="G61" i="6" s="1"/>
  <c r="I61" i="6" s="1"/>
  <c r="K61" i="6" s="1"/>
  <c r="M61" i="6" s="1"/>
  <c r="C61" i="6"/>
  <c r="C60" i="6"/>
  <c r="E60" i="6" s="1"/>
  <c r="G60" i="6" s="1"/>
  <c r="I60" i="6" s="1"/>
  <c r="K60" i="6" s="1"/>
  <c r="M60" i="6" s="1"/>
  <c r="M59" i="6"/>
  <c r="E59" i="6"/>
  <c r="G59" i="6" s="1"/>
  <c r="I59" i="6" s="1"/>
  <c r="K59" i="6" s="1"/>
  <c r="C59" i="6"/>
  <c r="C58" i="6"/>
  <c r="E58" i="6" s="1"/>
  <c r="G58" i="6" s="1"/>
  <c r="I58" i="6" s="1"/>
  <c r="K58" i="6" s="1"/>
  <c r="M58" i="6" s="1"/>
  <c r="E57" i="6"/>
  <c r="G57" i="6" s="1"/>
  <c r="I57" i="6" s="1"/>
  <c r="K57" i="6" s="1"/>
  <c r="M57" i="6" s="1"/>
  <c r="C57" i="6"/>
  <c r="I56" i="6"/>
  <c r="K56" i="6" s="1"/>
  <c r="M56" i="6" s="1"/>
  <c r="C56" i="6"/>
  <c r="E56" i="6" s="1"/>
  <c r="G56" i="6" s="1"/>
  <c r="E55" i="6"/>
  <c r="G55" i="6" s="1"/>
  <c r="I55" i="6" s="1"/>
  <c r="K55" i="6" s="1"/>
  <c r="M55" i="6" s="1"/>
  <c r="C55" i="6"/>
  <c r="C54" i="6"/>
  <c r="E54" i="6" s="1"/>
  <c r="G54" i="6" s="1"/>
  <c r="I54" i="6" s="1"/>
  <c r="K54" i="6" s="1"/>
  <c r="M54" i="6" s="1"/>
  <c r="E53" i="6"/>
  <c r="G53" i="6" s="1"/>
  <c r="I53" i="6" s="1"/>
  <c r="K53" i="6" s="1"/>
  <c r="M53" i="6" s="1"/>
  <c r="C53" i="6"/>
  <c r="C52" i="6"/>
  <c r="E52" i="6" s="1"/>
  <c r="G52" i="6" s="1"/>
  <c r="I52" i="6" s="1"/>
  <c r="K52" i="6" s="1"/>
  <c r="M52" i="6" s="1"/>
  <c r="M51" i="6"/>
  <c r="E51" i="6"/>
  <c r="G51" i="6" s="1"/>
  <c r="I51" i="6" s="1"/>
  <c r="K51" i="6" s="1"/>
  <c r="C51" i="6"/>
  <c r="C50" i="6"/>
  <c r="E50" i="6" s="1"/>
  <c r="G50" i="6" s="1"/>
  <c r="I50" i="6" s="1"/>
  <c r="K50" i="6" s="1"/>
  <c r="M50" i="6" s="1"/>
  <c r="C49" i="6"/>
  <c r="E49" i="6" s="1"/>
  <c r="G49" i="6" s="1"/>
  <c r="I49" i="6" s="1"/>
  <c r="K49" i="6" s="1"/>
  <c r="M49" i="6" s="1"/>
  <c r="C48" i="6"/>
  <c r="E48" i="6" s="1"/>
  <c r="G48" i="6" s="1"/>
  <c r="I48" i="6" s="1"/>
  <c r="K48" i="6" s="1"/>
  <c r="M48" i="6" s="1"/>
  <c r="C47" i="6"/>
  <c r="E47" i="6" s="1"/>
  <c r="G47" i="6" s="1"/>
  <c r="I47" i="6" s="1"/>
  <c r="K47" i="6" s="1"/>
  <c r="M47" i="6" s="1"/>
  <c r="C46" i="6"/>
  <c r="E46" i="6" s="1"/>
  <c r="G46" i="6" s="1"/>
  <c r="I46" i="6" s="1"/>
  <c r="K46" i="6" s="1"/>
  <c r="M46" i="6" s="1"/>
  <c r="E45" i="6"/>
  <c r="G45" i="6" s="1"/>
  <c r="I45" i="6" s="1"/>
  <c r="K45" i="6" s="1"/>
  <c r="M45" i="6" s="1"/>
  <c r="C45" i="6"/>
  <c r="G44" i="6"/>
  <c r="I44" i="6" s="1"/>
  <c r="K44" i="6" s="1"/>
  <c r="M44" i="6" s="1"/>
  <c r="C44" i="6"/>
  <c r="E44" i="6" s="1"/>
  <c r="C67" i="5"/>
  <c r="E67" i="5" s="1"/>
  <c r="G67" i="5" s="1"/>
  <c r="I67" i="5" s="1"/>
  <c r="K67" i="5" s="1"/>
  <c r="M67" i="5" s="1"/>
  <c r="C66" i="5"/>
  <c r="E66" i="5" s="1"/>
  <c r="G66" i="5" s="1"/>
  <c r="I66" i="5" s="1"/>
  <c r="K66" i="5" s="1"/>
  <c r="M66" i="5" s="1"/>
  <c r="C65" i="5"/>
  <c r="E65" i="5" s="1"/>
  <c r="G65" i="5" s="1"/>
  <c r="I65" i="5" s="1"/>
  <c r="K65" i="5" s="1"/>
  <c r="M65" i="5" s="1"/>
  <c r="C64" i="5"/>
  <c r="E64" i="5" s="1"/>
  <c r="G64" i="5" s="1"/>
  <c r="I64" i="5" s="1"/>
  <c r="K64" i="5" s="1"/>
  <c r="M64" i="5" s="1"/>
  <c r="C63" i="5"/>
  <c r="E63" i="5" s="1"/>
  <c r="G63" i="5" s="1"/>
  <c r="I63" i="5" s="1"/>
  <c r="K63" i="5" s="1"/>
  <c r="M63" i="5" s="1"/>
  <c r="C62" i="5"/>
  <c r="E62" i="5" s="1"/>
  <c r="G62" i="5" s="1"/>
  <c r="I62" i="5" s="1"/>
  <c r="K62" i="5" s="1"/>
  <c r="M62" i="5" s="1"/>
  <c r="E61" i="5"/>
  <c r="G61" i="5" s="1"/>
  <c r="I61" i="5" s="1"/>
  <c r="K61" i="5" s="1"/>
  <c r="M61" i="5" s="1"/>
  <c r="C61" i="5"/>
  <c r="G60" i="5"/>
  <c r="I60" i="5" s="1"/>
  <c r="K60" i="5" s="1"/>
  <c r="M60" i="5" s="1"/>
  <c r="C60" i="5"/>
  <c r="E60" i="5" s="1"/>
  <c r="C59" i="5"/>
  <c r="E59" i="5" s="1"/>
  <c r="G59" i="5" s="1"/>
  <c r="I59" i="5" s="1"/>
  <c r="K59" i="5" s="1"/>
  <c r="M59" i="5" s="1"/>
  <c r="C58" i="5"/>
  <c r="E58" i="5" s="1"/>
  <c r="G58" i="5" s="1"/>
  <c r="I58" i="5" s="1"/>
  <c r="K58" i="5" s="1"/>
  <c r="M58" i="5" s="1"/>
  <c r="C57" i="5"/>
  <c r="E57" i="5" s="1"/>
  <c r="G57" i="5" s="1"/>
  <c r="I57" i="5" s="1"/>
  <c r="K57" i="5" s="1"/>
  <c r="M57" i="5" s="1"/>
  <c r="C56" i="5"/>
  <c r="E56" i="5" s="1"/>
  <c r="G56" i="5" s="1"/>
  <c r="I56" i="5" s="1"/>
  <c r="K56" i="5" s="1"/>
  <c r="M56" i="5" s="1"/>
  <c r="C55" i="5"/>
  <c r="E55" i="5" s="1"/>
  <c r="G55" i="5" s="1"/>
  <c r="I55" i="5" s="1"/>
  <c r="K55" i="5" s="1"/>
  <c r="M55" i="5" s="1"/>
  <c r="C54" i="5"/>
  <c r="E54" i="5" s="1"/>
  <c r="G54" i="5" s="1"/>
  <c r="I54" i="5" s="1"/>
  <c r="K54" i="5" s="1"/>
  <c r="M54" i="5" s="1"/>
  <c r="E53" i="5"/>
  <c r="G53" i="5" s="1"/>
  <c r="I53" i="5" s="1"/>
  <c r="K53" i="5" s="1"/>
  <c r="M53" i="5" s="1"/>
  <c r="C53" i="5"/>
  <c r="G52" i="5"/>
  <c r="I52" i="5" s="1"/>
  <c r="K52" i="5" s="1"/>
  <c r="M52" i="5" s="1"/>
  <c r="C52" i="5"/>
  <c r="E52" i="5" s="1"/>
  <c r="C51" i="5"/>
  <c r="E51" i="5" s="1"/>
  <c r="G51" i="5" s="1"/>
  <c r="I51" i="5" s="1"/>
  <c r="K51" i="5" s="1"/>
  <c r="M51" i="5" s="1"/>
  <c r="C50" i="5"/>
  <c r="E50" i="5" s="1"/>
  <c r="G50" i="5" s="1"/>
  <c r="I50" i="5" s="1"/>
  <c r="K50" i="5" s="1"/>
  <c r="M50" i="5" s="1"/>
  <c r="C49" i="5"/>
  <c r="E49" i="5" s="1"/>
  <c r="G49" i="5" s="1"/>
  <c r="I49" i="5" s="1"/>
  <c r="K49" i="5" s="1"/>
  <c r="M49" i="5" s="1"/>
  <c r="C48" i="5"/>
  <c r="E48" i="5" s="1"/>
  <c r="G48" i="5" s="1"/>
  <c r="I48" i="5" s="1"/>
  <c r="K48" i="5" s="1"/>
  <c r="M48" i="5" s="1"/>
  <c r="C47" i="5"/>
  <c r="E47" i="5" s="1"/>
  <c r="G47" i="5" s="1"/>
  <c r="I47" i="5" s="1"/>
  <c r="K47" i="5" s="1"/>
  <c r="M47" i="5" s="1"/>
  <c r="C46" i="5"/>
  <c r="E46" i="5" s="1"/>
  <c r="G46" i="5" s="1"/>
  <c r="I46" i="5" s="1"/>
  <c r="K46" i="5" s="1"/>
  <c r="M46" i="5" s="1"/>
  <c r="E45" i="5"/>
  <c r="G45" i="5" s="1"/>
  <c r="I45" i="5" s="1"/>
  <c r="K45" i="5" s="1"/>
  <c r="M45" i="5" s="1"/>
  <c r="C45" i="5"/>
  <c r="G44" i="5"/>
  <c r="I44" i="5" s="1"/>
  <c r="K44" i="5" s="1"/>
  <c r="M44" i="5" s="1"/>
  <c r="C44" i="5"/>
  <c r="E44" i="5" s="1"/>
  <c r="C67" i="4"/>
  <c r="E67" i="4" s="1"/>
  <c r="G67" i="4" s="1"/>
  <c r="I67" i="4" s="1"/>
  <c r="K67" i="4" s="1"/>
  <c r="M67" i="4" s="1"/>
  <c r="C66" i="4"/>
  <c r="E66" i="4" s="1"/>
  <c r="G66" i="4" s="1"/>
  <c r="I66" i="4" s="1"/>
  <c r="K66" i="4" s="1"/>
  <c r="M66" i="4" s="1"/>
  <c r="C65" i="4"/>
  <c r="E65" i="4" s="1"/>
  <c r="G65" i="4" s="1"/>
  <c r="I65" i="4" s="1"/>
  <c r="K65" i="4" s="1"/>
  <c r="M65" i="4" s="1"/>
  <c r="C64" i="4"/>
  <c r="E64" i="4" s="1"/>
  <c r="G64" i="4" s="1"/>
  <c r="I64" i="4" s="1"/>
  <c r="K64" i="4" s="1"/>
  <c r="M64" i="4" s="1"/>
  <c r="C63" i="4"/>
  <c r="E63" i="4" s="1"/>
  <c r="G63" i="4" s="1"/>
  <c r="I63" i="4" s="1"/>
  <c r="K63" i="4" s="1"/>
  <c r="M63" i="4" s="1"/>
  <c r="C62" i="4"/>
  <c r="E62" i="4" s="1"/>
  <c r="G62" i="4" s="1"/>
  <c r="I62" i="4" s="1"/>
  <c r="K62" i="4" s="1"/>
  <c r="M62" i="4" s="1"/>
  <c r="E61" i="4"/>
  <c r="G61" i="4" s="1"/>
  <c r="I61" i="4" s="1"/>
  <c r="K61" i="4" s="1"/>
  <c r="M61" i="4" s="1"/>
  <c r="C61" i="4"/>
  <c r="G60" i="4"/>
  <c r="I60" i="4" s="1"/>
  <c r="K60" i="4" s="1"/>
  <c r="M60" i="4" s="1"/>
  <c r="C60" i="4"/>
  <c r="E60" i="4" s="1"/>
  <c r="C59" i="4"/>
  <c r="E59" i="4" s="1"/>
  <c r="G59" i="4" s="1"/>
  <c r="I59" i="4" s="1"/>
  <c r="K59" i="4" s="1"/>
  <c r="M59" i="4" s="1"/>
  <c r="C58" i="4"/>
  <c r="E58" i="4" s="1"/>
  <c r="G58" i="4" s="1"/>
  <c r="I58" i="4" s="1"/>
  <c r="K58" i="4" s="1"/>
  <c r="M58" i="4" s="1"/>
  <c r="C57" i="4"/>
  <c r="E57" i="4" s="1"/>
  <c r="G57" i="4" s="1"/>
  <c r="I57" i="4" s="1"/>
  <c r="K57" i="4" s="1"/>
  <c r="M57" i="4" s="1"/>
  <c r="C56" i="4"/>
  <c r="E56" i="4" s="1"/>
  <c r="G56" i="4" s="1"/>
  <c r="I56" i="4" s="1"/>
  <c r="K56" i="4" s="1"/>
  <c r="M56" i="4" s="1"/>
  <c r="E55" i="4"/>
  <c r="G55" i="4" s="1"/>
  <c r="I55" i="4" s="1"/>
  <c r="K55" i="4" s="1"/>
  <c r="M55" i="4" s="1"/>
  <c r="C55" i="4"/>
  <c r="C54" i="4"/>
  <c r="E54" i="4" s="1"/>
  <c r="G54" i="4" s="1"/>
  <c r="I54" i="4" s="1"/>
  <c r="K54" i="4" s="1"/>
  <c r="M54" i="4" s="1"/>
  <c r="C53" i="4"/>
  <c r="E53" i="4" s="1"/>
  <c r="G53" i="4" s="1"/>
  <c r="I53" i="4" s="1"/>
  <c r="K53" i="4" s="1"/>
  <c r="M53" i="4" s="1"/>
  <c r="C52" i="4"/>
  <c r="E52" i="4" s="1"/>
  <c r="G52" i="4" s="1"/>
  <c r="I52" i="4" s="1"/>
  <c r="K52" i="4" s="1"/>
  <c r="M52" i="4" s="1"/>
  <c r="C51" i="4"/>
  <c r="E51" i="4" s="1"/>
  <c r="G51" i="4" s="1"/>
  <c r="I51" i="4" s="1"/>
  <c r="K51" i="4" s="1"/>
  <c r="M51" i="4" s="1"/>
  <c r="C50" i="4"/>
  <c r="E50" i="4" s="1"/>
  <c r="G50" i="4" s="1"/>
  <c r="I50" i="4" s="1"/>
  <c r="K50" i="4" s="1"/>
  <c r="M50" i="4" s="1"/>
  <c r="C49" i="4"/>
  <c r="E49" i="4" s="1"/>
  <c r="G49" i="4" s="1"/>
  <c r="I49" i="4" s="1"/>
  <c r="K49" i="4" s="1"/>
  <c r="M49" i="4" s="1"/>
  <c r="C48" i="4"/>
  <c r="E48" i="4" s="1"/>
  <c r="G48" i="4" s="1"/>
  <c r="I48" i="4" s="1"/>
  <c r="K48" i="4" s="1"/>
  <c r="M48" i="4" s="1"/>
  <c r="C47" i="4"/>
  <c r="E47" i="4" s="1"/>
  <c r="G47" i="4" s="1"/>
  <c r="I47" i="4" s="1"/>
  <c r="K47" i="4" s="1"/>
  <c r="M47" i="4" s="1"/>
  <c r="C46" i="4"/>
  <c r="E46" i="4" s="1"/>
  <c r="G46" i="4" s="1"/>
  <c r="I46" i="4" s="1"/>
  <c r="K46" i="4" s="1"/>
  <c r="M46" i="4" s="1"/>
  <c r="C45" i="4"/>
  <c r="E45" i="4" s="1"/>
  <c r="G45" i="4" s="1"/>
  <c r="I45" i="4" s="1"/>
  <c r="K45" i="4" s="1"/>
  <c r="M45" i="4" s="1"/>
  <c r="C44" i="4"/>
  <c r="E44" i="4" s="1"/>
  <c r="G44" i="4" s="1"/>
  <c r="I44" i="4" s="1"/>
  <c r="K44" i="4" s="1"/>
  <c r="M44" i="4" s="1"/>
  <c r="L26" i="15" l="1"/>
  <c r="AB26" i="15"/>
  <c r="AR26" i="15"/>
  <c r="BO26" i="15"/>
  <c r="CE26" i="15"/>
  <c r="CU26" i="15"/>
  <c r="DR26" i="15"/>
  <c r="EH26" i="15"/>
  <c r="EX26" i="15"/>
  <c r="CK26" i="17"/>
  <c r="DA26" i="17"/>
  <c r="DX26" i="17"/>
  <c r="EN26" i="17"/>
  <c r="FD26" i="17"/>
  <c r="GA54" i="17" l="1"/>
  <c r="GE54" i="17"/>
  <c r="FY54" i="17"/>
  <c r="FY54" i="16"/>
  <c r="GA54" i="16"/>
  <c r="GE54" i="15"/>
  <c r="GC54" i="17" l="1"/>
  <c r="FW54" i="17"/>
  <c r="GC54" i="16"/>
  <c r="FW54" i="16"/>
  <c r="GE54" i="16"/>
  <c r="GA54" i="15"/>
  <c r="FY54" i="15"/>
  <c r="GE54" i="14"/>
  <c r="FW54" i="15" l="1"/>
  <c r="GC54" i="15"/>
  <c r="GA54" i="14"/>
  <c r="FY54" i="14"/>
  <c r="FW54" i="14" l="1"/>
  <c r="GC54" i="14"/>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乾球温度：26.99[℃]
相対湿度：51[％]
比エンタルピ：56.5[kJ/kg]
絶対湿度：0.0115[kg/kg]
湿球温度：19.8[℃]</t>
        </r>
      </text>
    </comment>
    <comment ref="N7" authorId="0" shapeId="0">
      <text>
        <r>
          <rPr>
            <sz val="9"/>
            <color indexed="81"/>
            <rFont val="Meiryo UI"/>
            <family val="3"/>
            <charset val="128"/>
          </rPr>
          <t>乾球温度：15.14[℃]
相対湿度：95[％]
比エンタルピ：41.1[kJ/kg]
絶対湿度：0.0102[kg/kg]
湿球温度：14.6[℃]</t>
        </r>
      </text>
    </comment>
    <comment ref="N8" authorId="0" shapeId="0">
      <text>
        <r>
          <rPr>
            <sz val="9"/>
            <color indexed="81"/>
            <rFont val="Meiryo UI"/>
            <family val="3"/>
            <charset val="128"/>
          </rPr>
          <t>乾球温度：15.83[℃]
相対湿度：91[％]
比エンタルピ：41.8[kJ/kg]
絶対湿度：0.0102[kg/kg]
湿球温度：14.9[℃]</t>
        </r>
      </text>
    </comment>
    <comment ref="N9" authorId="0" shapeId="0">
      <text>
        <r>
          <rPr>
            <sz val="9"/>
            <color indexed="81"/>
            <rFont val="Meiryo UI"/>
            <family val="3"/>
            <charset val="128"/>
          </rPr>
          <t>乾球温度：17.91[℃]
相対湿度：80[％]
比エンタルピ：44.0[kJ/kg]
絶対湿度：0.0102[kg/kg]
湿球温度：15.7[℃]</t>
        </r>
      </text>
    </comment>
    <comment ref="N14" authorId="0" shapeId="0">
      <text>
        <r>
          <rPr>
            <sz val="9"/>
            <color indexed="81"/>
            <rFont val="Meiryo UI"/>
            <family val="3"/>
            <charset val="128"/>
          </rPr>
          <t>乾球温度：25.99[℃]
相対湿度：50[％]
比エンタルピ：52.8[kJ/kg]
絶対湿度：0.0104[kg/kg]
湿球温度：18.6[℃]</t>
        </r>
      </text>
    </comment>
    <comment ref="N16" authorId="0" shapeId="0">
      <text>
        <r>
          <rPr>
            <sz val="9"/>
            <color indexed="81"/>
            <rFont val="Meiryo UI"/>
            <family val="3"/>
            <charset val="128"/>
          </rPr>
          <t>乾球温度：2.00[℃]
相対湿度：32[％]
比エンタルピ：5.5[kJ/kg]
絶対湿度：0.0014[kg/kg]
湿球温度：-2.6[℃]</t>
        </r>
      </text>
    </comment>
    <comment ref="N17" authorId="0" shapeId="0">
      <text>
        <r>
          <rPr>
            <sz val="9"/>
            <color indexed="81"/>
            <rFont val="Meiryo UI"/>
            <family val="3"/>
            <charset val="128"/>
          </rPr>
          <t>乾球温度：19.19[℃]
相対湿度：43[％]
比エンタルピ：34.3[kJ/kg]
絶対湿度：0.0059[kg/kg]
湿球温度：12.2[℃]</t>
        </r>
      </text>
    </comment>
    <comment ref="N19" authorId="0" shapeId="0">
      <text>
        <r>
          <rPr>
            <sz val="9"/>
            <color indexed="81"/>
            <rFont val="Meiryo UI"/>
            <family val="3"/>
            <charset val="128"/>
          </rPr>
          <t>乾球温度：17.55[℃]
相対湿度：53[％]
比エンタルピ：34.4[kJ/kg]
絶対湿度：0.0066[kg/kg]
湿球温度：12.2[℃]</t>
        </r>
      </text>
    </comment>
    <comment ref="N20" authorId="0" shapeId="0">
      <text>
        <r>
          <rPr>
            <sz val="9"/>
            <color indexed="81"/>
            <rFont val="Meiryo UI"/>
            <family val="3"/>
            <charset val="128"/>
          </rPr>
          <t>乾球温度：30.12[℃]
相対湿度：25[％]
比エンタルピ：47.2[kJ/kg]
絶対湿度：0.0066[kg/kg]
湿球温度：16.8[℃]</t>
        </r>
      </text>
    </comment>
    <comment ref="N23" authorId="0" shapeId="0">
      <text>
        <r>
          <rPr>
            <sz val="9"/>
            <color indexed="81"/>
            <rFont val="Meiryo UI"/>
            <family val="3"/>
            <charset val="128"/>
          </rPr>
          <t>乾球温度：21.76[℃]
相対湿度：41[％]
比エンタルピ：38.6[kJ/kg]
絶対湿度：0.0066[kg/kg]
湿球温度：13.8[℃]</t>
        </r>
      </text>
    </comment>
  </commentList>
</comments>
</file>

<file path=xl/sharedStrings.xml><?xml version="1.0" encoding="utf-8"?>
<sst xmlns="http://schemas.openxmlformats.org/spreadsheetml/2006/main" count="9885" uniqueCount="846">
  <si>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</si>
  <si>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</si>
  <si>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</si>
  <si>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9"/>
  </si>
  <si>
    <t>地点情報</t>
    <rPh sb="0" eb="2">
      <t>チテン</t>
    </rPh>
    <rPh sb="2" eb="4">
      <t>ジョウホウ</t>
    </rPh>
    <phoneticPr fontId="12"/>
  </si>
  <si>
    <t>斜面（壁面）方位角</t>
    <rPh sb="0" eb="2">
      <t>シャメン</t>
    </rPh>
    <rPh sb="3" eb="5">
      <t>ヘキメン</t>
    </rPh>
    <rPh sb="6" eb="8">
      <t>ホウイ</t>
    </rPh>
    <rPh sb="8" eb="9">
      <t>カク</t>
    </rPh>
    <phoneticPr fontId="12"/>
  </si>
  <si>
    <t>地点名称</t>
    <rPh sb="0" eb="2">
      <t>チテン</t>
    </rPh>
    <rPh sb="2" eb="4">
      <t>メイショウ</t>
    </rPh>
    <phoneticPr fontId="12"/>
  </si>
  <si>
    <t>緯度[°]</t>
    <rPh sb="0" eb="2">
      <t>イド</t>
    </rPh>
    <phoneticPr fontId="12"/>
  </si>
  <si>
    <t>経度[°]</t>
    <rPh sb="0" eb="2">
      <t>ケイド</t>
    </rPh>
    <phoneticPr fontId="12"/>
  </si>
  <si>
    <t>標準子午線経度[°]</t>
    <rPh sb="0" eb="2">
      <t>ヒョウジュン</t>
    </rPh>
    <rPh sb="2" eb="5">
      <t>シゴセン</t>
    </rPh>
    <rPh sb="5" eb="7">
      <t>ケイド</t>
    </rPh>
    <phoneticPr fontId="12"/>
  </si>
  <si>
    <t>斜面方位表示</t>
    <rPh sb="0" eb="2">
      <t>シャメン</t>
    </rPh>
    <rPh sb="2" eb="4">
      <t>ホウイ</t>
    </rPh>
    <rPh sb="4" eb="6">
      <t>ヒョウジ</t>
    </rPh>
    <phoneticPr fontId="12"/>
  </si>
  <si>
    <t>N</t>
    <phoneticPr fontId="12"/>
  </si>
  <si>
    <t>E</t>
    <phoneticPr fontId="12"/>
  </si>
  <si>
    <t>S</t>
    <phoneticPr fontId="12"/>
  </si>
  <si>
    <t>W</t>
    <phoneticPr fontId="12"/>
  </si>
  <si>
    <t>斜面方位角 α[°]</t>
    <rPh sb="0" eb="2">
      <t>シャメン</t>
    </rPh>
    <phoneticPr fontId="12"/>
  </si>
  <si>
    <t>太陽位置</t>
    <rPh sb="0" eb="2">
      <t>タイヨウ</t>
    </rPh>
    <rPh sb="2" eb="4">
      <t>イチ</t>
    </rPh>
    <phoneticPr fontId="12"/>
  </si>
  <si>
    <t>h-t基準</t>
    <phoneticPr fontId="12"/>
  </si>
  <si>
    <t>Jc-t基準</t>
    <phoneticPr fontId="12"/>
  </si>
  <si>
    <t>Js-t基準</t>
    <phoneticPr fontId="12"/>
  </si>
  <si>
    <t>太陽高度角 φ[°]</t>
    <rPh sb="4" eb="5">
      <t>カク</t>
    </rPh>
    <phoneticPr fontId="12"/>
  </si>
  <si>
    <t>太陽方位角 γ[°]</t>
    <phoneticPr fontId="12"/>
  </si>
  <si>
    <t>東京</t>
  </si>
  <si>
    <t>太陽位置計算日 ： 8月1日</t>
  </si>
  <si>
    <t>太陽位置計算日 ： 9月15日</t>
  </si>
  <si>
    <t xml:space="preserve">  2.設計用外気温湿度、地中温度などを示しています。</t>
  </si>
  <si>
    <t>外気条件・地中温度</t>
    <rPh sb="2" eb="4">
      <t>ジョウケン</t>
    </rPh>
    <phoneticPr fontId="9"/>
  </si>
  <si>
    <t>参照地点名</t>
    <rPh sb="0" eb="2">
      <t>サンショウ</t>
    </rPh>
    <rPh sb="2" eb="4">
      <t>チテン</t>
    </rPh>
    <rPh sb="4" eb="5">
      <t>メイ</t>
    </rPh>
    <phoneticPr fontId="12"/>
  </si>
  <si>
    <t>冷房設計用外気条件</t>
    <rPh sb="0" eb="2">
      <t>レイボウ</t>
    </rPh>
    <rPh sb="2" eb="5">
      <t>セッケイヨウ</t>
    </rPh>
    <rPh sb="5" eb="7">
      <t>ガイキ</t>
    </rPh>
    <rPh sb="7" eb="9">
      <t>ジョウケン</t>
    </rPh>
    <phoneticPr fontId="12"/>
  </si>
  <si>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2"/>
  </si>
  <si>
    <t>乾球温度[℃]</t>
    <rPh sb="0" eb="2">
      <t>カンキュウ</t>
    </rPh>
    <rPh sb="2" eb="4">
      <t>オンド</t>
    </rPh>
    <phoneticPr fontId="12"/>
  </si>
  <si>
    <t>絶対湿度[g/kg]</t>
    <rPh sb="0" eb="2">
      <t>ゼッタイ</t>
    </rPh>
    <rPh sb="2" eb="4">
      <t>シツド</t>
    </rPh>
    <phoneticPr fontId="12"/>
  </si>
  <si>
    <t>比エンタルピ [kJ/kg]</t>
    <phoneticPr fontId="12"/>
  </si>
  <si>
    <t>Jc-t基準</t>
    <phoneticPr fontId="12"/>
  </si>
  <si>
    <t>Js-t基準</t>
    <phoneticPr fontId="12"/>
  </si>
  <si>
    <t>暖房設計用外気条件</t>
    <rPh sb="0" eb="2">
      <t>ダンボウ</t>
    </rPh>
    <rPh sb="2" eb="5">
      <t>セッケイヨウ</t>
    </rPh>
    <rPh sb="5" eb="7">
      <t>ガイキ</t>
    </rPh>
    <rPh sb="7" eb="9">
      <t>ジョウケン</t>
    </rPh>
    <phoneticPr fontId="12"/>
  </si>
  <si>
    <t>t-x基準</t>
    <phoneticPr fontId="5"/>
  </si>
  <si>
    <t>t-x基準</t>
    <phoneticPr fontId="12"/>
  </si>
  <si>
    <t>室負荷計算用外気条件</t>
    <rPh sb="0" eb="1">
      <t>シツ</t>
    </rPh>
    <rPh sb="1" eb="3">
      <t>フカ</t>
    </rPh>
    <rPh sb="3" eb="6">
      <t>ケイサンヨウ</t>
    </rPh>
    <rPh sb="6" eb="8">
      <t>ガイキ</t>
    </rPh>
    <rPh sb="8" eb="10">
      <t>ジョウケン</t>
    </rPh>
    <phoneticPr fontId="12"/>
  </si>
  <si>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2"/>
  </si>
  <si>
    <t>外気負荷設計用外気条件</t>
    <rPh sb="0" eb="2">
      <t>ガイキ</t>
    </rPh>
    <rPh sb="2" eb="4">
      <t>フカ</t>
    </rPh>
    <rPh sb="4" eb="7">
      <t>セッケイヨウ</t>
    </rPh>
    <rPh sb="7" eb="9">
      <t>ガイキ</t>
    </rPh>
    <rPh sb="9" eb="11">
      <t>ジョウケン</t>
    </rPh>
    <phoneticPr fontId="12"/>
  </si>
  <si>
    <t>9-18時用</t>
    <rPh sb="4" eb="5">
      <t>ジ</t>
    </rPh>
    <rPh sb="5" eb="6">
      <t>ヨウ</t>
    </rPh>
    <phoneticPr fontId="12"/>
  </si>
  <si>
    <t>24時間用</t>
    <rPh sb="2" eb="4">
      <t>ジカン</t>
    </rPh>
    <rPh sb="4" eb="5">
      <t>ヨウ</t>
    </rPh>
    <phoneticPr fontId="12"/>
  </si>
  <si>
    <t>上向き水平面</t>
    <rPh sb="0" eb="2">
      <t>ウエム</t>
    </rPh>
    <rPh sb="3" eb="6">
      <t>スイヘイメン</t>
    </rPh>
    <phoneticPr fontId="12"/>
  </si>
  <si>
    <t>垂直面</t>
    <rPh sb="0" eb="2">
      <t>スイチョク</t>
    </rPh>
    <rPh sb="2" eb="3">
      <t>メン</t>
    </rPh>
    <phoneticPr fontId="12"/>
  </si>
  <si>
    <t>下向き水平面</t>
    <rPh sb="0" eb="2">
      <t>シタム</t>
    </rPh>
    <rPh sb="3" eb="6">
      <t>スイヘイメン</t>
    </rPh>
    <phoneticPr fontId="12"/>
  </si>
  <si>
    <t>時刻</t>
    <rPh sb="0" eb="2">
      <t>ジコク</t>
    </rPh>
    <phoneticPr fontId="5"/>
  </si>
  <si>
    <t>時刻</t>
    <rPh sb="0" eb="2">
      <t>ジコク</t>
    </rPh>
    <phoneticPr fontId="12"/>
  </si>
  <si>
    <t>設計値</t>
    <rPh sb="0" eb="3">
      <t>セッケイチ</t>
    </rPh>
    <phoneticPr fontId="12"/>
  </si>
  <si>
    <t>比エンタルピ [kJ/kg]</t>
    <phoneticPr fontId="12"/>
  </si>
  <si>
    <t>t-Jh基準</t>
    <phoneticPr fontId="12"/>
  </si>
  <si>
    <t>注記</t>
    <rPh sb="0" eb="2">
      <t>チュウキ</t>
    </rPh>
    <phoneticPr fontId="12"/>
  </si>
  <si>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2"/>
  </si>
  <si>
    <t>赤坂・坂井の方法により算出するときの地下実効温度差</t>
    <rPh sb="11" eb="13">
      <t>サンシュツ</t>
    </rPh>
    <rPh sb="18" eb="20">
      <t>チカ</t>
    </rPh>
    <rPh sb="20" eb="22">
      <t>ジッコウ</t>
    </rPh>
    <rPh sb="22" eb="25">
      <t>オンドサ</t>
    </rPh>
    <phoneticPr fontId="18"/>
  </si>
  <si>
    <t>地中温度[℃]</t>
    <phoneticPr fontId="9"/>
  </si>
  <si>
    <t>赤坂・坂井の方法により算出する場合は使用しません。</t>
    <rPh sb="11" eb="13">
      <t>サンシュツ</t>
    </rPh>
    <rPh sb="15" eb="17">
      <t>バアイ</t>
    </rPh>
    <rPh sb="18" eb="20">
      <t>シヨウ</t>
    </rPh>
    <phoneticPr fontId="18"/>
  </si>
  <si>
    <t>基準値[K]</t>
    <rPh sb="0" eb="3">
      <t>キジュンチ</t>
    </rPh>
    <phoneticPr fontId="12"/>
  </si>
  <si>
    <t>平均気温[℃]</t>
    <rPh sb="0" eb="2">
      <t>ヘイキン</t>
    </rPh>
    <rPh sb="2" eb="4">
      <t>キオン</t>
    </rPh>
    <phoneticPr fontId="12"/>
  </si>
  <si>
    <t>東京の平均気温[℃]</t>
    <rPh sb="0" eb="2">
      <t>トウキョウ</t>
    </rPh>
    <rPh sb="3" eb="5">
      <t>ヘイキン</t>
    </rPh>
    <rPh sb="5" eb="7">
      <t>キオン</t>
    </rPh>
    <phoneticPr fontId="12"/>
  </si>
  <si>
    <t>決定値[K]</t>
    <rPh sb="0" eb="2">
      <t>ケッテイ</t>
    </rPh>
    <rPh sb="2" eb="3">
      <t>チ</t>
    </rPh>
    <phoneticPr fontId="12"/>
  </si>
  <si>
    <t>深度</t>
    <phoneticPr fontId="9"/>
  </si>
  <si>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</si>
  <si>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</si>
  <si>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2"/>
  </si>
  <si>
    <t>東京</t>
    <phoneticPr fontId="12"/>
  </si>
  <si>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</si>
  <si>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</si>
  <si>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</si>
  <si>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2"/>
  </si>
  <si>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</si>
  <si>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</si>
  <si>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</si>
  <si>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</si>
  <si>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</si>
  <si>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</si>
  <si>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</si>
  <si>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</si>
  <si>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</si>
  <si>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2"/>
  </si>
  <si>
    <t>ｊ</t>
    <phoneticPr fontId="12"/>
  </si>
  <si>
    <t>yj</t>
  </si>
  <si>
    <t>ｊ</t>
  </si>
  <si>
    <t>日陰</t>
    <phoneticPr fontId="3"/>
  </si>
  <si>
    <t>日陰</t>
    <phoneticPr fontId="3"/>
  </si>
  <si>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</si>
  <si>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</si>
  <si>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</si>
  <si>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</si>
  <si>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</si>
  <si>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</si>
  <si>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</si>
  <si>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</si>
  <si>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</si>
  <si>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6.建物方位角：20[°]</t>
  </si>
  <si>
    <t xml:space="preserve">  （各方位の実効温度差は建物方位角を考慮して計算しなおしています。）</t>
  </si>
  <si>
    <t>実効温度差及び無次元化貫流応答係数 (外壁 OW1・壁タイプⅡ)</t>
    <phoneticPr fontId="12"/>
  </si>
  <si>
    <t>日陰</t>
    <phoneticPr fontId="3"/>
  </si>
  <si>
    <t>日陰</t>
    <phoneticPr fontId="3"/>
  </si>
  <si>
    <t>実効温度差及び無次元化貫流応答係数 (外壁 OW2・壁タイプⅡ)</t>
    <phoneticPr fontId="12"/>
  </si>
  <si>
    <t>上向日陰</t>
    <phoneticPr fontId="3"/>
  </si>
  <si>
    <t>---</t>
  </si>
  <si>
    <t>上向日陰</t>
    <phoneticPr fontId="3"/>
  </si>
  <si>
    <t>上向日陰</t>
    <phoneticPr fontId="3"/>
  </si>
  <si>
    <t>6.上向日陰の相当外気温度計算用の日射量を計算する際、</t>
  </si>
  <si>
    <t xml:space="preserve">  太陽方向の高輝度成分を考慮せず、直散分離後の値をそのまま用いています｡</t>
  </si>
  <si>
    <t>実効温度差 (屋根 OR1・壁タイプⅣ)</t>
    <phoneticPr fontId="12"/>
  </si>
  <si>
    <t>上向日陰</t>
    <phoneticPr fontId="3"/>
  </si>
  <si>
    <t>実効温度差 (屋根 OR2・壁タイプⅣ)</t>
    <phoneticPr fontId="12"/>
  </si>
  <si>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</si>
  <si>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</si>
  <si>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2"/>
  </si>
  <si>
    <t>中間季の値は参考値です</t>
    <rPh sb="0" eb="2">
      <t>チュウカン</t>
    </rPh>
    <rPh sb="2" eb="3">
      <t>キ</t>
    </rPh>
    <rPh sb="4" eb="5">
      <t>アタイ</t>
    </rPh>
    <rPh sb="6" eb="8">
      <t>サンコウ</t>
    </rPh>
    <rPh sb="8" eb="9">
      <t>チ</t>
    </rPh>
    <phoneticPr fontId="12"/>
  </si>
  <si>
    <t>隣室記号</t>
    <rPh sb="0" eb="2">
      <t>リンシツ</t>
    </rPh>
    <rPh sb="2" eb="4">
      <t>キゴウ</t>
    </rPh>
    <phoneticPr fontId="5"/>
  </si>
  <si>
    <t>隣室記号</t>
    <rPh sb="0" eb="2">
      <t>リンシツ</t>
    </rPh>
    <rPh sb="2" eb="4">
      <t>キゴウ</t>
    </rPh>
    <phoneticPr fontId="12"/>
  </si>
  <si>
    <t>室名</t>
    <rPh sb="0" eb="2">
      <t>シツメイ</t>
    </rPh>
    <phoneticPr fontId="12"/>
  </si>
  <si>
    <t>温度条件</t>
    <rPh sb="0" eb="2">
      <t>オンド</t>
    </rPh>
    <rPh sb="2" eb="4">
      <t>ジョウケン</t>
    </rPh>
    <phoneticPr fontId="12"/>
  </si>
  <si>
    <t>夏季</t>
    <rPh sb="0" eb="2">
      <t>カキ</t>
    </rPh>
    <phoneticPr fontId="12"/>
  </si>
  <si>
    <t>冬季</t>
    <rPh sb="0" eb="2">
      <t>トウキ</t>
    </rPh>
    <phoneticPr fontId="12"/>
  </si>
  <si>
    <t>中間季</t>
    <rPh sb="0" eb="2">
      <t>チュウカン</t>
    </rPh>
    <rPh sb="2" eb="3">
      <t>キ</t>
    </rPh>
    <phoneticPr fontId="12"/>
  </si>
  <si>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</si>
  <si>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</si>
  <si>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</si>
  <si>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</si>
  <si>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</si>
  <si>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</si>
  <si>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</si>
  <si>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</si>
  <si>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</si>
  <si>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</si>
  <si>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</si>
  <si>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</si>
  <si>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</si>
  <si>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</si>
  <si>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</si>
  <si>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</si>
  <si>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</si>
  <si>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</si>
  <si>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</si>
  <si>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</si>
  <si>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</si>
  <si>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</si>
  <si>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</si>
  <si>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</si>
  <si>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</si>
  <si>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</si>
  <si>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</si>
  <si>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</si>
  <si>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</si>
  <si>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</si>
  <si>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</si>
  <si>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</si>
  <si>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</si>
  <si>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</si>
  <si>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</si>
  <si>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</si>
  <si>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9"/>
  </si>
  <si>
    <t>注記</t>
    <rPh sb="0" eb="2">
      <t>チュウキ</t>
    </rPh>
    <phoneticPr fontId="9"/>
  </si>
  <si>
    <t>日陰コード</t>
    <rPh sb="0" eb="2">
      <t>ヒカゲ</t>
    </rPh>
    <phoneticPr fontId="9"/>
  </si>
  <si>
    <t>各部寸法[mm]</t>
  </si>
  <si>
    <t>V</t>
  </si>
  <si>
    <t>B</t>
  </si>
  <si>
    <t>b</t>
  </si>
  <si>
    <t>H</t>
  </si>
  <si>
    <t>h</t>
  </si>
  <si>
    <t>h'</t>
  </si>
  <si>
    <t>断面図</t>
    <rPh sb="0" eb="3">
      <t>ダンメンズ</t>
    </rPh>
    <phoneticPr fontId="9"/>
  </si>
  <si>
    <t>平面図</t>
    <rPh sb="0" eb="3">
      <t>ヘイメンズ</t>
    </rPh>
    <phoneticPr fontId="9"/>
  </si>
  <si>
    <t>上向日陰</t>
    <rPh sb="0" eb="2">
      <t>ウエム</t>
    </rPh>
    <rPh sb="2" eb="4">
      <t>ヒカゲ</t>
    </rPh>
    <phoneticPr fontId="9"/>
  </si>
  <si>
    <t>水平面拡散日射熱取得IGSh</t>
    <rPh sb="0" eb="2">
      <t>スイヘイ</t>
    </rPh>
    <rPh sb="2" eb="3">
      <t>メン</t>
    </rPh>
    <rPh sb="3" eb="5">
      <t>カクサン</t>
    </rPh>
    <rPh sb="5" eb="7">
      <t>ニッシャ</t>
    </rPh>
    <rPh sb="7" eb="8">
      <t>ネツ</t>
    </rPh>
    <rPh sb="8" eb="10">
      <t>シュトク</t>
    </rPh>
    <phoneticPr fontId="9"/>
  </si>
  <si>
    <t>日陰</t>
    <phoneticPr fontId="9"/>
  </si>
  <si>
    <t>垂直面拡散日射熱取得IGS</t>
    <rPh sb="0" eb="2">
      <t>スイチョク</t>
    </rPh>
    <rPh sb="2" eb="3">
      <t>メン</t>
    </rPh>
    <rPh sb="3" eb="5">
      <t>カクサン</t>
    </rPh>
    <rPh sb="5" eb="7">
      <t>ニッシャ</t>
    </rPh>
    <rPh sb="7" eb="8">
      <t>ネツ</t>
    </rPh>
    <rPh sb="8" eb="10">
      <t>シュトク</t>
    </rPh>
    <phoneticPr fontId="9"/>
  </si>
  <si>
    <t>水平面全日射熱取得IG</t>
    <rPh sb="0" eb="3">
      <t>スイヘイメン</t>
    </rPh>
    <rPh sb="3" eb="4">
      <t>ゼン</t>
    </rPh>
    <rPh sb="4" eb="6">
      <t>ニッシャ</t>
    </rPh>
    <rPh sb="6" eb="7">
      <t>ネツ</t>
    </rPh>
    <rPh sb="7" eb="9">
      <t>シュトク</t>
    </rPh>
    <phoneticPr fontId="9"/>
  </si>
  <si>
    <t>直達日射熱取得IGD</t>
    <rPh sb="0" eb="2">
      <t>チョクタツ</t>
    </rPh>
    <rPh sb="2" eb="4">
      <t>ニッシャ</t>
    </rPh>
    <rPh sb="4" eb="5">
      <t>ネツ</t>
    </rPh>
    <rPh sb="5" eb="7">
      <t>シュトク</t>
    </rPh>
    <phoneticPr fontId="9"/>
  </si>
  <si>
    <t>日照面積率SG</t>
    <phoneticPr fontId="9"/>
  </si>
  <si>
    <t>全日射熱取得IG=IGD･SG+IGS</t>
    <rPh sb="0" eb="1">
      <t>ゼン</t>
    </rPh>
    <rPh sb="1" eb="3">
      <t>ニッシャ</t>
    </rPh>
    <rPh sb="3" eb="4">
      <t>ネツ</t>
    </rPh>
    <rPh sb="4" eb="6">
      <t>シュトク</t>
    </rPh>
    <phoneticPr fontId="9"/>
  </si>
  <si>
    <t>日照面積率SG</t>
    <phoneticPr fontId="9"/>
  </si>
  <si>
    <t>水平日陰</t>
    <rPh sb="0" eb="2">
      <t>スイヘイ</t>
    </rPh>
    <phoneticPr fontId="9"/>
  </si>
  <si>
    <t>Js-t基準</t>
    <phoneticPr fontId="12"/>
  </si>
  <si>
    <t>日陰</t>
    <phoneticPr fontId="9"/>
  </si>
  <si>
    <t>外部遮蔽計算用寸法と各時刻における日照面積率及びガラス透過日射熱取得[W/㎡]（外部遮蔽無し）</t>
    <phoneticPr fontId="12"/>
  </si>
  <si>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</si>
  <si>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</si>
  <si>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</si>
  <si>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</si>
  <si>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</si>
  <si>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</si>
  <si>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</si>
  <si>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日照面積率SG</t>
    <phoneticPr fontId="9"/>
  </si>
  <si>
    <t>日陰</t>
    <phoneticPr fontId="9"/>
  </si>
  <si>
    <t>日照面積率SG</t>
    <phoneticPr fontId="9"/>
  </si>
  <si>
    <t>外部遮蔽計算用寸法と各時刻における日照面積率及びガラス透過日射熱取得[W/㎡]（日陰コード：2F-E）</t>
    <phoneticPr fontId="12"/>
  </si>
  <si>
    <t>2F-E</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</si>
  <si>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</si>
  <si>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</si>
  <si>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</si>
  <si>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9"/>
  </si>
  <si>
    <t>略　　図</t>
    <rPh sb="0" eb="1">
      <t>リャク</t>
    </rPh>
    <rPh sb="3" eb="4">
      <t>ズ</t>
    </rPh>
    <phoneticPr fontId="9"/>
  </si>
  <si>
    <t>番号</t>
    <phoneticPr fontId="9"/>
  </si>
  <si>
    <t>材　料　名</t>
    <rPh sb="0" eb="1">
      <t>ザイ</t>
    </rPh>
    <rPh sb="2" eb="3">
      <t>リョウ</t>
    </rPh>
    <rPh sb="4" eb="5">
      <t>メイ</t>
    </rPh>
    <phoneticPr fontId="9"/>
  </si>
  <si>
    <t>厚さ
t
[m]</t>
    <phoneticPr fontId="9"/>
  </si>
  <si>
    <t>熱伝導率
λ
[W/(m･K)]</t>
    <phoneticPr fontId="9"/>
  </si>
  <si>
    <t>t/λ
[㎡･K/W]</t>
    <phoneticPr fontId="9"/>
  </si>
  <si>
    <t>厚さ
t
[m]</t>
  </si>
  <si>
    <t>熱伝導率
λ
[W/(m･K)]</t>
  </si>
  <si>
    <t>t/λ
[㎡･K/W]</t>
  </si>
  <si>
    <t>１行目</t>
  </si>
  <si>
    <t>外壁</t>
  </si>
  <si>
    <t>OW1</t>
  </si>
  <si>
    <t>壁タイプ=Ⅱ</t>
  </si>
  <si>
    <t>日射吸収率=0.7</t>
  </si>
  <si>
    <t>外壁外表面熱伝達率</t>
  </si>
  <si>
    <t>-</t>
  </si>
  <si>
    <t>(23[W/(㎡・K])</t>
  </si>
  <si>
    <t>気泡コンクリート（ALC）</t>
  </si>
  <si>
    <t>吹付け硬質ウレタンフォームＡ種3</t>
  </si>
  <si>
    <t>非密閉空気層</t>
  </si>
  <si>
    <t>せっこうボード</t>
  </si>
  <si>
    <t>ケイ酸カルシウム板　0.8mm</t>
  </si>
  <si>
    <t>室内表面熱伝達率</t>
  </si>
  <si>
    <t>(9[W/(㎡・K])</t>
  </si>
  <si>
    <t>熱抵抗(ｔ／λ合計)</t>
  </si>
  <si>
    <t>熱貫流率　U = 1/1.460 = 0.7[W/(㎡･K)]</t>
  </si>
  <si>
    <t>OW2</t>
  </si>
  <si>
    <t>吹付け硬質ウレタンフォームＡ種１</t>
  </si>
  <si>
    <t>熱貫流率　U = 1/1.540 = 0.6[W/(㎡･K)]</t>
  </si>
  <si>
    <t>外壁ｶﾞﾗｽ</t>
  </si>
  <si>
    <t>OG1</t>
  </si>
  <si>
    <t>透明 5mm</t>
  </si>
  <si>
    <t>(ブラインド無し)</t>
  </si>
  <si>
    <t>ガラス面積比率=0.85</t>
  </si>
  <si>
    <t>遮蔽係数 = 0.97</t>
  </si>
  <si>
    <t>熱貫流率 U = 5.9[W/(㎡･K)]</t>
  </si>
  <si>
    <t>OG2</t>
  </si>
  <si>
    <t>(明色ブラインド付)</t>
  </si>
  <si>
    <t>遮蔽係数 = 0.49→0.97</t>
  </si>
  <si>
    <t>熱貫流率 U = 4.2|5.9[W/(㎡･K)]</t>
  </si>
  <si>
    <t>OG3</t>
  </si>
  <si>
    <t>熱反シルバー+透明 6mm (空気層12mm)</t>
  </si>
  <si>
    <t>遮蔽係数 = 0.7</t>
  </si>
  <si>
    <t>熱貫流率 U = 2.8[W/(㎡･K)]</t>
  </si>
  <si>
    <t>屋根</t>
  </si>
  <si>
    <t>OR1</t>
  </si>
  <si>
    <t>壁タイプ=Ⅳ</t>
  </si>
  <si>
    <t>軽量コンクリート（軽量2種）</t>
  </si>
  <si>
    <t>押出法ポリスチレンフォーム　保温板　2種</t>
  </si>
  <si>
    <t>アスファルト類</t>
  </si>
  <si>
    <t>コンクリート</t>
  </si>
  <si>
    <t>熱貫流率　U = 1/2.121 = 0.5[W/(㎡･K)]</t>
  </si>
  <si>
    <t>OR2</t>
  </si>
  <si>
    <t>熱貫流率　U = 1/2.151 = 0.5[W/(㎡･K)]</t>
  </si>
  <si>
    <t>内壁</t>
  </si>
  <si>
    <t>IW1</t>
  </si>
  <si>
    <t>熱貫流率　U = 1/0.462 = 2.2[W/(㎡･K)]</t>
  </si>
  <si>
    <t>IW2</t>
  </si>
  <si>
    <t>熱貫流率　U = 1/0.402 = 2.5[W/(㎡･K)]</t>
  </si>
  <si>
    <t>IW3</t>
  </si>
  <si>
    <t>熱貫流率　U = 1/0.432 = 2.3[W/(㎡･K)]</t>
  </si>
  <si>
    <t>天井･床</t>
  </si>
  <si>
    <t>C1</t>
  </si>
  <si>
    <t xml:space="preserve">ビニル系床材  </t>
  </si>
  <si>
    <t>セメント・モルタル</t>
  </si>
  <si>
    <t>熱貫流率　U = 1/0.458 = 2.2[W/(㎡･K)]</t>
  </si>
  <si>
    <t>C2</t>
  </si>
  <si>
    <t>熱貫流率　U = 1/0.293 = 3.4[W/(㎡･K)]</t>
  </si>
  <si>
    <t>C3</t>
  </si>
  <si>
    <t>熱貫流率　U = 1/0.352 = 2.8[W/(㎡･K)]</t>
  </si>
  <si>
    <t>土間床</t>
  </si>
  <si>
    <t>BF1</t>
  </si>
  <si>
    <t>岩石</t>
  </si>
  <si>
    <t>土壌</t>
  </si>
  <si>
    <t>熱貫流率　U = 1/1.289 = 0.8[W/(㎡･K)]</t>
  </si>
  <si>
    <t>BF2</t>
  </si>
  <si>
    <t>熱貫流率　U = 1/1.453 = 0.7[W/(㎡･K)]</t>
  </si>
  <si>
    <t>地中壁</t>
  </si>
  <si>
    <t>BW1</t>
  </si>
  <si>
    <t>コンクリートブロック（軽量）</t>
  </si>
  <si>
    <t>熱貫流率　U = 1/1.589 = 0.6[W/(㎡･K)]</t>
  </si>
  <si>
    <t>各室熱負荷計算書</t>
  </si>
  <si>
    <t xml:space="preserve">  各室の構造体負荷、内部負荷および外気負荷を計算しています。</t>
  </si>
  <si>
    <t>空調使用時間：</t>
    <rPh sb="0" eb="2">
      <t>クウチョウ</t>
    </rPh>
    <rPh sb="2" eb="4">
      <t>シヨウ</t>
    </rPh>
    <rPh sb="4" eb="6">
      <t>ジカン</t>
    </rPh>
    <phoneticPr fontId="5"/>
  </si>
  <si>
    <t>負荷計算用紙J24h</t>
    <rPh sb="0" eb="2">
      <t>フカ</t>
    </rPh>
    <rPh sb="2" eb="4">
      <t>ケイサン</t>
    </rPh>
    <rPh sb="4" eb="6">
      <t>ヨウシ</t>
    </rPh>
    <phoneticPr fontId="5"/>
  </si>
  <si>
    <t>面積</t>
  </si>
  <si>
    <t>外壁面積法による分</t>
  </si>
  <si>
    <t>隙間風合計：</t>
  </si>
  <si>
    <t>明記なき単位は以下のとおり
 日射量ig：[W/㎡]、熱貫流率U：[W/(㎡・K)]、温度差⊿t：[K]</t>
    <rPh sb="0" eb="2">
      <t>メイキ</t>
    </rPh>
    <rPh sb="4" eb="6">
      <t>タンイ</t>
    </rPh>
    <rPh sb="7" eb="9">
      <t>イカ</t>
    </rPh>
    <phoneticPr fontId="5"/>
  </si>
  <si>
    <t>h-t基準　冷房負荷[W]</t>
    <rPh sb="3" eb="5">
      <t>キジュン</t>
    </rPh>
    <phoneticPr fontId="5"/>
  </si>
  <si>
    <t>Jc-t基準　冷房負荷[W]</t>
    <rPh sb="4" eb="6">
      <t>キジュン</t>
    </rPh>
    <phoneticPr fontId="5"/>
  </si>
  <si>
    <t>Js-t基準　冷房負荷[W]</t>
    <rPh sb="4" eb="6">
      <t>キジュン</t>
    </rPh>
    <phoneticPr fontId="5"/>
  </si>
  <si>
    <t>暖房負荷[W]</t>
    <rPh sb="0" eb="2">
      <t>ダンボウ</t>
    </rPh>
    <phoneticPr fontId="5"/>
  </si>
  <si>
    <t>最大負荷[W]</t>
    <rPh sb="0" eb="2">
      <t>サイダイ</t>
    </rPh>
    <rPh sb="2" eb="4">
      <t>フカ</t>
    </rPh>
    <phoneticPr fontId="5"/>
  </si>
  <si>
    <t>t-x基準</t>
    <rPh sb="3" eb="5">
      <t>キジュン</t>
    </rPh>
    <phoneticPr fontId="5"/>
  </si>
  <si>
    <t>t-Jh基準</t>
    <rPh sb="4" eb="6">
      <t>キジュン</t>
    </rPh>
    <phoneticPr fontId="5"/>
  </si>
  <si>
    <t>ガラス透過負荷</t>
    <rPh sb="3" eb="5">
      <t>トウカ</t>
    </rPh>
    <rPh sb="5" eb="7">
      <t>フカ</t>
    </rPh>
    <phoneticPr fontId="5"/>
  </si>
  <si>
    <t>壁体記号</t>
  </si>
  <si>
    <t>方位</t>
  </si>
  <si>
    <t>面積S[m2]</t>
    <phoneticPr fontId="5"/>
  </si>
  <si>
    <t>遮蔽係数SC</t>
    <phoneticPr fontId="12"/>
  </si>
  <si>
    <t>日陰コード</t>
    <rPh sb="0" eb="2">
      <t>ヒカゲ</t>
    </rPh>
    <phoneticPr fontId="5"/>
  </si>
  <si>
    <t>ig</t>
    <phoneticPr fontId="5"/>
  </si>
  <si>
    <t>S・S.C.・ig</t>
    <phoneticPr fontId="12"/>
  </si>
  <si>
    <t>ig</t>
  </si>
  <si>
    <t>S・S.C.・ig</t>
  </si>
  <si>
    <t>-</t>
    <phoneticPr fontId="5"/>
  </si>
  <si>
    <t>h-t基準
設計最大負荷
↓
↓
↓</t>
    <rPh sb="3" eb="5">
      <t>キジュン</t>
    </rPh>
    <rPh sb="6" eb="8">
      <t>セッケイ</t>
    </rPh>
    <rPh sb="8" eb="10">
      <t>サイダイ</t>
    </rPh>
    <phoneticPr fontId="5"/>
  </si>
  <si>
    <t>Jc-t基準
設計最大負荷
↓
↓
↓</t>
    <rPh sb="4" eb="6">
      <t>キジュン</t>
    </rPh>
    <rPh sb="9" eb="11">
      <t>サイダイ</t>
    </rPh>
    <phoneticPr fontId="5"/>
  </si>
  <si>
    <t>Js-t基準
設計最大負荷
↓
↓
↓</t>
    <rPh sb="4" eb="6">
      <t>キジュン</t>
    </rPh>
    <rPh sb="9" eb="11">
      <t>サイダイ</t>
    </rPh>
    <phoneticPr fontId="5"/>
  </si>
  <si>
    <t>①顕熱負荷1 [W]</t>
    <phoneticPr fontId="5"/>
  </si>
  <si>
    <t>壁体貫流負荷</t>
    <rPh sb="0" eb="1">
      <t>ヘキ</t>
    </rPh>
    <rPh sb="1" eb="2">
      <t>タイ</t>
    </rPh>
    <rPh sb="2" eb="4">
      <t>カンリュウ</t>
    </rPh>
    <rPh sb="4" eb="6">
      <t>フカ</t>
    </rPh>
    <phoneticPr fontId="5"/>
  </si>
  <si>
    <t>熱貫流率U</t>
  </si>
  <si>
    <t>⊿t</t>
    <phoneticPr fontId="5"/>
  </si>
  <si>
    <t>S・U・⊿t</t>
    <phoneticPr fontId="5"/>
  </si>
  <si>
    <t>⊿t</t>
  </si>
  <si>
    <t>S・U・⊿t</t>
    <phoneticPr fontId="5"/>
  </si>
  <si>
    <t>S・U・⊿t</t>
  </si>
  <si>
    <t>②顕熱負荷2 [W]</t>
    <phoneticPr fontId="5"/>
  </si>
  <si>
    <t>取得熱量</t>
  </si>
  <si>
    <t>損失熱量</t>
    <rPh sb="0" eb="2">
      <t>ソンシツ</t>
    </rPh>
    <phoneticPr fontId="5"/>
  </si>
  <si>
    <t>顕熱負荷</t>
  </si>
  <si>
    <t>⊿t</t>
    <phoneticPr fontId="5"/>
  </si>
  <si>
    <t>h-t基準
設計顕熱負荷
↓
↓</t>
    <rPh sb="8" eb="10">
      <t>ケンネツ</t>
    </rPh>
    <phoneticPr fontId="12"/>
  </si>
  <si>
    <t>Jc-t基準
設計顕熱負荷
↓
↓</t>
    <rPh sb="9" eb="11">
      <t>ケンネツ</t>
    </rPh>
    <phoneticPr fontId="12"/>
  </si>
  <si>
    <t>Js-t基準
設計顕熱負荷
↓
↓</t>
    <rPh sb="9" eb="11">
      <t>ケンネツ</t>
    </rPh>
    <phoneticPr fontId="12"/>
  </si>
  <si>
    <t>冷房設計
最大顕熱負荷
↓
↓</t>
    <rPh sb="7" eb="9">
      <t>ケンネツ</t>
    </rPh>
    <phoneticPr fontId="12"/>
  </si>
  <si>
    <t>暖房設計
最大顕熱負荷
↓
↓</t>
    <rPh sb="7" eb="9">
      <t>ケンネツ</t>
    </rPh>
    <phoneticPr fontId="12"/>
  </si>
  <si>
    <t>h-t基準
設計潜熱負荷
↓
↓</t>
  </si>
  <si>
    <t>Jc-t基準
設計潜熱負荷
↓
↓</t>
  </si>
  <si>
    <t>Js-t基準
設計潜熱負荷
↓
↓</t>
  </si>
  <si>
    <t>冷房設計
最大潜熱負荷
↓
↓</t>
  </si>
  <si>
    <t>暖房設計
最大潜熱負荷
↓
↓</t>
  </si>
  <si>
    <t xml:space="preserve">
外気負荷、過冷却負荷及び全負荷</t>
    <rPh sb="1" eb="5">
      <t>ガイキフカ</t>
    </rPh>
    <rPh sb="6" eb="9">
      <t>カレイキャク</t>
    </rPh>
    <rPh sb="9" eb="11">
      <t>フカ</t>
    </rPh>
    <rPh sb="11" eb="12">
      <t>オヨ</t>
    </rPh>
    <rPh sb="13" eb="14">
      <t>ゼン</t>
    </rPh>
    <rPh sb="14" eb="16">
      <t>フカ</t>
    </rPh>
    <phoneticPr fontId="5"/>
  </si>
  <si>
    <t xml:space="preserve">
外気負荷及び全負荷</t>
    <rPh sb="1" eb="5">
      <t>ガイキフカ</t>
    </rPh>
    <rPh sb="5" eb="6">
      <t>オヨ</t>
    </rPh>
    <rPh sb="7" eb="8">
      <t>ゼン</t>
    </rPh>
    <rPh sb="8" eb="10">
      <t>フカ</t>
    </rPh>
    <phoneticPr fontId="5"/>
  </si>
  <si>
    <t>h-t基準</t>
    <rPh sb="3" eb="5">
      <t>キジュン</t>
    </rPh>
    <phoneticPr fontId="5"/>
  </si>
  <si>
    <t>Jc-t基準</t>
    <rPh sb="4" eb="6">
      <t>キジュン</t>
    </rPh>
    <phoneticPr fontId="5"/>
  </si>
  <si>
    <t>Js-t基準</t>
    <rPh sb="4" eb="6">
      <t>キジュン</t>
    </rPh>
    <phoneticPr fontId="5"/>
  </si>
  <si>
    <t>冷房最大</t>
    <rPh sb="0" eb="2">
      <t>レイボウ</t>
    </rPh>
    <rPh sb="2" eb="4">
      <t>サイダイ</t>
    </rPh>
    <phoneticPr fontId="5"/>
  </si>
  <si>
    <t>暖房最大</t>
    <rPh sb="0" eb="2">
      <t>ダンボウ</t>
    </rPh>
    <rPh sb="2" eb="4">
      <t>サイダイ</t>
    </rPh>
    <phoneticPr fontId="5"/>
  </si>
  <si>
    <t>⊿h</t>
  </si>
  <si>
    <t>　　その他の負荷</t>
    <rPh sb="4" eb="5">
      <t>タ</t>
    </rPh>
    <rPh sb="6" eb="8">
      <t>フカ</t>
    </rPh>
    <phoneticPr fontId="5"/>
  </si>
  <si>
    <t>その他の負荷</t>
    <rPh sb="2" eb="3">
      <t>タ</t>
    </rPh>
    <rPh sb="4" eb="6">
      <t>フカ</t>
    </rPh>
    <phoneticPr fontId="5"/>
  </si>
  <si>
    <t>t-x基準</t>
    <phoneticPr fontId="5"/>
  </si>
  <si>
    <t>負荷量</t>
  </si>
  <si>
    <t>⊿x</t>
  </si>
  <si>
    <t>　　備考</t>
    <rPh sb="2" eb="4">
      <t>ビコウ</t>
    </rPh>
    <phoneticPr fontId="5"/>
  </si>
  <si>
    <t>事務室</t>
  </si>
  <si>
    <t>AC-2</t>
  </si>
  <si>
    <t>4.2|5.9</t>
  </si>
  <si>
    <t>0.49→0.97</t>
  </si>
  <si>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</si>
  <si>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</si>
  <si>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5"/>
  </si>
  <si>
    <t>Js-t</t>
  </si>
  <si>
    <t>冷房設計
最大負荷
(顕熱負荷
により決定、
Js-t基準
採用)
↓
↓
↓</t>
    <phoneticPr fontId="5"/>
  </si>
  <si>
    <t>t-Jh</t>
  </si>
  <si>
    <t>暖房設計
最大負荷
(顕熱負荷
により決定、
t-Jh基準
採用)
↓
↓
↓</t>
    <phoneticPr fontId="5"/>
  </si>
  <si>
    <t>室NO</t>
  </si>
  <si>
    <t>室NO</t>
    <phoneticPr fontId="5"/>
  </si>
  <si>
    <t>室名</t>
  </si>
  <si>
    <t>室名</t>
    <phoneticPr fontId="5"/>
  </si>
  <si>
    <t>事務室</t>
    <phoneticPr fontId="3"/>
  </si>
  <si>
    <t>設計外気風量[m3/h]</t>
    <phoneticPr fontId="5"/>
  </si>
  <si>
    <t>夜間外気風量[m3/h]</t>
    <phoneticPr fontId="5"/>
  </si>
  <si>
    <t>系統記号</t>
    <phoneticPr fontId="5"/>
  </si>
  <si>
    <t>室NO</t>
    <phoneticPr fontId="5"/>
  </si>
  <si>
    <t>乾球温度</t>
    <phoneticPr fontId="3"/>
  </si>
  <si>
    <t>相対湿度</t>
    <phoneticPr fontId="24"/>
  </si>
  <si>
    <t>比エンタルピ</t>
    <phoneticPr fontId="24"/>
  </si>
  <si>
    <t>絶対湿度</t>
    <phoneticPr fontId="5"/>
  </si>
  <si>
    <t>AC-2</t>
    <phoneticPr fontId="3"/>
  </si>
  <si>
    <t>階</t>
  </si>
  <si>
    <t>階</t>
    <phoneticPr fontId="5"/>
  </si>
  <si>
    <t>面積</t>
    <phoneticPr fontId="3"/>
  </si>
  <si>
    <t>天井高</t>
    <phoneticPr fontId="5"/>
  </si>
  <si>
    <t>容積</t>
    <phoneticPr fontId="5"/>
  </si>
  <si>
    <t>容積</t>
    <phoneticPr fontId="5"/>
  </si>
  <si>
    <t>隙間風→→</t>
    <phoneticPr fontId="5"/>
  </si>
  <si>
    <t>サッシより： -</t>
  </si>
  <si>
    <t>ドアより： -</t>
  </si>
  <si>
    <t>外壁面積法による分</t>
    <phoneticPr fontId="5"/>
  </si>
  <si>
    <t>隙間風合計：</t>
    <phoneticPr fontId="5"/>
  </si>
  <si>
    <t>h-t基準</t>
  </si>
  <si>
    <t>h-t基準</t>
    <phoneticPr fontId="12"/>
  </si>
  <si>
    <t>Jc-t基準</t>
  </si>
  <si>
    <t>Jc-t基準</t>
    <phoneticPr fontId="12"/>
  </si>
  <si>
    <t>Js-t基準</t>
  </si>
  <si>
    <t>Js-t基準</t>
    <phoneticPr fontId="12"/>
  </si>
  <si>
    <t>隙間風→→</t>
    <phoneticPr fontId="12"/>
  </si>
  <si>
    <t>外壁面積法による分</t>
    <phoneticPr fontId="3"/>
  </si>
  <si>
    <t>隙間風合計：</t>
    <phoneticPr fontId="3"/>
  </si>
  <si>
    <t>内部負荷</t>
    <phoneticPr fontId="5"/>
  </si>
  <si>
    <t>r</t>
    <phoneticPr fontId="5"/>
  </si>
  <si>
    <t>取得熱量</t>
    <phoneticPr fontId="3"/>
  </si>
  <si>
    <t>内部負荷</t>
    <phoneticPr fontId="5"/>
  </si>
  <si>
    <t>時刻</t>
    <phoneticPr fontId="5"/>
  </si>
  <si>
    <t>損失熱量</t>
    <phoneticPr fontId="5"/>
  </si>
  <si>
    <t>人間</t>
    <phoneticPr fontId="5"/>
  </si>
  <si>
    <t>×稼働率r</t>
  </si>
  <si>
    <t>照明</t>
    <phoneticPr fontId="5"/>
  </si>
  <si>
    <t>OA機器</t>
    <phoneticPr fontId="3"/>
  </si>
  <si>
    <t>大形事務器、生産装置</t>
    <phoneticPr fontId="5"/>
  </si>
  <si>
    <t>その他の顕熱負荷</t>
    <phoneticPr fontId="5"/>
  </si>
  <si>
    <t>③顕熱負荷3 [W]</t>
    <phoneticPr fontId="5"/>
  </si>
  <si>
    <t>隙間風</t>
    <phoneticPr fontId="5"/>
  </si>
  <si>
    <t>⊿t</t>
    <phoneticPr fontId="3"/>
  </si>
  <si>
    <t>顕熱負荷</t>
    <phoneticPr fontId="3"/>
  </si>
  <si>
    <t>④顕熱負荷4[W]</t>
    <phoneticPr fontId="5"/>
  </si>
  <si>
    <t>地中構造体</t>
    <phoneticPr fontId="5"/>
  </si>
  <si>
    <t>外気に接する長さL[m]</t>
    <phoneticPr fontId="12"/>
  </si>
  <si>
    <t>周長基準熱貫流率U</t>
    <phoneticPr fontId="12"/>
  </si>
  <si>
    <t>L・U・⊿t</t>
    <phoneticPr fontId="5"/>
  </si>
  <si>
    <t>L・U・⊿t</t>
    <phoneticPr fontId="3"/>
  </si>
  <si>
    <t>⊿t</t>
    <phoneticPr fontId="5"/>
  </si>
  <si>
    <t>土間床</t>
    <phoneticPr fontId="12"/>
  </si>
  <si>
    <t>地中壁</t>
    <phoneticPr fontId="12"/>
  </si>
  <si>
    <t>⑤顕熱負荷5 [W]</t>
    <phoneticPr fontId="5"/>
  </si>
  <si>
    <t>蓄熱負荷</t>
    <phoneticPr fontId="5"/>
  </si>
  <si>
    <t>取得熱量</t>
    <phoneticPr fontId="3"/>
  </si>
  <si>
    <t>地上（HASPEEの方法による分）</t>
    <phoneticPr fontId="12"/>
  </si>
  <si>
    <t>地中（井上の方法による分）</t>
    <phoneticPr fontId="12"/>
  </si>
  <si>
    <t>⑥顕熱負荷6 [W]</t>
    <phoneticPr fontId="5"/>
  </si>
  <si>
    <t>⑦顕熱負荷小計　①+②+③+④+⑤+⑥ [W]</t>
    <phoneticPr fontId="5"/>
  </si>
  <si>
    <t>⑧余裕係数×送風機負荷係数</t>
    <phoneticPr fontId="5"/>
  </si>
  <si>
    <t>1.00×1.05</t>
  </si>
  <si>
    <t>⑧余裕係数×送風機負荷係数</t>
    <phoneticPr fontId="5"/>
  </si>
  <si>
    <t>⑧余裕係数</t>
    <phoneticPr fontId="5"/>
  </si>
  <si>
    <t xml:space="preserve"> (A)顕熱負荷 ⑦×⑧ [W]</t>
    <phoneticPr fontId="5"/>
  </si>
  <si>
    <t>潜熱負荷</t>
    <phoneticPr fontId="5"/>
  </si>
  <si>
    <t>絶対湿度差⊿xの単位：[g/kg]</t>
    <phoneticPr fontId="36"/>
  </si>
  <si>
    <t>r,⊿x</t>
    <phoneticPr fontId="3"/>
  </si>
  <si>
    <t>その他の潜熱負荷</t>
    <phoneticPr fontId="5"/>
  </si>
  <si>
    <t>(B)潜熱負荷合計 [W]</t>
    <phoneticPr fontId="5"/>
  </si>
  <si>
    <t>(C)室内全熱負荷　(A)+(B) [W]</t>
    <phoneticPr fontId="5"/>
  </si>
  <si>
    <t>単位負荷（室内全熱負荷(C)／室面積） [W/m2]</t>
    <phoneticPr fontId="5"/>
  </si>
  <si>
    <t>空調使用時間：</t>
    <phoneticPr fontId="5"/>
  </si>
  <si>
    <t>冷暖</t>
    <phoneticPr fontId="3"/>
  </si>
  <si>
    <t>冷房設計用蓄熱負荷の計算</t>
    <phoneticPr fontId="5"/>
  </si>
  <si>
    <t>暖房設計用蓄熱負荷の計算</t>
    <phoneticPr fontId="5"/>
  </si>
  <si>
    <t>本室の冷房蓄熱負荷の扱い</t>
    <phoneticPr fontId="5"/>
  </si>
  <si>
    <t>連日分、休日分の両方を考慮</t>
    <phoneticPr fontId="5"/>
  </si>
  <si>
    <t>本室の暖房蓄熱負荷の扱い</t>
    <phoneticPr fontId="5"/>
  </si>
  <si>
    <t>予冷時間</t>
    <phoneticPr fontId="5"/>
  </si>
  <si>
    <t>予熱時間</t>
    <phoneticPr fontId="5"/>
  </si>
  <si>
    <t>予冷終了後の負荷変動に対する公比 r</t>
    <phoneticPr fontId="5"/>
  </si>
  <si>
    <t>予熱時間補正係数 Cp</t>
    <phoneticPr fontId="5"/>
  </si>
  <si>
    <t xml:space="preserve"> 表1　窓方位係数 Csr と予冷時間補正係数 Cp 窓面積比 Ag/Afの計算</t>
    <phoneticPr fontId="5"/>
  </si>
  <si>
    <t xml:space="preserve"> 表2　窓方位係数 Csr の計算</t>
    <phoneticPr fontId="5"/>
  </si>
  <si>
    <t>方位</t>
    <phoneticPr fontId="5"/>
  </si>
  <si>
    <t>窓面積Ag</t>
    <phoneticPr fontId="5"/>
  </si>
  <si>
    <t>Csr</t>
    <phoneticPr fontId="5"/>
  </si>
  <si>
    <t>Cp</t>
    <phoneticPr fontId="5"/>
  </si>
  <si>
    <t>Ag×Csr</t>
    <phoneticPr fontId="5"/>
  </si>
  <si>
    <t>Ag×Cp</t>
    <phoneticPr fontId="5"/>
  </si>
  <si>
    <t>窓面積Ag×SG</t>
    <phoneticPr fontId="5"/>
  </si>
  <si>
    <t>Ag×SG×Csr</t>
    <phoneticPr fontId="5"/>
  </si>
  <si>
    <t>一般方位</t>
    <phoneticPr fontId="3"/>
  </si>
  <si>
    <t>SE,S,SW</t>
    <phoneticPr fontId="3"/>
  </si>
  <si>
    <t>合計</t>
    <phoneticPr fontId="5"/>
  </si>
  <si>
    <t>加重平均</t>
    <phoneticPr fontId="5"/>
  </si>
  <si>
    <t>床面積Af=</t>
    <phoneticPr fontId="5"/>
  </si>
  <si>
    <t>[㎡]</t>
    <phoneticPr fontId="5"/>
  </si>
  <si>
    <t>注：SGは対象の窓ガラスの1月30日9時における日照面積率</t>
    <phoneticPr fontId="5"/>
  </si>
  <si>
    <t>窓面積比=Ag/Af=</t>
    <phoneticPr fontId="5"/>
  </si>
  <si>
    <t>t-x基準12時の水平面全天日射量</t>
    <phoneticPr fontId="5"/>
  </si>
  <si>
    <t>[W/㎡]</t>
    <phoneticPr fontId="5"/>
  </si>
  <si>
    <t>上記による軽減係数</t>
    <phoneticPr fontId="5"/>
  </si>
  <si>
    <t>地域と設計室温の補正係数　Ct　の計算</t>
    <phoneticPr fontId="35"/>
  </si>
  <si>
    <t>Csrの決定値</t>
    <phoneticPr fontId="5"/>
  </si>
  <si>
    <t>Jc-t基準気象データの6時の外気温度 to6Jct</t>
    <phoneticPr fontId="5"/>
  </si>
  <si>
    <t>[℃]</t>
    <phoneticPr fontId="5"/>
  </si>
  <si>
    <t>冷房室内設計温度 tr</t>
    <phoneticPr fontId="5"/>
  </si>
  <si>
    <t>表3　熱損失係数 Kt および</t>
    <phoneticPr fontId="5"/>
  </si>
  <si>
    <t xml:space="preserve">⊿t=to6Jct-tr= 27.3 [℃]- 26.0 [℃]= </t>
  </si>
  <si>
    <t>基準負荷(連日運転) qbase0、基準負荷(休日成分) qbase1 の計算</t>
    <phoneticPr fontId="5"/>
  </si>
  <si>
    <t xml:space="preserve">Ct=0.22×(⊿t-1.3) = 0.22×(1.3 -1.3)= </t>
  </si>
  <si>
    <t>1Kあたりの熱損失[W/K]</t>
    <phoneticPr fontId="5"/>
  </si>
  <si>
    <t>床面積Af
[㎡]</t>
    <phoneticPr fontId="5"/>
  </si>
  <si>
    <t>Ct決定値　</t>
  </si>
  <si>
    <t>窓
ΣU・A</t>
    <phoneticPr fontId="5"/>
  </si>
  <si>
    <t>外壁・屋根
ΣU・A</t>
    <phoneticPr fontId="5"/>
  </si>
  <si>
    <t>内壁・天井
・床
ΣU・Aj</t>
    <phoneticPr fontId="5"/>
  </si>
  <si>
    <t>隙間風
cρV</t>
    <phoneticPr fontId="5"/>
  </si>
  <si>
    <t>連日運転の実用蓄熱負荷 qst0　の計算</t>
    <phoneticPr fontId="5"/>
  </si>
  <si>
    <t xml:space="preserve">qst0=13(1+Ct+Csr)Ag/Af+7=13×(1+ 0.00+0.00)×0.20 +7 = </t>
  </si>
  <si>
    <t>実用蓄熱負荷の休日成分 qst1 の計算</t>
    <phoneticPr fontId="5"/>
  </si>
  <si>
    <t xml:space="preserve">qst1=47(1+0.6Ct)Ag/Af+10=47×(1+0.6×0.00)×0.20 +10 = </t>
  </si>
  <si>
    <t>冷房設計用実用蓄熱負荷の各値の計算</t>
    <phoneticPr fontId="5"/>
  </si>
  <si>
    <t>連日運転分
[W/㎡]</t>
    <phoneticPr fontId="5"/>
  </si>
  <si>
    <t>休日成分
[W/㎡]</t>
    <phoneticPr fontId="5"/>
  </si>
  <si>
    <t>合計
[W/㎡]</t>
    <phoneticPr fontId="5"/>
  </si>
  <si>
    <t>熱損失係数 Kt</t>
    <phoneticPr fontId="5"/>
  </si>
  <si>
    <t>予冷終了時</t>
    <phoneticPr fontId="5"/>
  </si>
  <si>
    <t>Cp×1.0×qst0=</t>
  </si>
  <si>
    <t>1.0×qst1=</t>
  </si>
  <si>
    <t>予冷終了後</t>
    <phoneticPr fontId="5"/>
  </si>
  <si>
    <t>0.65×qst0=</t>
  </si>
  <si>
    <t>0.65×qst1=</t>
  </si>
  <si>
    <t>t-Jh基準気象データの9時の外気温度 to9Jh</t>
    <phoneticPr fontId="5"/>
  </si>
  <si>
    <t>暖房室内設計温度 tr</t>
    <phoneticPr fontId="5"/>
  </si>
  <si>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</si>
  <si>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</si>
  <si>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</si>
  <si>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</si>
  <si>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</si>
  <si>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</si>
  <si>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</si>
  <si>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(1+ 0.00 )× 56.4 -20= </t>
  </si>
  <si>
    <t>経過時間
j [h]</t>
    <phoneticPr fontId="5"/>
  </si>
  <si>
    <t>Cj0</t>
    <phoneticPr fontId="5"/>
  </si>
  <si>
    <t>連日分
[W/㎡]</t>
    <phoneticPr fontId="5"/>
  </si>
  <si>
    <t>qst0 の決定値　</t>
  </si>
  <si>
    <t xml:space="preserve">qst1=(1+1.8Ct-Csr)qbase1=(1+1.8× 0.00 - 0.65 )× 38.4 = </t>
  </si>
  <si>
    <t>暖房設計用実用蓄熱負荷合計値　qst</t>
    <phoneticPr fontId="5"/>
  </si>
  <si>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</si>
  <si>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</si>
  <si>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</si>
  <si>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</si>
  <si>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</si>
  <si>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</si>
  <si>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S・S.C.・ig</t>
    <phoneticPr fontId="12"/>
  </si>
  <si>
    <t>S・S.C.・ig</t>
    <phoneticPr fontId="12"/>
  </si>
  <si>
    <t>遮蔽係数SC</t>
    <phoneticPr fontId="12"/>
  </si>
  <si>
    <t>ig</t>
    <phoneticPr fontId="5"/>
  </si>
  <si>
    <t>-</t>
    <phoneticPr fontId="5"/>
  </si>
  <si>
    <t>-</t>
    <phoneticPr fontId="5"/>
  </si>
  <si>
    <t>-</t>
    <phoneticPr fontId="5"/>
  </si>
  <si>
    <t>①顕熱負荷1 [W]</t>
    <phoneticPr fontId="5"/>
  </si>
  <si>
    <t>①顕熱負荷1 [W]</t>
    <phoneticPr fontId="5"/>
  </si>
  <si>
    <t>①顕熱負荷1 [W]</t>
    <phoneticPr fontId="5"/>
  </si>
  <si>
    <t>面積S[m2]</t>
    <phoneticPr fontId="5"/>
  </si>
  <si>
    <t>S・U・⊿t</t>
    <phoneticPr fontId="5"/>
  </si>
  <si>
    <t>S・U・⊿t</t>
    <phoneticPr fontId="5"/>
  </si>
  <si>
    <t>S・U・⊿t</t>
    <phoneticPr fontId="5"/>
  </si>
  <si>
    <t>S・U・⊿t</t>
    <phoneticPr fontId="5"/>
  </si>
  <si>
    <t>S・U・⊿t</t>
    <phoneticPr fontId="5"/>
  </si>
  <si>
    <t>面積S[m2]</t>
    <phoneticPr fontId="5"/>
  </si>
  <si>
    <t>⊿t</t>
    <phoneticPr fontId="5"/>
  </si>
  <si>
    <t>⊿t</t>
    <phoneticPr fontId="5"/>
  </si>
  <si>
    <t>②顕熱負荷2 [W]</t>
    <phoneticPr fontId="5"/>
  </si>
  <si>
    <t>r</t>
    <phoneticPr fontId="5"/>
  </si>
  <si>
    <t>更衣室(M)</t>
  </si>
  <si>
    <t>9時-18時</t>
    <phoneticPr fontId="5"/>
  </si>
  <si>
    <t>h-t</t>
  </si>
  <si>
    <t>冷房設計
最大負荷
(顕熱負荷
により決定、
h-t基準
採用)
↓
↓
↓</t>
    <phoneticPr fontId="5"/>
  </si>
  <si>
    <t>暖房設計
最大負荷
(顕熱負荷
により決定、
t-Jh基準
採用)
↓
↓
↓</t>
    <phoneticPr fontId="5"/>
  </si>
  <si>
    <t>室名</t>
    <phoneticPr fontId="5"/>
  </si>
  <si>
    <t>更衣室(M)</t>
    <phoneticPr fontId="3"/>
  </si>
  <si>
    <t>夜間外気風量[m3/h]</t>
    <phoneticPr fontId="5"/>
  </si>
  <si>
    <t xml:space="preserve">qst0=13(1+Ct+Csr)Ag/Af+7=13×(1+ 0.00+0.00)×0.00 +7 = </t>
  </si>
  <si>
    <t xml:space="preserve">qst1=47(1+0.6Ct)Ag/Af+10=47×(1+0.6×0.00)×0.00 +10 = </t>
  </si>
  <si>
    <t xml:space="preserve">qst0=Cp(1+Ct)qbase0-20=1.00× (1+ 0.00 )× 56.6 -20= </t>
  </si>
  <si>
    <t xml:space="preserve">qst1=(1+1.8Ct-Csr)qbase1=(1+1.8× 0.00 - 0.00 )× 38.4 = </t>
  </si>
  <si>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</si>
  <si>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</si>
  <si>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ig</t>
    <phoneticPr fontId="5"/>
  </si>
  <si>
    <t>S・S.C.・ig</t>
    <phoneticPr fontId="12"/>
  </si>
  <si>
    <t>遮蔽係数SC</t>
    <phoneticPr fontId="12"/>
  </si>
  <si>
    <t>-</t>
    <phoneticPr fontId="5"/>
  </si>
  <si>
    <t>①顕熱負荷1 [W]</t>
    <phoneticPr fontId="5"/>
  </si>
  <si>
    <t>S・U・⊿t</t>
    <phoneticPr fontId="5"/>
  </si>
  <si>
    <t>S・U・⊿t</t>
    <phoneticPr fontId="5"/>
  </si>
  <si>
    <t>S・U・⊿t</t>
    <phoneticPr fontId="5"/>
  </si>
  <si>
    <t>面積S[m2]</t>
    <phoneticPr fontId="5"/>
  </si>
  <si>
    <t>⊿t</t>
    <phoneticPr fontId="5"/>
  </si>
  <si>
    <t>②顕熱負荷2 [W]</t>
    <phoneticPr fontId="5"/>
  </si>
  <si>
    <t>更衣室(F)</t>
  </si>
  <si>
    <t>9時-18時</t>
    <phoneticPr fontId="5"/>
  </si>
  <si>
    <t>Jc-t</t>
  </si>
  <si>
    <t>冷房設計
最大負荷
(顕熱負荷
により決定、
Jc-t基準
採用)
↓
↓
↓</t>
    <phoneticPr fontId="5"/>
  </si>
  <si>
    <t>暖房設計
最大負荷
(顕熱負荷
により決定、
t-Jh基準
採用)
↓
↓
↓</t>
    <phoneticPr fontId="5"/>
  </si>
  <si>
    <t>更衣室(F)</t>
    <phoneticPr fontId="3"/>
  </si>
  <si>
    <t>夜間外気風量[m3/h]</t>
    <phoneticPr fontId="5"/>
  </si>
  <si>
    <t>⑧余裕係数</t>
    <phoneticPr fontId="5"/>
  </si>
  <si>
    <t xml:space="preserve">qst0=Cp(1+Ct)qbase0-20=1.00× (1+ 0.00 )× 60.1 -20= </t>
  </si>
  <si>
    <t xml:space="preserve">qst1=(1+1.8Ct-Csr)qbase1=(1+1.8× 0.00 - 0.00 )× 39.4 = </t>
  </si>
  <si>
    <t>室名</t>
    <phoneticPr fontId="5"/>
  </si>
  <si>
    <t>面積S[m2]</t>
    <phoneticPr fontId="5"/>
  </si>
  <si>
    <t>遮蔽係数SC</t>
    <phoneticPr fontId="12"/>
  </si>
  <si>
    <t>ig</t>
    <phoneticPr fontId="5"/>
  </si>
  <si>
    <t>S・S.C.・ig</t>
    <phoneticPr fontId="12"/>
  </si>
  <si>
    <t>-</t>
    <phoneticPr fontId="5"/>
  </si>
  <si>
    <t>S・U・⊿t</t>
    <phoneticPr fontId="5"/>
  </si>
  <si>
    <t>⊿t</t>
    <phoneticPr fontId="5"/>
  </si>
  <si>
    <t>②顕熱負荷2 [W]</t>
    <phoneticPr fontId="5"/>
  </si>
  <si>
    <t>⑥顕熱負荷6 [W]</t>
    <phoneticPr fontId="5"/>
  </si>
  <si>
    <t>展示スペース</t>
  </si>
  <si>
    <t>9時-18時</t>
    <phoneticPr fontId="5"/>
  </si>
  <si>
    <t>冷房設計
最大負荷
(顕熱負荷
により決定、
Jc-t基準
採用)
↓
↓
↓</t>
    <phoneticPr fontId="5"/>
  </si>
  <si>
    <t>暖房設計
最大負荷
(顕熱負荷
により決定、
t-Jh基準
採用)
↓
↓
↓</t>
    <phoneticPr fontId="5"/>
  </si>
  <si>
    <t>室NO</t>
    <phoneticPr fontId="5"/>
  </si>
  <si>
    <t>展示スペース</t>
    <phoneticPr fontId="3"/>
  </si>
  <si>
    <t>設計外気風量[m3/h]</t>
    <phoneticPr fontId="5"/>
  </si>
  <si>
    <t>内部負荷</t>
    <phoneticPr fontId="5"/>
  </si>
  <si>
    <t>E</t>
    <phoneticPr fontId="3"/>
  </si>
  <si>
    <t>E,W</t>
    <phoneticPr fontId="3"/>
  </si>
  <si>
    <t xml:space="preserve">qst0=13(1+Ct+Csr)Ag/Af+7=13×(1+ 0.00+1.80)×0.10 +7 = </t>
  </si>
  <si>
    <t xml:space="preserve">qst1=47(1+0.6Ct)Ag/Af+10=47×(1+0.6×0.00)×0.10 +10 = </t>
  </si>
  <si>
    <t xml:space="preserve">qst0=Cp(1+Ct)qbase0-20=1.00× (1+ 0.00 )× 49.8 -20= </t>
  </si>
  <si>
    <t xml:space="preserve">qst1=(1+1.8Ct-Csr)qbase1=(1+1.8× 0.00 - 0.30 )× 36.0 = </t>
  </si>
  <si>
    <t>系統別集計表</t>
  </si>
  <si>
    <t xml:space="preserve">  空調機系統ごとに集計し、外気負荷を考慮した空調機の容量を求めています。</t>
  </si>
  <si>
    <t>[g/kg]</t>
    <phoneticPr fontId="12"/>
  </si>
  <si>
    <t>[kJ/kg]</t>
    <phoneticPr fontId="12"/>
  </si>
  <si>
    <t>[％]</t>
    <phoneticPr fontId="12"/>
  </si>
  <si>
    <t>[℃]</t>
    <phoneticPr fontId="12"/>
  </si>
  <si>
    <t>暖房</t>
    <rPh sb="0" eb="2">
      <t>ダンボウ</t>
    </rPh>
    <phoneticPr fontId="12"/>
  </si>
  <si>
    <t>冷房</t>
    <rPh sb="0" eb="2">
      <t>レイボウ</t>
    </rPh>
    <phoneticPr fontId="12"/>
  </si>
  <si>
    <t>合計</t>
    <phoneticPr fontId="12"/>
  </si>
  <si>
    <t>他ゾーンへ</t>
    <rPh sb="0" eb="1">
      <t>タ</t>
    </rPh>
    <phoneticPr fontId="36"/>
  </si>
  <si>
    <t>給気
風量</t>
    <rPh sb="0" eb="2">
      <t>キュウキ</t>
    </rPh>
    <rPh sb="3" eb="5">
      <t>フウリョウ</t>
    </rPh>
    <phoneticPr fontId="12"/>
  </si>
  <si>
    <t>顕熱負荷
より</t>
    <rPh sb="0" eb="2">
      <t>ケンネツ</t>
    </rPh>
    <rPh sb="2" eb="4">
      <t>フカ</t>
    </rPh>
    <phoneticPr fontId="36"/>
  </si>
  <si>
    <t>絶対湿度</t>
    <rPh sb="0" eb="2">
      <t>ゼッタイ</t>
    </rPh>
    <rPh sb="2" eb="4">
      <t>シツド</t>
    </rPh>
    <phoneticPr fontId="12"/>
  </si>
  <si>
    <t>比エンタルピ</t>
    <rPh sb="0" eb="1">
      <t>ヒ</t>
    </rPh>
    <phoneticPr fontId="12"/>
  </si>
  <si>
    <t>相対湿度</t>
    <rPh sb="0" eb="2">
      <t>ソウタイ</t>
    </rPh>
    <rPh sb="2" eb="4">
      <t>シツド</t>
    </rPh>
    <phoneticPr fontId="12"/>
  </si>
  <si>
    <t>乾球温度</t>
    <rPh sb="0" eb="2">
      <t>カンキュウ</t>
    </rPh>
    <rPh sb="2" eb="4">
      <t>オンド</t>
    </rPh>
    <phoneticPr fontId="12"/>
  </si>
  <si>
    <t>④給気
風量</t>
    <rPh sb="1" eb="3">
      <t>キュウキ</t>
    </rPh>
    <rPh sb="4" eb="6">
      <t>フウリョウ</t>
    </rPh>
    <phoneticPr fontId="12"/>
  </si>
  <si>
    <t>③換気回数より</t>
    <rPh sb="1" eb="3">
      <t>カンキ</t>
    </rPh>
    <rPh sb="3" eb="5">
      <t>カイスウ</t>
    </rPh>
    <phoneticPr fontId="36"/>
  </si>
  <si>
    <t>②顕熱
負荷より</t>
    <rPh sb="1" eb="3">
      <t>ケンネツ</t>
    </rPh>
    <rPh sb="4" eb="6">
      <t>フカ</t>
    </rPh>
    <phoneticPr fontId="36"/>
  </si>
  <si>
    <t>①設計
外気量</t>
    <rPh sb="1" eb="3">
      <t>セッケイ</t>
    </rPh>
    <rPh sb="4" eb="6">
      <t>ガイキ</t>
    </rPh>
    <rPh sb="6" eb="7">
      <t>リョウ</t>
    </rPh>
    <phoneticPr fontId="36"/>
  </si>
  <si>
    <t>合計</t>
    <rPh sb="0" eb="2">
      <t>ゴウケイ</t>
    </rPh>
    <phoneticPr fontId="12"/>
  </si>
  <si>
    <t>潜熱
負荷</t>
    <phoneticPr fontId="12"/>
  </si>
  <si>
    <t>暖房時</t>
    <rPh sb="0" eb="2">
      <t>ダンボウ</t>
    </rPh>
    <rPh sb="2" eb="3">
      <t>ジ</t>
    </rPh>
    <phoneticPr fontId="12"/>
  </si>
  <si>
    <t>冷房時</t>
    <rPh sb="0" eb="2">
      <t>レイボウ</t>
    </rPh>
    <rPh sb="2" eb="3">
      <t>ジ</t>
    </rPh>
    <phoneticPr fontId="12"/>
  </si>
  <si>
    <t>換気
回数
[回/h]</t>
    <phoneticPr fontId="12"/>
  </si>
  <si>
    <t>送風量[㎥/h]</t>
    <phoneticPr fontId="36"/>
  </si>
  <si>
    <t>吹出温度差[K]</t>
    <rPh sb="0" eb="2">
      <t>フキダ</t>
    </rPh>
    <rPh sb="2" eb="5">
      <t>オンドサ</t>
    </rPh>
    <phoneticPr fontId="36"/>
  </si>
  <si>
    <t>暖房負荷（最大値）[W]</t>
    <rPh sb="0" eb="2">
      <t>ダンボウ</t>
    </rPh>
    <rPh sb="5" eb="8">
      <t>サイダイチ</t>
    </rPh>
    <phoneticPr fontId="39"/>
  </si>
  <si>
    <t>再熱
負荷
[W]</t>
    <rPh sb="0" eb="1">
      <t>サイ</t>
    </rPh>
    <rPh sb="1" eb="2">
      <t>ネツ</t>
    </rPh>
    <phoneticPr fontId="36"/>
  </si>
  <si>
    <t>冷房負荷（最大値）[W]</t>
    <rPh sb="5" eb="8">
      <t>サイダイチ</t>
    </rPh>
    <phoneticPr fontId="39"/>
  </si>
  <si>
    <t>容積
[㎥]</t>
    <phoneticPr fontId="36"/>
  </si>
  <si>
    <t>天井高
[m]</t>
    <phoneticPr fontId="12"/>
  </si>
  <si>
    <t>面積
[㎡]</t>
    <phoneticPr fontId="12"/>
  </si>
  <si>
    <t>室　　　　名</t>
    <phoneticPr fontId="36"/>
  </si>
  <si>
    <t>端数切上前の
の風量[㎥/h]</t>
    <rPh sb="0" eb="2">
      <t>ハスウ</t>
    </rPh>
    <rPh sb="2" eb="4">
      <t>キリアゲ</t>
    </rPh>
    <rPh sb="4" eb="5">
      <t>マエ</t>
    </rPh>
    <rPh sb="8" eb="10">
      <t>フウリョウ</t>
    </rPh>
    <phoneticPr fontId="12"/>
  </si>
  <si>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2"/>
  </si>
  <si>
    <t>設計時の部屋の温湿度</t>
    <rPh sb="0" eb="3">
      <t>セッケイジ</t>
    </rPh>
    <rPh sb="4" eb="6">
      <t>ヘヤ</t>
    </rPh>
    <rPh sb="7" eb="10">
      <t>オンシツド</t>
    </rPh>
    <phoneticPr fontId="12"/>
  </si>
  <si>
    <t>データチェック用の欄</t>
    <rPh sb="7" eb="8">
      <t>ヨウ</t>
    </rPh>
    <rPh sb="9" eb="10">
      <t>ラン</t>
    </rPh>
    <phoneticPr fontId="12"/>
  </si>
  <si>
    <t>AC-2系統熱負荷集計および風量一覧表</t>
  </si>
  <si>
    <t>ターミナルヒータ記号</t>
    <phoneticPr fontId="12"/>
  </si>
  <si>
    <t>TH-202</t>
  </si>
  <si>
    <t>TH-203</t>
  </si>
  <si>
    <t>合　　　計</t>
  </si>
  <si>
    <t>顕熱
負荷</t>
  </si>
  <si>
    <t>冷房時の系統全体の顕熱比= 0.93[-]</t>
  </si>
  <si>
    <t>注：吹出温度差は風量計算用の値で、実際の値ではありません。</t>
  </si>
  <si>
    <t>26.0[℃]
(26.0[℃])</t>
    <phoneticPr fontId="3"/>
  </si>
  <si>
    <t>50[％]
(49[％])</t>
    <phoneticPr fontId="3"/>
  </si>
  <si>
    <t>53.0[kJ/kg]
(52.6[kJ/kg])</t>
    <phoneticPr fontId="3"/>
  </si>
  <si>
    <t>10.5[g/kg]
(10.4[g/kg])</t>
    <phoneticPr fontId="3"/>
  </si>
  <si>
    <t>冷房設計温湿度目標値（( )内は空調機設計条件における実際値）</t>
    <phoneticPr fontId="5"/>
  </si>
  <si>
    <t>26.0[℃]
(26.0[℃])</t>
    <phoneticPr fontId="3"/>
  </si>
  <si>
    <t>53.0[kJ/kg]
(52.6[kJ/kg])</t>
    <phoneticPr fontId="3"/>
  </si>
  <si>
    <t>10.5[g/kg]
(10.4[g/kg])</t>
    <phoneticPr fontId="3"/>
  </si>
  <si>
    <t>冷房設計温湿度目標値（( )内は空調機設計条件における実際値）</t>
    <phoneticPr fontId="5"/>
  </si>
  <si>
    <t>26.0[℃]
(26.0[℃])</t>
    <phoneticPr fontId="3"/>
  </si>
  <si>
    <t>53.0[kJ/kg]
(52.6[kJ/kg])</t>
    <phoneticPr fontId="3"/>
  </si>
  <si>
    <t>22.0[℃]
(22.0[℃])</t>
    <phoneticPr fontId="3"/>
  </si>
  <si>
    <t>40[％]
(40[％])</t>
    <phoneticPr fontId="3"/>
  </si>
  <si>
    <t>38.9[kJ/kg]
(38.9[kJ/kg])</t>
    <phoneticPr fontId="3"/>
  </si>
  <si>
    <t>6.6[g/kg]
(6.6[g/kg])</t>
    <phoneticPr fontId="3"/>
  </si>
  <si>
    <t>暖房設計温湿度目標値（( )内は空調機設計条件における実際値）</t>
    <phoneticPr fontId="5"/>
  </si>
  <si>
    <t>外気風量[㎥/h]</t>
    <phoneticPr fontId="5"/>
  </si>
  <si>
    <t>外気風量[㎥/h]</t>
    <phoneticPr fontId="5"/>
  </si>
  <si>
    <t>外気負荷 [W]</t>
    <phoneticPr fontId="5"/>
  </si>
  <si>
    <t>外気風量×1.2×⊿h[kJ/kg]/3.6</t>
  </si>
  <si>
    <t>系統別集計表参照</t>
    <phoneticPr fontId="3"/>
  </si>
  <si>
    <t>過冷却負荷= (A) の最大値- (A)  [W]</t>
  </si>
  <si>
    <t>過冷却負荷= (A) の最大値- (A) [W]</t>
  </si>
  <si>
    <t>全負荷 [W]</t>
    <phoneticPr fontId="5"/>
  </si>
  <si>
    <t>再熱負荷=(A) の最大値 - (③×余裕係数) [W]</t>
  </si>
  <si>
    <t>再熱負荷=(A) の最大値-(①+②+④+⑥)×余裕係数[W]</t>
  </si>
  <si>
    <t>加湿量[kg/h]</t>
    <phoneticPr fontId="5"/>
  </si>
  <si>
    <t>外気風量×1.2×⊿x[g/kg]/1000</t>
  </si>
  <si>
    <t>26.0[℃]
(25.9[℃])</t>
    <phoneticPr fontId="3"/>
  </si>
  <si>
    <t>50[％]
(53[％])</t>
    <phoneticPr fontId="3"/>
  </si>
  <si>
    <t>53.0[kJ/kg]
(54.3[kJ/kg])</t>
    <phoneticPr fontId="3"/>
  </si>
  <si>
    <t>10.5[g/kg]
(11.1[g/kg])</t>
    <phoneticPr fontId="3"/>
  </si>
  <si>
    <t>26.0[℃]
(25.9[℃])</t>
    <phoneticPr fontId="3"/>
  </si>
  <si>
    <t>50[％]
(53[％])</t>
    <phoneticPr fontId="3"/>
  </si>
  <si>
    <t>53.0[kJ/kg]
(54.3[kJ/kg])</t>
    <phoneticPr fontId="3"/>
  </si>
  <si>
    <t>10.5[g/kg]
(11.1[g/kg])</t>
    <phoneticPr fontId="3"/>
  </si>
  <si>
    <t>26.0[℃]
(25.9[℃])</t>
    <phoneticPr fontId="3"/>
  </si>
  <si>
    <t>22.0[℃]
(19.1[℃])</t>
    <phoneticPr fontId="3"/>
  </si>
  <si>
    <t>40[％]
(48[％])</t>
    <phoneticPr fontId="3"/>
  </si>
  <si>
    <t>38.9[kJ/kg]
(35.9[kJ/kg])</t>
    <phoneticPr fontId="3"/>
  </si>
  <si>
    <t>外気風量[㎥/h]</t>
    <phoneticPr fontId="5"/>
  </si>
  <si>
    <t>26.0[℃]
(26.0[℃])</t>
    <phoneticPr fontId="3"/>
  </si>
  <si>
    <t>50[％]
(52[％])</t>
    <phoneticPr fontId="3"/>
  </si>
  <si>
    <t>53.0[kJ/kg]
(54.1[kJ/kg])</t>
    <phoneticPr fontId="3"/>
  </si>
  <si>
    <t>10.5[g/kg]
(11.0[g/kg])</t>
    <phoneticPr fontId="3"/>
  </si>
  <si>
    <t>50[％]
(52[％])</t>
    <phoneticPr fontId="3"/>
  </si>
  <si>
    <t>53.0[kJ/kg]
(54.1[kJ/kg])</t>
    <phoneticPr fontId="3"/>
  </si>
  <si>
    <t>10.5[g/kg]
(11.0[g/kg])</t>
    <phoneticPr fontId="3"/>
  </si>
  <si>
    <t>50[％]
(52[％])</t>
    <phoneticPr fontId="3"/>
  </si>
  <si>
    <t>22.0[℃]
(20.5[℃])</t>
    <phoneticPr fontId="3"/>
  </si>
  <si>
    <t>40[％]
(44[％])</t>
    <phoneticPr fontId="3"/>
  </si>
  <si>
    <t>38.9[kJ/kg]
(37.3[kJ/kg])</t>
    <phoneticPr fontId="3"/>
  </si>
  <si>
    <t>暖房設計温湿度目標値（( )内は空調機設計条件における実際値）</t>
    <phoneticPr fontId="5"/>
  </si>
  <si>
    <t>26.0[℃]
(26.0[℃])</t>
    <phoneticPr fontId="3"/>
  </si>
  <si>
    <t>53.0[kJ/kg]
(52.5[kJ/kg])</t>
    <phoneticPr fontId="3"/>
  </si>
  <si>
    <t>10.5[g/kg]
(10.4[g/kg])</t>
    <phoneticPr fontId="3"/>
  </si>
  <si>
    <t>冷房設計温湿度目標値（( )内は空調機設計条件における実際値）</t>
    <phoneticPr fontId="5"/>
  </si>
  <si>
    <t>53.0[kJ/kg]
(52.5[kJ/kg])</t>
    <phoneticPr fontId="3"/>
  </si>
  <si>
    <t>22.0[℃]
(22.0[℃])</t>
    <phoneticPr fontId="3"/>
  </si>
  <si>
    <t>40[％]
(40[％])</t>
    <phoneticPr fontId="3"/>
  </si>
  <si>
    <t>38.9[kJ/kg]
(38.9[kJ/kg])</t>
    <phoneticPr fontId="3"/>
  </si>
  <si>
    <t>暖房設計温湿度目標値（( )内は空調機設計条件における実際値）</t>
    <phoneticPr fontId="5"/>
  </si>
  <si>
    <t>外気風量[㎥/h]</t>
    <phoneticPr fontId="5"/>
  </si>
  <si>
    <t>その他の負荷</t>
  </si>
  <si>
    <t>■空調機のファンによる発熱負荷</t>
  </si>
  <si>
    <t>ファンによる温度上昇=500/(1.006×1.2×1000×(60/100))≒0.69[K]</t>
  </si>
  <si>
    <t>発熱負荷=4,010×0.69×1.006×1.2×(1000 / 3600)≒928[W]</t>
  </si>
  <si>
    <t>■風量が過大であることにより増加した過冷却負荷、再熱負荷（風量過大分過冷却負荷、風量過大分再熱負荷）</t>
  </si>
  <si>
    <t>風量過大分過冷却負荷=風量過大分再熱負荷=(4,010 - 3,540)×(26.00 - 15.83)×1.006×1.2×(1000 / 3600)｝≒1,603[W]</t>
  </si>
  <si>
    <t>外気条件，システム条件など</t>
    <rPh sb="0" eb="2">
      <t>ガイキ</t>
    </rPh>
    <rPh sb="2" eb="4">
      <t>ジョウケン</t>
    </rPh>
    <rPh sb="9" eb="11">
      <t>ジョウケン</t>
    </rPh>
    <phoneticPr fontId="12"/>
  </si>
  <si>
    <t>湿り空気 h-x 線図
大気圧 101.325[kPa]</t>
  </si>
  <si>
    <t xml:space="preserve"> </t>
  </si>
  <si>
    <t>①：外気(冷房)</t>
  </si>
  <si>
    <t>②：外気 - 還気</t>
  </si>
  <si>
    <t>　 混合点=冷却コイル入口</t>
  </si>
  <si>
    <t>③：冷却コイル出口</t>
  </si>
  <si>
    <t>④：中央空調機出口(冷房)</t>
  </si>
  <si>
    <t>⑤：最大負荷時の</t>
  </si>
  <si>
    <t>　 ターミナルヒータ出口(冷房)</t>
  </si>
  <si>
    <t>　 (TH-202系統 の場合)</t>
  </si>
  <si>
    <t>　 (参考、風量が</t>
  </si>
  <si>
    <t>　 　過大であることによる)</t>
  </si>
  <si>
    <t>⑥：室内(冷房)</t>
  </si>
  <si>
    <t>⑦：外気(暖房)</t>
  </si>
  <si>
    <t>⑧：外気-還気</t>
  </si>
  <si>
    <t>　 混合点(暖房)</t>
  </si>
  <si>
    <t>⑨：ターミナルヒータ入口(暖房)</t>
  </si>
  <si>
    <t>⑩：暖房時給気</t>
  </si>
  <si>
    <t>　 =ターミナルヒータ出口</t>
  </si>
  <si>
    <t>⑪：室内(暖房)</t>
  </si>
  <si>
    <t>凡例</t>
    <phoneticPr fontId="3"/>
  </si>
  <si>
    <t>■冷房設計用外気条件：33.7[℃]，56[％](h-t基準)，暖房設計用外気条件：2.0[℃]，32[％](t-x基準)，外気比：0.13[-]</t>
  </si>
  <si>
    <t>■空調機形式：循環式 ，除湿制御：あり(冷却除湿) ，加湿制御：あり(滴下浸透式)</t>
  </si>
  <si>
    <t>■再熱・加熱方式：ターミナルヒータ</t>
  </si>
  <si>
    <t>AC-2系統空気線図</t>
  </si>
  <si>
    <t>　設計風量</t>
  </si>
  <si>
    <r>
      <t>空調機風量=4,010[m</t>
    </r>
    <r>
      <rPr>
        <vertAlign val="superscript"/>
        <sz val="9"/>
        <rFont val="ＭＳ Ｐゴシック"/>
        <family val="3"/>
        <charset val="128"/>
      </rPr>
      <t>3</t>
    </r>
    <r>
      <rPr>
        <sz val="9"/>
        <rFont val="ＭＳ Ｐゴシック"/>
        <family val="3"/>
        <charset val="128"/>
      </rPr>
      <t>/h]，外気風量=530[m</t>
    </r>
    <r>
      <rPr>
        <vertAlign val="superscript"/>
        <sz val="9"/>
        <rFont val="ＭＳ Ｐゴシック"/>
        <family val="3"/>
        <charset val="128"/>
      </rPr>
      <t>3</t>
    </r>
    <r>
      <rPr>
        <sz val="9"/>
        <rFont val="ＭＳ Ｐゴシック"/>
        <family val="3"/>
        <charset val="128"/>
      </rPr>
      <t>/h]</t>
    </r>
  </si>
  <si>
    <r>
      <t>代表ターミナルヒータ(TH-202系統)の風量=2,310[m</t>
    </r>
    <r>
      <rPr>
        <vertAlign val="superscript"/>
        <sz val="9"/>
        <rFont val="ＭＳ Ｐゴシック"/>
        <family val="3"/>
        <charset val="128"/>
      </rPr>
      <t>3</t>
    </r>
    <r>
      <rPr>
        <sz val="9"/>
        <rFont val="ＭＳ Ｐゴシック"/>
        <family val="3"/>
        <charset val="128"/>
      </rPr>
      <t>/h]</t>
    </r>
  </si>
  <si>
    <t>　冷房関連</t>
  </si>
  <si>
    <t>■冷却コイル容量(②→③のプロセス)</t>
  </si>
  <si>
    <r>
      <t>4,010[m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]×(56.5 - 41.1)[kJ/kg] / 3600[sec/h] ≒ 20.6[kW]</t>
    </r>
  </si>
  <si>
    <t>入口空気条件：乾球温度= 27.0[℃]，湿球温度= 19.8[℃]</t>
  </si>
  <si>
    <t>■ターミナルヒータの再熱容量(④→⑥の途中の乾球温度にいたるプロセス、</t>
  </si>
  <si>
    <t>　　　　TH-202系統 の場合)</t>
  </si>
  <si>
    <t>まず、次項「AC-2系統ターミナルヒータ容量計算表」より、</t>
  </si>
  <si>
    <t xml:space="preserve">TH-202系統の再熱負荷の合計は </t>
  </si>
  <si>
    <t>4,740[W]</t>
  </si>
  <si>
    <t>また、給気風量 - 顕熱負荷より計算した風量</t>
  </si>
  <si>
    <t>　=2,310[m3/h] - 1,840[m3/h] = 470[m3/h]</t>
  </si>
  <si>
    <t>なので、風量が過大であることによる過冷却分を相殺するための再熱負荷は、</t>
  </si>
  <si>
    <r>
      <t>470[m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</si>
  <si>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×(26.00 - 15.83)[K] × 1000[W/kW] / 3600[sec/h] ≒ 1,603[W]</t>
  </si>
  <si>
    <t>したがって、再熱負荷の合計値は</t>
  </si>
  <si>
    <t>4,740[W] + 1,603[W] = 6,343[W] (6.4[kW])</t>
  </si>
  <si>
    <t>入口空気条件：乾球温度= 15.8[℃]，湿球温度= 14.9[℃]</t>
  </si>
  <si>
    <t>　暖房関連</t>
  </si>
  <si>
    <t>■加湿器容量(⑧→⑨のプロセス)</t>
  </si>
  <si>
    <r>
      <t>4,010[m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]×(0.0066 - 0.0059)[kg/kg] ≒ 3.4[kg/h]</t>
    </r>
  </si>
  <si>
    <t>入口空気条件：乾球温度= 19.2[℃]，絶対湿度= 0.0059[kg/kg]</t>
  </si>
  <si>
    <t>■ターミナルヒータの加熱容量(⑨→⑩のプロセス、TH-202系統 の場合)</t>
  </si>
  <si>
    <r>
      <t>2,310[m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</si>
  <si>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×(30.12 - 17.55)[K] / 3600[sec/h] ≒ 9.8[kW]</t>
  </si>
  <si>
    <t>入口空気条件：乾球温度= 17.6[℃]，湿球温度= 12.2[℃]</t>
  </si>
  <si>
    <t>　注記</t>
  </si>
  <si>
    <t>■③→④のプロセスはファン、ダクト系の摩擦熱による温度上昇を示します。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</si>
  <si>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</si>
  <si>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</si>
  <si>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</si>
  <si>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</si>
  <si>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AC-2系統空調機容量の計算</t>
  </si>
  <si>
    <t>[kW]</t>
    <phoneticPr fontId="12"/>
  </si>
  <si>
    <t>[W]</t>
    <phoneticPr fontId="12"/>
  </si>
  <si>
    <t>温度差</t>
    <rPh sb="0" eb="3">
      <t>オンドサ</t>
    </rPh>
    <phoneticPr fontId="12"/>
  </si>
  <si>
    <t>出口</t>
    <rPh sb="0" eb="2">
      <t>デグチ</t>
    </rPh>
    <phoneticPr fontId="36"/>
  </si>
  <si>
    <t>入口</t>
    <rPh sb="0" eb="2">
      <t>イリグチ</t>
    </rPh>
    <phoneticPr fontId="36"/>
  </si>
  <si>
    <t>④負荷
[W]</t>
    <rPh sb="1" eb="3">
      <t>フカ</t>
    </rPh>
    <phoneticPr fontId="12"/>
  </si>
  <si>
    <t>出入口温度[℃]</t>
    <phoneticPr fontId="12"/>
  </si>
  <si>
    <t>容量
[W]</t>
    <phoneticPr fontId="12"/>
  </si>
  <si>
    <t>出入口温度[℃]</t>
    <rPh sb="0" eb="2">
      <t>デイ</t>
    </rPh>
    <rPh sb="2" eb="3">
      <t>グチ</t>
    </rPh>
    <rPh sb="3" eb="5">
      <t>オンド</t>
    </rPh>
    <phoneticPr fontId="39"/>
  </si>
  <si>
    <t>容量
③+④
[W]</t>
    <phoneticPr fontId="12"/>
  </si>
  <si>
    <t>風量が過大であることによる再熱負荷</t>
    <rPh sb="0" eb="2">
      <t>フウリョウ</t>
    </rPh>
    <rPh sb="3" eb="5">
      <t>カダイ</t>
    </rPh>
    <rPh sb="13" eb="14">
      <t>サイ</t>
    </rPh>
    <rPh sb="14" eb="15">
      <t>ネツ</t>
    </rPh>
    <rPh sb="15" eb="17">
      <t>フカ</t>
    </rPh>
    <phoneticPr fontId="12"/>
  </si>
  <si>
    <t>③各室
再熱負荷
[W]</t>
    <rPh sb="1" eb="3">
      <t>カクシツ</t>
    </rPh>
    <rPh sb="4" eb="5">
      <t>サイ</t>
    </rPh>
    <rPh sb="5" eb="6">
      <t>ネツ</t>
    </rPh>
    <rPh sb="6" eb="8">
      <t>フカ</t>
    </rPh>
    <phoneticPr fontId="12"/>
  </si>
  <si>
    <t>過大風量
②-①</t>
    <rPh sb="0" eb="2">
      <t>カダイ</t>
    </rPh>
    <rPh sb="2" eb="4">
      <t>フウリョウ</t>
    </rPh>
    <phoneticPr fontId="12"/>
  </si>
  <si>
    <t>②給気
風量</t>
    <rPh sb="1" eb="3">
      <t>キュウキ</t>
    </rPh>
    <rPh sb="4" eb="6">
      <t>フウリョウ</t>
    </rPh>
    <phoneticPr fontId="36"/>
  </si>
  <si>
    <t>①顕熱
負荷より</t>
    <rPh sb="1" eb="3">
      <t>ケンネツ</t>
    </rPh>
    <rPh sb="4" eb="6">
      <t>フカ</t>
    </rPh>
    <phoneticPr fontId="36"/>
  </si>
  <si>
    <t>入口空気条件</t>
    <rPh sb="0" eb="2">
      <t>イリグチ</t>
    </rPh>
    <rPh sb="2" eb="4">
      <t>クウキ</t>
    </rPh>
    <rPh sb="4" eb="6">
      <t>ジョウケン</t>
    </rPh>
    <phoneticPr fontId="12"/>
  </si>
  <si>
    <t>最大加熱容量</t>
    <rPh sb="0" eb="2">
      <t>サイダイ</t>
    </rPh>
    <rPh sb="2" eb="4">
      <t>カネツ</t>
    </rPh>
    <rPh sb="4" eb="6">
      <t>ヨウリョウ</t>
    </rPh>
    <phoneticPr fontId="12"/>
  </si>
  <si>
    <t>暖房時加熱容量</t>
    <rPh sb="0" eb="2">
      <t>ダンボウ</t>
    </rPh>
    <rPh sb="2" eb="3">
      <t>ジ</t>
    </rPh>
    <rPh sb="3" eb="5">
      <t>カネツ</t>
    </rPh>
    <rPh sb="5" eb="7">
      <t>ヨウリョウ</t>
    </rPh>
    <phoneticPr fontId="39"/>
  </si>
  <si>
    <t>冷房時再熱容量</t>
    <rPh sb="0" eb="2">
      <t>レイボウ</t>
    </rPh>
    <rPh sb="2" eb="3">
      <t>ジ</t>
    </rPh>
    <rPh sb="3" eb="4">
      <t>サイ</t>
    </rPh>
    <rPh sb="4" eb="5">
      <t>ネツ</t>
    </rPh>
    <rPh sb="5" eb="7">
      <t>ヨウリョウ</t>
    </rPh>
    <phoneticPr fontId="36"/>
  </si>
  <si>
    <r>
      <t>風量[m</t>
    </r>
    <r>
      <rPr>
        <vertAlign val="superscript"/>
        <sz val="9"/>
        <rFont val="ＭＳ Ｐゴシック"/>
        <family val="3"/>
        <charset val="128"/>
      </rPr>
      <t>3</t>
    </r>
    <r>
      <rPr>
        <sz val="9"/>
        <rFont val="ＭＳ Ｐゴシック"/>
        <family val="3"/>
        <charset val="128"/>
      </rPr>
      <t>/h]</t>
    </r>
    <phoneticPr fontId="36"/>
  </si>
  <si>
    <t>室　　　　名</t>
    <phoneticPr fontId="36"/>
  </si>
  <si>
    <t>AC-2系統ターミナルヒータ容量計算表</t>
  </si>
  <si>
    <t>TH-202系統</t>
  </si>
  <si>
    <t>TH-202系統合計</t>
  </si>
  <si>
    <t>乾球温度= 17.6[℃]，湿球温度= 12.2[℃] (暖房時)</t>
  </si>
  <si>
    <t>TH-203系統</t>
  </si>
  <si>
    <t>TH-203系統合計</t>
  </si>
  <si>
    <t>熱源集計表</t>
  </si>
  <si>
    <t xml:space="preserve">  熱源負荷を集計しています。</t>
  </si>
  <si>
    <t>備考</t>
    <rPh sb="0" eb="2">
      <t>ビコウ</t>
    </rPh>
    <phoneticPr fontId="12"/>
  </si>
  <si>
    <t>冷房負荷[W]</t>
    <phoneticPr fontId="39"/>
  </si>
  <si>
    <t>R-1系統冷熱源集計表</t>
  </si>
  <si>
    <t>■AC-2系統 (同系統セット数=1)</t>
  </si>
  <si>
    <t>ファン発熱負荷</t>
  </si>
  <si>
    <t>風量が過大なために増加した冷却負荷</t>
  </si>
  <si>
    <t>AC-2系統合計</t>
  </si>
  <si>
    <t>h-t基準合計</t>
    <phoneticPr fontId="3"/>
  </si>
  <si>
    <t>h-t基準合計</t>
    <phoneticPr fontId="3"/>
  </si>
  <si>
    <t>Jc-t基準合計</t>
    <phoneticPr fontId="3"/>
  </si>
  <si>
    <t>Js-t基準合計</t>
    <phoneticPr fontId="3"/>
  </si>
  <si>
    <t>Js-t基準合計</t>
    <phoneticPr fontId="3"/>
  </si>
  <si>
    <t>最大値(h-t基準，13時)を含む基準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</si>
  <si>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</si>
  <si>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</si>
  <si>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冷房負荷[W]</t>
    <phoneticPr fontId="39"/>
  </si>
  <si>
    <t>R-1系統再熱・再生熱源集計表</t>
  </si>
  <si>
    <t>風量が過大で過冷却になる分の再熱負荷</t>
  </si>
  <si>
    <t>最大値(h-t基準，12時)を含む基準</t>
  </si>
  <si>
    <t>暖房負荷[W]</t>
    <rPh sb="0" eb="2">
      <t>ダンボウ</t>
    </rPh>
    <phoneticPr fontId="39"/>
  </si>
  <si>
    <t>面積
[㎡]</t>
    <phoneticPr fontId="12"/>
  </si>
  <si>
    <t>R-1系統温熱源集計表</t>
  </si>
  <si>
    <t>総　合　計</t>
  </si>
  <si>
    <t>一時側
蒸気量
[kg/h]</t>
    <rPh sb="0" eb="2">
      <t>イチジ</t>
    </rPh>
    <rPh sb="2" eb="3">
      <t>ガワ</t>
    </rPh>
    <rPh sb="4" eb="6">
      <t>ジョウキ</t>
    </rPh>
    <rPh sb="6" eb="7">
      <t>リョウ</t>
    </rPh>
    <phoneticPr fontId="36"/>
  </si>
  <si>
    <t>蒸気量
[kg/h]</t>
    <rPh sb="0" eb="2">
      <t>ジョウキ</t>
    </rPh>
    <rPh sb="2" eb="3">
      <t>リョウ</t>
    </rPh>
    <phoneticPr fontId="36"/>
  </si>
  <si>
    <t>給水量
[kg/h]</t>
    <rPh sb="0" eb="2">
      <t>キュウスイ</t>
    </rPh>
    <rPh sb="2" eb="3">
      <t>リョウ</t>
    </rPh>
    <phoneticPr fontId="36"/>
  </si>
  <si>
    <t>加湿量
[kg/h]</t>
    <rPh sb="0" eb="2">
      <t>カシツ</t>
    </rPh>
    <rPh sb="2" eb="3">
      <t>リョウ</t>
    </rPh>
    <phoneticPr fontId="36"/>
  </si>
  <si>
    <t>t-Jh基準</t>
    <phoneticPr fontId="12"/>
  </si>
  <si>
    <t>熱交換
効率
[％]</t>
    <rPh sb="0" eb="3">
      <t>ネツコウカン</t>
    </rPh>
    <rPh sb="4" eb="6">
      <t>コウリツ</t>
    </rPh>
    <phoneticPr fontId="36"/>
  </si>
  <si>
    <t>一時側蒸気
蒸発潜熱
[kJ/kg]</t>
    <rPh sb="0" eb="2">
      <t>イチジ</t>
    </rPh>
    <rPh sb="2" eb="3">
      <t>ガワ</t>
    </rPh>
    <rPh sb="3" eb="5">
      <t>ジョウキ</t>
    </rPh>
    <rPh sb="6" eb="8">
      <t>ジョウハツ</t>
    </rPh>
    <rPh sb="8" eb="10">
      <t>センネツ</t>
    </rPh>
    <phoneticPr fontId="36"/>
  </si>
  <si>
    <t>加湿蒸気
比エンタルピ
[kJ/kg]</t>
    <rPh sb="0" eb="2">
      <t>カシツ</t>
    </rPh>
    <rPh sb="2" eb="4">
      <t>ジョウキ</t>
    </rPh>
    <rPh sb="5" eb="6">
      <t>ヒ</t>
    </rPh>
    <phoneticPr fontId="36"/>
  </si>
  <si>
    <t>給水有効
利用率
[％]</t>
    <rPh sb="0" eb="2">
      <t>キュウスイ</t>
    </rPh>
    <rPh sb="2" eb="4">
      <t>ユウコウ</t>
    </rPh>
    <rPh sb="5" eb="7">
      <t>リヨウ</t>
    </rPh>
    <rPh sb="7" eb="8">
      <t>リツ</t>
    </rPh>
    <phoneticPr fontId="36"/>
  </si>
  <si>
    <t>加湿器
種別</t>
    <rPh sb="0" eb="2">
      <t>カシツ</t>
    </rPh>
    <rPh sb="2" eb="3">
      <t>キ</t>
    </rPh>
    <rPh sb="4" eb="6">
      <t>シュベツ</t>
    </rPh>
    <phoneticPr fontId="36"/>
  </si>
  <si>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2"/>
  </si>
  <si>
    <t>加湿器仕様</t>
    <rPh sb="0" eb="2">
      <t>カシツ</t>
    </rPh>
    <rPh sb="2" eb="3">
      <t>キ</t>
    </rPh>
    <rPh sb="3" eb="5">
      <t>シヨウ</t>
    </rPh>
    <phoneticPr fontId="12"/>
  </si>
  <si>
    <t>市水系統加湿源集計表</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</si>
  <si>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</si>
  <si>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</si>
  <si>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</si>
  <si>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3"/>
  </si>
  <si>
    <t>某プロジェクト</t>
    <phoneticPr fontId="3"/>
  </si>
  <si>
    <t>空調換気設備</t>
    <phoneticPr fontId="3"/>
  </si>
  <si>
    <t>熱負荷計算書</t>
    <phoneticPr fontId="3"/>
  </si>
  <si>
    <t>私の会社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</si>
</sst>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
    <numFmt numFmtId="190" formatCode="0.00&quot;[㎡]&quot;;;"/>
    <numFmt numFmtId="191" formatCode="0.0\ &quot;[m]&quot;;;"/>
    <numFmt numFmtId="192" formatCode="0.0\ &quot;[㎥]&quot;;;"/>
    <numFmt numFmtId="193" formatCode="#,###"/>
    <numFmt numFmtId="194" formatCode="0.0&quot;[℃]&quot;;\-0.0&quot;[℃]&quot;;"/>
    <numFmt numFmtId="195" formatCode="0&quot;[％]&quot;;;"/>
    <numFmt numFmtId="196" formatCode="#,###.0&quot;[kJ/kg]&quot;;;"/>
    <numFmt numFmtId="197" formatCode="0.0&quot;[g/Kg]&quot;;;"/>
    <numFmt numFmtId="198" formatCode="#,###.0&quot;kJ/kg&quot;"/>
    <numFmt numFmtId="199" formatCode="#,##0&quot;m3/h&quot;;;"/>
    <numFmt numFmtId="200" formatCode="#,##0&quot;[㎥/h]&quot;;;"/>
    <numFmt numFmtId="201" formatCode="#,##0&quot;[㎥/h]&quot;;;&quot;-&quot;"/>
    <numFmt numFmtId="202" formatCode="0&quot;:00&quot;"/>
    <numFmt numFmtId="203" formatCode="##&quot;[h]&quot;"/>
    <numFmt numFmtId="204" formatCode="0;0;&quot;-&quot;"/>
    <numFmt numFmtId="205" formatCode="0.00;\-0.00;0.00;"/>
    <numFmt numFmtId="206" formatCode="0.00;;;@"/>
    <numFmt numFmtId="207" formatCode="0.0;&quot;-&quot;0.0;&quot;-&quot;"/>
    <numFmt numFmtId="208" formatCode="0.00;;;"/>
    <numFmt numFmtId="209" formatCode="&quot;× &quot;0"/>
    <numFmt numFmtId="210" formatCode="0.00_ ;[Red]\-0.00\ "/>
    <numFmt numFmtId="211" formatCode="0.0;;;@"/>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s>
  <fonts count="59">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b/>
      <sz val="11"/>
      <name val="ＭＳ Ｐゴシック"/>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1"/>
      <color theme="1"/>
      <name val="游ゴシック"/>
      <family val="3"/>
      <charset val="128"/>
      <scheme val="minor"/>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gradientFill degree="90">
        <stop position="0">
          <color rgb="FFFFFFFF"/>
        </stop>
        <stop position="1">
          <color rgb="FFB2B2B2"/>
        </stop>
      </gradient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
      <patternFill patternType="solid">
        <fgColor rgb="FFEAEAEA"/>
        <bgColor indexed="64"/>
      </patternFill>
    </fill>
    <fill>
      <patternFill patternType="solid">
        <fgColor rgb="FFFFCC99"/>
        <bgColor indexed="64"/>
      </patternFill>
    </fill>
    <fill>
      <patternFill patternType="solid">
        <fgColor rgb="FFFFCCCC"/>
        <bgColor indexed="64"/>
      </patternFill>
    </fill>
    <fill>
      <patternFill patternType="solid">
        <fgColor indexed="9"/>
        <bgColor indexed="64"/>
      </patternFill>
    </fill>
    <fill>
      <patternFill patternType="gray125">
        <fgColor indexed="10"/>
      </patternFill>
    </fill>
    <fill>
      <patternFill patternType="solid">
        <fgColor rgb="FFEAEAEA"/>
        <bgColor auto="1"/>
      </patternFill>
    </fill>
    <fill>
      <gradientFill degree="90">
        <stop position="0">
          <color rgb="FFFFFFFF"/>
        </stop>
        <stop position="1">
          <color rgb="FFCCFFCC"/>
        </stop>
      </gradientFill>
    </fill>
    <fill>
      <gradientFill degree="90">
        <stop position="0">
          <color rgb="FFFFFFFF"/>
        </stop>
        <stop position="1">
          <color rgb="FFCCECFF"/>
        </stop>
      </gradientFill>
    </fill>
    <fill>
      <gradientFill degree="90">
        <stop position="0">
          <color rgb="FFFFFFFF"/>
        </stop>
        <stop position="1">
          <color rgb="FFCCCCFF"/>
        </stop>
      </gradientFill>
    </fill>
    <fill>
      <gradientFill degree="90">
        <stop position="0">
          <color rgb="FFFFFFFF"/>
        </stop>
        <stop position="1">
          <color rgb="FFFFCC99"/>
        </stop>
      </gradientFill>
    </fill>
    <fill>
      <gradientFill degree="90">
        <stop position="0">
          <color rgb="FFFFFFFF"/>
        </stop>
        <stop position="1">
          <color rgb="FFFFCCCC"/>
        </stop>
      </gradientFill>
    </fill>
    <fill>
      <gradientFill>
        <stop position="0">
          <color rgb="FFFFFFFF"/>
        </stop>
        <stop position="1">
          <color rgb="FFC0C0C0"/>
        </stop>
      </gradientFill>
    </fill>
    <fill>
      <gradientFill>
        <stop position="0">
          <color rgb="FFFFFFFF"/>
        </stop>
        <stop position="1">
          <color rgb="FFEAEAEA"/>
        </stop>
      </gradientFill>
    </fill>
    <fill>
      <gradientFill degree="270">
        <stop position="0">
          <color rgb="FFFFFFFF"/>
        </stop>
        <stop position="1">
          <color rgb="FFC0C0C0"/>
        </stop>
      </gradientFill>
    </fill>
    <fill>
      <patternFill patternType="solid">
        <fgColor rgb="FFFFCCFF"/>
        <bgColor indexed="64"/>
      </patternFill>
    </fill>
    <fill>
      <patternFill patternType="solid">
        <fgColor rgb="FFCCFFFF"/>
        <bgColor indexed="64"/>
      </patternFill>
    </fill>
    <fill>
      <gradientFill degree="90">
        <stop position="0">
          <color rgb="FFEAEAEA"/>
        </stop>
        <stop position="1">
          <color rgb="FFFFFFFF"/>
        </stop>
      </gradientFill>
    </fill>
    <fill>
      <gradientFill degree="270">
        <stop position="0">
          <color rgb="FFFFFFFF"/>
        </stop>
        <stop position="1">
          <color rgb="FFCCFFCC"/>
        </stop>
      </gradientFill>
    </fill>
    <fill>
      <gradientFill degree="270">
        <stop position="0">
          <color rgb="FFFFFFFF"/>
        </stop>
        <stop position="1">
          <color rgb="FFCCECFF"/>
        </stop>
      </gradientFill>
    </fill>
    <fill>
      <gradientFill degree="270">
        <stop position="0">
          <color rgb="FFFFFFFF"/>
        </stop>
        <stop position="1">
          <color rgb="FFCCCCFF"/>
        </stop>
      </gradientFill>
    </fill>
  </fills>
  <borders count="439">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diagonal/>
    </border>
    <border>
      <left/>
      <right/>
      <top style="thin">
        <color rgb="FFF8F8F8"/>
      </top>
      <bottom/>
      <diagonal/>
    </border>
    <border>
      <left/>
      <right style="thin">
        <color rgb="FF808080"/>
      </right>
      <top style="thin">
        <color rgb="FFF8F8F8"/>
      </top>
      <bottom/>
      <diagonal/>
    </border>
    <border>
      <left style="thin">
        <color rgb="FFDDDDDD"/>
      </left>
      <right style="thin">
        <color rgb="FF808080"/>
      </right>
      <top/>
      <bottom/>
      <diagonal/>
    </border>
    <border>
      <left style="thin">
        <color rgb="FF808080"/>
      </left>
      <right/>
      <top/>
      <bottom/>
      <diagonal/>
    </border>
    <border>
      <left/>
      <right style="thin">
        <color rgb="FF808080"/>
      </right>
      <top/>
      <bottom/>
      <diagonal/>
    </border>
    <border>
      <left style="thin">
        <color rgb="FFDDDDDD"/>
      </left>
      <right style="thin">
        <color rgb="FF808080"/>
      </right>
      <top/>
      <bottom style="thin">
        <color rgb="FF777777"/>
      </bottom>
      <diagonal/>
    </border>
    <border>
      <left/>
      <right style="hair">
        <color indexed="64"/>
      </right>
      <top/>
      <bottom/>
      <diagonal/>
    </border>
    <border>
      <left style="thin">
        <color rgb="FF808080"/>
      </left>
      <right/>
      <top/>
      <bottom style="thin">
        <color rgb="FF777777"/>
      </bottom>
      <diagonal/>
    </border>
    <border>
      <left style="hair">
        <color indexed="64"/>
      </left>
      <right/>
      <top/>
      <bottom style="thin">
        <color rgb="FF777777"/>
      </bottom>
      <diagonal/>
    </border>
    <border>
      <left style="thin">
        <color rgb="FF808080"/>
      </left>
      <right style="hair">
        <color indexed="64"/>
      </right>
      <top/>
      <bottom style="thin">
        <color rgb="FF777777"/>
      </bottom>
      <diagonal/>
    </border>
    <border>
      <left style="hair">
        <color indexed="64"/>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style="thin">
        <color rgb="FF808080"/>
      </right>
      <top style="thin">
        <color rgb="FFF8F8F8"/>
      </top>
      <bottom/>
      <diagonal/>
    </border>
    <border>
      <left/>
      <right/>
      <top/>
      <bottom style="thin">
        <color rgb="FF777777"/>
      </bottom>
      <diagonal/>
    </border>
    <border>
      <left/>
      <right style="thin">
        <color rgb="FF808080"/>
      </right>
      <top/>
      <bottom style="thin">
        <color rgb="FF777777"/>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thin">
        <color rgb="FF808080"/>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style="hair">
        <color indexed="64"/>
      </left>
      <right style="hair">
        <color indexed="64"/>
      </right>
      <top style="thin">
        <color auto="1"/>
      </top>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hair">
        <color indexed="64"/>
      </left>
      <right/>
      <top/>
      <bottom style="hair">
        <color indexed="64"/>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s>
  <cellStyleXfs count="19">
    <xf numFmtId="0" fontId="0" fillId="0" borderId="0">
      <alignment vertical="center"/>
    </xf>
    <xf numFmtId="0" fontId="2" fillId="0" borderId="0"/>
    <xf numFmtId="0" fontId="7" fillId="0" borderId="0"/>
    <xf numFmtId="0" fontId="10" fillId="0" borderId="0"/>
    <xf numFmtId="0" fontId="5" fillId="0" borderId="0">
      <alignment vertical="center"/>
    </xf>
    <xf numFmtId="0" fontId="15" fillId="0" borderId="0"/>
    <xf numFmtId="0" fontId="24" fillId="0" borderId="0"/>
    <xf numFmtId="0" fontId="15" fillId="0" borderId="0"/>
    <xf numFmtId="0" fontId="2" fillId="0" borderId="0"/>
    <xf numFmtId="0" fontId="30" fillId="0" borderId="0"/>
    <xf numFmtId="0" fontId="24" fillId="0" borderId="0"/>
    <xf numFmtId="0" fontId="7" fillId="0" borderId="0"/>
    <xf numFmtId="38" fontId="10" fillId="0" borderId="0" applyFont="0" applyFill="0" applyBorder="0" applyAlignment="0" applyProtection="0"/>
    <xf numFmtId="0" fontId="9" fillId="0" borderId="0">
      <alignment vertical="center"/>
    </xf>
    <xf numFmtId="0" fontId="39" fillId="0" borderId="0"/>
    <xf numFmtId="0" fontId="10" fillId="0" borderId="0">
      <alignment vertical="center"/>
    </xf>
    <xf numFmtId="0" fontId="44" fillId="0" borderId="0"/>
    <xf numFmtId="0" fontId="39" fillId="0" borderId="0"/>
    <xf numFmtId="0" fontId="15" fillId="0" borderId="0"/>
  </cellStyleXfs>
  <cellXfs count="1749">
    <xf numFmtId="0" fontId="0" fillId="0" borderId="0" xfId="0">
      <alignment vertical="center"/>
    </xf>
    <xf numFmtId="0" fontId="2" fillId="0" borderId="0" xfId="1" applyFont="1" applyBorder="1" applyAlignment="1" applyProtection="1">
      <alignment vertical="center"/>
      <protection locked="0"/>
    </xf>
    <xf numFmtId="0" fontId="2" fillId="0" borderId="0" xfId="1" applyFont="1" applyBorder="1" applyProtection="1">
      <protection locked="0"/>
    </xf>
    <xf numFmtId="0" fontId="4" fillId="0" borderId="0" xfId="1" applyFont="1" applyAlignment="1" applyProtection="1">
      <alignment horizontal="right"/>
      <protection locked="0"/>
    </xf>
    <xf numFmtId="176" fontId="4" fillId="0" borderId="0" xfId="1" applyNumberFormat="1" applyFont="1" applyProtection="1"/>
    <xf numFmtId="0" fontId="2" fillId="0" borderId="0" xfId="1" applyFont="1" applyProtection="1">
      <protection locked="0"/>
    </xf>
    <xf numFmtId="0" fontId="5" fillId="0" borderId="0" xfId="1" applyFont="1" applyAlignment="1" applyProtection="1">
      <alignment vertical="center"/>
      <protection locked="0"/>
    </xf>
    <xf numFmtId="0" fontId="2" fillId="0" borderId="0" xfId="1" applyNumberFormat="1" applyFont="1" applyProtection="1">
      <protection locked="0"/>
    </xf>
    <xf numFmtId="0" fontId="6" fillId="2" borderId="1" xfId="1" applyFont="1" applyFill="1" applyBorder="1" applyAlignment="1" applyProtection="1">
      <alignment horizontal="center" vertical="center" shrinkToFit="1"/>
      <protection locked="0"/>
    </xf>
    <xf numFmtId="0" fontId="4" fillId="0" borderId="0" xfId="1" applyFont="1" applyAlignment="1" applyProtection="1">
      <alignment vertical="center"/>
      <protection locked="0"/>
    </xf>
    <xf numFmtId="0" fontId="8" fillId="2" borderId="2" xfId="2" applyFont="1" applyFill="1" applyBorder="1" applyAlignment="1" applyProtection="1">
      <alignment horizontal="left" vertical="center" indent="1"/>
      <protection locked="0"/>
    </xf>
    <xf numFmtId="0" fontId="11" fillId="2" borderId="3" xfId="3" applyFont="1" applyFill="1" applyBorder="1" applyAlignment="1">
      <alignment horizontal="center" vertical="center"/>
    </xf>
    <xf numFmtId="0" fontId="11" fillId="2" borderId="3" xfId="3" applyFont="1" applyFill="1" applyBorder="1"/>
    <xf numFmtId="0" fontId="11" fillId="2" borderId="4" xfId="3" applyFont="1" applyFill="1" applyBorder="1" applyAlignment="1">
      <alignment horizontal="center" vertical="center"/>
    </xf>
    <xf numFmtId="0" fontId="11" fillId="0" borderId="0" xfId="3" applyFont="1"/>
    <xf numFmtId="0" fontId="5" fillId="0" borderId="0" xfId="3" applyFont="1"/>
    <xf numFmtId="0" fontId="2" fillId="0" borderId="0" xfId="3" applyFont="1" applyBorder="1" applyAlignment="1">
      <alignment horizontal="center" vertical="center"/>
    </xf>
    <xf numFmtId="0" fontId="5" fillId="0" borderId="0" xfId="3" applyFont="1" applyBorder="1"/>
    <xf numFmtId="0" fontId="5" fillId="0" borderId="0" xfId="3" applyFont="1" applyBorder="1" applyAlignment="1"/>
    <xf numFmtId="0" fontId="5" fillId="0" borderId="0" xfId="3" applyFont="1" applyBorder="1" applyAlignment="1">
      <alignment horizontal="center"/>
    </xf>
    <xf numFmtId="0" fontId="5" fillId="3" borderId="5"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3" xfId="3" applyNumberFormat="1"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177" fontId="5" fillId="0" borderId="15"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13" fillId="4" borderId="17" xfId="4" applyFont="1" applyFill="1" applyBorder="1" applyAlignment="1">
      <alignment horizontal="center" vertical="center"/>
    </xf>
    <xf numFmtId="0" fontId="13" fillId="5" borderId="17" xfId="4" applyFont="1" applyFill="1" applyBorder="1" applyAlignment="1">
      <alignment horizontal="center" vertical="center"/>
    </xf>
    <xf numFmtId="0" fontId="13" fillId="6" borderId="17" xfId="4" applyFont="1" applyFill="1" applyBorder="1" applyAlignment="1">
      <alignment horizontal="center" vertical="center"/>
    </xf>
    <xf numFmtId="0" fontId="14" fillId="3" borderId="5" xfId="3" applyFont="1" applyFill="1" applyBorder="1" applyAlignment="1">
      <alignment horizontal="justify" vertical="justify" wrapText="1"/>
    </xf>
    <xf numFmtId="0" fontId="14" fillId="3" borderId="6" xfId="3" applyFont="1" applyFill="1" applyBorder="1" applyAlignment="1">
      <alignment horizontal="justify" vertical="justify" wrapText="1"/>
    </xf>
    <xf numFmtId="178" fontId="5" fillId="3" borderId="6" xfId="3" applyNumberFormat="1" applyFont="1" applyFill="1" applyBorder="1" applyAlignment="1">
      <alignment horizontal="center" vertical="center"/>
    </xf>
    <xf numFmtId="178" fontId="5" fillId="3" borderId="7" xfId="3" applyNumberFormat="1"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179" fontId="5" fillId="0" borderId="18" xfId="3" applyNumberFormat="1" applyFont="1" applyFill="1" applyBorder="1" applyAlignment="1">
      <alignment horizontal="right" shrinkToFit="1"/>
    </xf>
    <xf numFmtId="179" fontId="5" fillId="0" borderId="19" xfId="3" applyNumberFormat="1" applyFont="1" applyFill="1" applyBorder="1" applyAlignment="1">
      <alignment horizontal="right" shrinkToFit="1"/>
    </xf>
    <xf numFmtId="179" fontId="5" fillId="0" borderId="12" xfId="3" applyNumberFormat="1" applyFont="1" applyFill="1" applyBorder="1" applyAlignment="1">
      <alignment horizontal="right" shrinkToFit="1"/>
    </xf>
    <xf numFmtId="179" fontId="5" fillId="0" borderId="13" xfId="3" applyNumberFormat="1" applyFont="1" applyFill="1" applyBorder="1" applyAlignment="1">
      <alignment horizontal="right" shrinkToFit="1"/>
    </xf>
    <xf numFmtId="0" fontId="16" fillId="2" borderId="3" xfId="5" applyFont="1" applyFill="1" applyBorder="1"/>
    <xf numFmtId="49" fontId="16" fillId="2" borderId="3" xfId="5" applyNumberFormat="1" applyFont="1" applyFill="1" applyBorder="1" applyAlignment="1">
      <alignment horizontal="center"/>
    </xf>
    <xf numFmtId="0" fontId="16" fillId="2" borderId="4" xfId="5" applyFont="1" applyFill="1" applyBorder="1"/>
    <xf numFmtId="0" fontId="16" fillId="0" borderId="0" xfId="5" applyFont="1" applyBorder="1"/>
    <xf numFmtId="0" fontId="13" fillId="0" borderId="0" xfId="5" applyFont="1"/>
    <xf numFmtId="0" fontId="5" fillId="0" borderId="20" xfId="4" applyBorder="1">
      <alignment vertical="center"/>
    </xf>
    <xf numFmtId="0" fontId="5" fillId="0" borderId="0" xfId="4">
      <alignment vertical="center"/>
    </xf>
    <xf numFmtId="0" fontId="17" fillId="0" borderId="0" xfId="5" applyFont="1" applyFill="1" applyBorder="1" applyAlignment="1">
      <alignment horizontal="left" vertical="center" wrapText="1"/>
    </xf>
    <xf numFmtId="0" fontId="13" fillId="7" borderId="21" xfId="5" applyFont="1" applyFill="1" applyBorder="1" applyAlignment="1">
      <alignment horizontal="center" vertical="center"/>
    </xf>
    <xf numFmtId="0" fontId="13" fillId="7" borderId="22" xfId="5" applyFont="1" applyFill="1" applyBorder="1" applyAlignment="1">
      <alignment horizontal="center" vertical="center"/>
    </xf>
    <xf numFmtId="0" fontId="13" fillId="7" borderId="23" xfId="5" applyFont="1" applyFill="1" applyBorder="1" applyAlignment="1">
      <alignment horizontal="center" vertical="center"/>
    </xf>
    <xf numFmtId="0" fontId="13" fillId="0" borderId="0" xfId="5" applyFont="1" applyBorder="1"/>
    <xf numFmtId="49" fontId="13" fillId="0" borderId="0" xfId="5" applyNumberFormat="1" applyFont="1" applyBorder="1" applyAlignment="1">
      <alignment horizontal="center"/>
    </xf>
    <xf numFmtId="0" fontId="13" fillId="0" borderId="0" xfId="5" applyFont="1" applyAlignment="1">
      <alignment horizontal="right"/>
    </xf>
    <xf numFmtId="0" fontId="13" fillId="3" borderId="24" xfId="5" applyFont="1" applyFill="1" applyBorder="1" applyAlignment="1">
      <alignment vertical="center"/>
    </xf>
    <xf numFmtId="178" fontId="13" fillId="3" borderId="25" xfId="5" applyNumberFormat="1" applyFont="1" applyFill="1" applyBorder="1" applyAlignment="1">
      <alignment horizontal="center" vertical="center"/>
    </xf>
    <xf numFmtId="178" fontId="13" fillId="3" borderId="26" xfId="5" applyNumberFormat="1" applyFont="1" applyFill="1" applyBorder="1" applyAlignment="1">
      <alignment horizontal="center" vertical="center"/>
    </xf>
    <xf numFmtId="178" fontId="13" fillId="3" borderId="27" xfId="5" applyNumberFormat="1" applyFont="1" applyFill="1" applyBorder="1" applyAlignment="1">
      <alignment horizontal="center" vertical="center"/>
    </xf>
    <xf numFmtId="0" fontId="13" fillId="0" borderId="28" xfId="5" applyFont="1" applyFill="1" applyBorder="1"/>
    <xf numFmtId="180" fontId="13" fillId="0" borderId="29" xfId="5" applyNumberFormat="1" applyFont="1" applyFill="1" applyBorder="1" applyAlignment="1"/>
    <xf numFmtId="180" fontId="13" fillId="0" borderId="30" xfId="5" applyNumberFormat="1" applyFont="1" applyFill="1" applyBorder="1" applyAlignment="1"/>
    <xf numFmtId="180" fontId="13" fillId="0" borderId="31" xfId="5" applyNumberFormat="1" applyFont="1" applyFill="1" applyBorder="1" applyAlignment="1"/>
    <xf numFmtId="49" fontId="13" fillId="0" borderId="0" xfId="5" applyNumberFormat="1" applyFont="1" applyAlignment="1">
      <alignment horizontal="center"/>
    </xf>
    <xf numFmtId="0" fontId="13" fillId="0" borderId="0" xfId="4" applyFont="1">
      <alignment vertical="center"/>
    </xf>
    <xf numFmtId="0" fontId="13" fillId="8" borderId="17" xfId="4" applyFont="1" applyFill="1" applyBorder="1" applyAlignment="1">
      <alignment horizontal="center" vertical="center"/>
    </xf>
    <xf numFmtId="0" fontId="13" fillId="3" borderId="32" xfId="5" applyFont="1" applyFill="1" applyBorder="1" applyAlignment="1">
      <alignment horizontal="center" vertical="center"/>
    </xf>
    <xf numFmtId="178" fontId="13" fillId="3" borderId="33" xfId="5" applyNumberFormat="1" applyFont="1" applyFill="1" applyBorder="1" applyAlignment="1">
      <alignment horizontal="center" vertical="center"/>
    </xf>
    <xf numFmtId="178" fontId="13" fillId="3" borderId="34" xfId="5" applyNumberFormat="1" applyFont="1" applyFill="1" applyBorder="1" applyAlignment="1">
      <alignment horizontal="center" vertical="center"/>
    </xf>
    <xf numFmtId="178" fontId="13" fillId="3" borderId="35" xfId="5" applyNumberFormat="1" applyFont="1" applyFill="1" applyBorder="1" applyAlignment="1">
      <alignment horizontal="center" vertical="center"/>
    </xf>
    <xf numFmtId="0" fontId="13" fillId="3" borderId="36" xfId="5"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38" xfId="5" applyNumberFormat="1" applyFont="1" applyFill="1" applyBorder="1" applyAlignment="1">
      <alignment horizontal="center" vertical="center"/>
    </xf>
    <xf numFmtId="178" fontId="13" fillId="3" borderId="0" xfId="5" applyNumberFormat="1" applyFont="1" applyFill="1" applyBorder="1" applyAlignment="1">
      <alignment horizontal="center" vertical="center"/>
    </xf>
    <xf numFmtId="0" fontId="13" fillId="0" borderId="0" xfId="5" applyFont="1" applyAlignment="1">
      <alignment horizontal="left" indent="1"/>
    </xf>
    <xf numFmtId="0" fontId="13" fillId="3" borderId="39" xfId="5" applyFont="1" applyFill="1" applyBorder="1" applyAlignment="1">
      <alignment horizontal="center" vertical="center"/>
    </xf>
    <xf numFmtId="178" fontId="13" fillId="3" borderId="0"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41" xfId="5" applyNumberFormat="1" applyFont="1" applyFill="1" applyBorder="1" applyAlignment="1">
      <alignment horizontal="center" vertical="center" shrinkToFit="1"/>
    </xf>
    <xf numFmtId="178" fontId="13" fillId="3" borderId="42" xfId="5" applyNumberFormat="1" applyFont="1" applyFill="1" applyBorder="1" applyAlignment="1">
      <alignment horizontal="center" vertical="center" shrinkToFit="1"/>
    </xf>
    <xf numFmtId="178" fontId="13" fillId="3" borderId="43" xfId="5" applyNumberFormat="1" applyFont="1" applyFill="1" applyBorder="1" applyAlignment="1">
      <alignment horizontal="center" vertical="center" shrinkToFit="1"/>
    </xf>
    <xf numFmtId="178" fontId="13" fillId="3" borderId="44" xfId="5" applyNumberFormat="1" applyFont="1" applyFill="1" applyBorder="1" applyAlignment="1">
      <alignment horizontal="center" vertical="center" shrinkToFit="1"/>
    </xf>
    <xf numFmtId="178" fontId="13" fillId="3" borderId="45"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shrinkToFit="1"/>
    </xf>
    <xf numFmtId="178" fontId="13" fillId="3" borderId="46" xfId="5" applyNumberFormat="1" applyFont="1" applyFill="1" applyBorder="1" applyAlignment="1">
      <alignment horizontal="center" vertical="center" shrinkToFit="1"/>
    </xf>
    <xf numFmtId="49" fontId="13" fillId="0" borderId="0" xfId="5" applyNumberFormat="1" applyFont="1" applyAlignment="1">
      <alignment horizontal="left" indent="1"/>
    </xf>
    <xf numFmtId="178" fontId="13" fillId="0" borderId="47" xfId="5" applyNumberFormat="1" applyFont="1" applyFill="1" applyBorder="1" applyAlignment="1">
      <alignment horizontal="center" vertical="center"/>
    </xf>
    <xf numFmtId="181" fontId="13" fillId="0" borderId="15" xfId="5" applyNumberFormat="1" applyFont="1" applyFill="1" applyBorder="1" applyAlignment="1"/>
    <xf numFmtId="178" fontId="13" fillId="0" borderId="48" xfId="5" applyNumberFormat="1" applyFont="1" applyFill="1" applyBorder="1" applyAlignment="1">
      <alignment horizontal="center" vertical="center"/>
    </xf>
    <xf numFmtId="181" fontId="13" fillId="0" borderId="49" xfId="5" applyNumberFormat="1" applyFont="1" applyFill="1" applyBorder="1" applyAlignment="1"/>
    <xf numFmtId="178" fontId="13" fillId="0" borderId="50" xfId="5" applyNumberFormat="1" applyFont="1" applyFill="1" applyBorder="1" applyAlignment="1">
      <alignment horizontal="center" vertical="center"/>
    </xf>
    <xf numFmtId="181" fontId="13" fillId="0" borderId="13" xfId="5" applyNumberFormat="1" applyFont="1" applyFill="1" applyBorder="1" applyAlignment="1"/>
    <xf numFmtId="178" fontId="13" fillId="0" borderId="51" xfId="5" applyNumberFormat="1" applyFont="1" applyFill="1" applyBorder="1" applyAlignment="1">
      <alignment horizontal="center" vertical="center"/>
    </xf>
    <xf numFmtId="181" fontId="13" fillId="0" borderId="12" xfId="5" applyNumberFormat="1" applyFont="1" applyFill="1" applyBorder="1"/>
    <xf numFmtId="181" fontId="13" fillId="0" borderId="52" xfId="5" applyNumberFormat="1" applyFont="1" applyFill="1" applyBorder="1"/>
    <xf numFmtId="181" fontId="13" fillId="0" borderId="52" xfId="5" applyNumberFormat="1" applyFont="1" applyFill="1" applyBorder="1" applyAlignment="1">
      <alignment horizontal="center"/>
    </xf>
    <xf numFmtId="178" fontId="13" fillId="0" borderId="53" xfId="5" applyNumberFormat="1" applyFont="1" applyFill="1" applyBorder="1" applyAlignment="1">
      <alignment horizontal="center" vertical="center"/>
    </xf>
    <xf numFmtId="178" fontId="13" fillId="0" borderId="15" xfId="5" applyNumberFormat="1" applyFont="1" applyFill="1" applyBorder="1" applyAlignment="1">
      <alignment horizontal="center" vertical="center"/>
    </xf>
    <xf numFmtId="49" fontId="13" fillId="0" borderId="0" xfId="5" applyNumberFormat="1" applyFont="1"/>
    <xf numFmtId="0" fontId="13" fillId="9" borderId="17" xfId="4" applyFont="1" applyFill="1" applyBorder="1" applyAlignment="1">
      <alignment horizontal="center" vertical="center"/>
    </xf>
    <xf numFmtId="49" fontId="13" fillId="3" borderId="2"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xf>
    <xf numFmtId="182" fontId="19" fillId="3" borderId="3"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shrinkToFit="1"/>
    </xf>
    <xf numFmtId="182" fontId="19" fillId="3" borderId="3"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xf>
    <xf numFmtId="49" fontId="13" fillId="3" borderId="2" xfId="5" applyNumberFormat="1" applyFont="1" applyFill="1" applyBorder="1" applyAlignment="1">
      <alignment horizontal="center" vertical="center"/>
    </xf>
    <xf numFmtId="49" fontId="13" fillId="3" borderId="3" xfId="5" applyNumberFormat="1" applyFont="1" applyFill="1" applyBorder="1" applyAlignment="1">
      <alignment horizontal="center" vertical="center"/>
    </xf>
    <xf numFmtId="182" fontId="19" fillId="3" borderId="33" xfId="5" applyNumberFormat="1" applyFont="1" applyFill="1" applyBorder="1" applyAlignment="1">
      <alignment horizontal="center" vertical="center"/>
    </xf>
    <xf numFmtId="182" fontId="19" fillId="3" borderId="55" xfId="5" applyNumberFormat="1" applyFont="1" applyFill="1" applyBorder="1" applyAlignment="1">
      <alignment horizontal="center" vertical="center"/>
    </xf>
    <xf numFmtId="182" fontId="19" fillId="3" borderId="35" xfId="5" applyNumberFormat="1" applyFont="1" applyFill="1" applyBorder="1" applyAlignment="1">
      <alignment horizontal="center" vertical="center"/>
    </xf>
    <xf numFmtId="0" fontId="13" fillId="8" borderId="39" xfId="5" applyFont="1" applyFill="1" applyBorder="1" applyAlignment="1">
      <alignment horizontal="center"/>
    </xf>
    <xf numFmtId="181" fontId="13" fillId="0" borderId="56" xfId="5" applyNumberFormat="1" applyFont="1" applyBorder="1"/>
    <xf numFmtId="181" fontId="13" fillId="0" borderId="41" xfId="5" applyNumberFormat="1" applyFont="1" applyBorder="1"/>
    <xf numFmtId="181" fontId="13" fillId="0" borderId="57" xfId="5" applyNumberFormat="1" applyFont="1" applyBorder="1"/>
    <xf numFmtId="0" fontId="13" fillId="8" borderId="58" xfId="5" applyFont="1" applyFill="1" applyBorder="1" applyAlignment="1">
      <alignment horizontal="center"/>
    </xf>
    <xf numFmtId="0" fontId="13" fillId="8" borderId="31" xfId="5" applyFont="1" applyFill="1" applyBorder="1" applyAlignment="1">
      <alignment horizontal="center"/>
    </xf>
    <xf numFmtId="181" fontId="13" fillId="0" borderId="59" xfId="5" applyNumberFormat="1" applyFont="1" applyBorder="1"/>
    <xf numFmtId="181" fontId="13" fillId="0" borderId="60" xfId="5" applyNumberFormat="1" applyFont="1" applyBorder="1"/>
    <xf numFmtId="181" fontId="13" fillId="0" borderId="31" xfId="5" applyNumberFormat="1" applyFont="1" applyBorder="1"/>
    <xf numFmtId="0" fontId="13" fillId="9" borderId="39" xfId="5" applyFont="1" applyFill="1" applyBorder="1" applyAlignment="1">
      <alignment horizontal="center"/>
    </xf>
    <xf numFmtId="181" fontId="13" fillId="0" borderId="61" xfId="5" applyNumberFormat="1" applyFont="1" applyBorder="1"/>
    <xf numFmtId="181" fontId="13" fillId="0" borderId="59" xfId="5" applyNumberFormat="1" applyFont="1" applyBorder="1"/>
    <xf numFmtId="181" fontId="13" fillId="0" borderId="31" xfId="5" applyNumberFormat="1" applyFont="1" applyBorder="1"/>
    <xf numFmtId="0" fontId="13" fillId="9" borderId="58" xfId="5" applyFont="1" applyFill="1" applyBorder="1" applyAlignment="1">
      <alignment horizontal="center"/>
    </xf>
    <xf numFmtId="0" fontId="13" fillId="9" borderId="31" xfId="5" applyFont="1" applyFill="1" applyBorder="1" applyAlignment="1">
      <alignment horizontal="center"/>
    </xf>
    <xf numFmtId="180" fontId="20" fillId="0" borderId="30" xfId="5" applyNumberFormat="1" applyFont="1" applyFill="1" applyBorder="1" applyAlignment="1"/>
    <xf numFmtId="180" fontId="21" fillId="0" borderId="30" xfId="5" applyNumberFormat="1" applyFont="1" applyFill="1" applyBorder="1" applyAlignment="1"/>
    <xf numFmtId="180" fontId="22" fillId="0" borderId="30" xfId="5" applyNumberFormat="1" applyFont="1" applyFill="1" applyBorder="1" applyAlignment="1"/>
    <xf numFmtId="0" fontId="23" fillId="2" borderId="2" xfId="4" applyFont="1" applyFill="1" applyBorder="1" applyAlignment="1">
      <alignment horizontal="left" vertical="center" indent="1"/>
    </xf>
    <xf numFmtId="0" fontId="16" fillId="2" borderId="3" xfId="4" applyFont="1" applyFill="1" applyBorder="1">
      <alignment vertical="center"/>
    </xf>
    <xf numFmtId="0" fontId="16" fillId="2" borderId="3" xfId="5" applyFont="1" applyFill="1" applyBorder="1" applyAlignment="1">
      <alignment horizontal="right"/>
    </xf>
    <xf numFmtId="0" fontId="16" fillId="2" borderId="4" xfId="5" applyFont="1" applyFill="1" applyBorder="1" applyAlignment="1">
      <alignment horizontal="right"/>
    </xf>
    <xf numFmtId="0" fontId="16" fillId="0" borderId="0" xfId="4" applyFont="1">
      <alignment vertical="center"/>
    </xf>
    <xf numFmtId="0" fontId="13" fillId="0" borderId="0" xfId="4" applyFont="1" applyBorder="1">
      <alignment vertical="center"/>
    </xf>
    <xf numFmtId="0" fontId="13" fillId="0" borderId="0" xfId="5" applyFont="1" applyBorder="1" applyAlignment="1">
      <alignment horizontal="right"/>
    </xf>
    <xf numFmtId="0" fontId="13" fillId="3" borderId="24" xfId="5" applyFont="1" applyFill="1" applyBorder="1" applyAlignment="1">
      <alignment horizontal="center"/>
    </xf>
    <xf numFmtId="183" fontId="13" fillId="3" borderId="25" xfId="5" applyNumberFormat="1" applyFont="1" applyFill="1" applyBorder="1" applyAlignment="1">
      <alignment horizontal="center"/>
    </xf>
    <xf numFmtId="183" fontId="13" fillId="3" borderId="26" xfId="5" applyNumberFormat="1" applyFont="1" applyFill="1" applyBorder="1" applyAlignment="1">
      <alignment horizontal="center"/>
    </xf>
    <xf numFmtId="183" fontId="13" fillId="3" borderId="62" xfId="5" applyNumberFormat="1" applyFont="1" applyFill="1" applyBorder="1" applyAlignment="1">
      <alignment horizontal="center"/>
    </xf>
    <xf numFmtId="183" fontId="13" fillId="3" borderId="26" xfId="4" applyNumberFormat="1" applyFont="1" applyFill="1" applyBorder="1" applyAlignment="1">
      <alignment horizontal="center"/>
    </xf>
    <xf numFmtId="183" fontId="13" fillId="3" borderId="27" xfId="4" applyNumberFormat="1" applyFont="1" applyFill="1" applyBorder="1" applyAlignment="1">
      <alignment horizontal="center"/>
    </xf>
    <xf numFmtId="184" fontId="13" fillId="0" borderId="63" xfId="5" applyNumberFormat="1" applyFont="1" applyFill="1" applyBorder="1" applyAlignment="1">
      <alignment horizontal="center" vertical="center" shrinkToFit="1"/>
    </xf>
    <xf numFmtId="0" fontId="13" fillId="0" borderId="64" xfId="5" applyNumberFormat="1" applyFont="1" applyFill="1" applyBorder="1" applyAlignment="1">
      <alignment horizontal="right" vertical="center"/>
    </xf>
    <xf numFmtId="0" fontId="13" fillId="0" borderId="65" xfId="5" applyNumberFormat="1" applyFont="1" applyFill="1" applyBorder="1" applyAlignment="1">
      <alignment horizontal="right" vertical="center"/>
    </xf>
    <xf numFmtId="0" fontId="13" fillId="0" borderId="65" xfId="4" applyFont="1" applyBorder="1" applyAlignment="1">
      <alignment horizontal="right" vertical="center"/>
    </xf>
    <xf numFmtId="0" fontId="13" fillId="0" borderId="66" xfId="4" applyFont="1" applyBorder="1" applyAlignment="1">
      <alignment horizontal="right" vertical="center"/>
    </xf>
    <xf numFmtId="184" fontId="13" fillId="0" borderId="67" xfId="5" applyNumberFormat="1" applyFont="1" applyFill="1" applyBorder="1" applyAlignment="1">
      <alignment horizontal="center" vertical="center" shrinkToFit="1"/>
    </xf>
    <xf numFmtId="0" fontId="13" fillId="0" borderId="68" xfId="5" applyNumberFormat="1" applyFont="1" applyFill="1" applyBorder="1" applyAlignment="1">
      <alignment horizontal="right" vertical="center"/>
    </xf>
    <xf numFmtId="0" fontId="13" fillId="0" borderId="69" xfId="5" applyNumberFormat="1" applyFont="1" applyFill="1" applyBorder="1" applyAlignment="1">
      <alignment horizontal="right" vertical="center"/>
    </xf>
    <xf numFmtId="0" fontId="13" fillId="0" borderId="69" xfId="4" applyFont="1" applyBorder="1" applyAlignment="1">
      <alignment horizontal="right" vertical="center"/>
    </xf>
    <xf numFmtId="0" fontId="13" fillId="0" borderId="70" xfId="4" applyFont="1" applyBorder="1" applyAlignment="1">
      <alignment horizontal="right" vertical="center"/>
    </xf>
    <xf numFmtId="184" fontId="13" fillId="0" borderId="71" xfId="5" applyNumberFormat="1" applyFont="1" applyFill="1" applyBorder="1" applyAlignment="1">
      <alignment horizontal="center" vertical="center" shrinkToFit="1"/>
    </xf>
    <xf numFmtId="0" fontId="13" fillId="0" borderId="72" xfId="5" applyNumberFormat="1" applyFont="1" applyFill="1" applyBorder="1" applyAlignment="1">
      <alignment horizontal="right" vertical="center"/>
    </xf>
    <xf numFmtId="0" fontId="13" fillId="0" borderId="73" xfId="5" applyNumberFormat="1" applyFont="1" applyFill="1" applyBorder="1" applyAlignment="1">
      <alignment horizontal="right" vertical="center"/>
    </xf>
    <xf numFmtId="0" fontId="13" fillId="0" borderId="73" xfId="4" applyFont="1" applyBorder="1" applyAlignment="1">
      <alignment horizontal="right" vertical="center"/>
    </xf>
    <xf numFmtId="0" fontId="13" fillId="0" borderId="74" xfId="4" applyFont="1" applyBorder="1" applyAlignment="1">
      <alignment horizontal="right" vertical="center"/>
    </xf>
    <xf numFmtId="0" fontId="19" fillId="3" borderId="75" xfId="6" applyFont="1" applyFill="1" applyBorder="1" applyAlignment="1" applyProtection="1">
      <alignment horizontal="center"/>
    </xf>
    <xf numFmtId="0" fontId="13" fillId="3" borderId="27" xfId="4" applyFont="1" applyFill="1" applyBorder="1" applyAlignment="1">
      <alignment horizontal="center"/>
    </xf>
    <xf numFmtId="0" fontId="13" fillId="3" borderId="34" xfId="4" applyFont="1" applyFill="1" applyBorder="1" applyAlignment="1">
      <alignment horizontal="center"/>
    </xf>
    <xf numFmtId="0" fontId="13" fillId="3" borderId="25" xfId="4" applyFont="1" applyFill="1" applyBorder="1" applyAlignment="1">
      <alignment horizontal="center"/>
    </xf>
    <xf numFmtId="0" fontId="19" fillId="7" borderId="76" xfId="6" applyNumberFormat="1" applyFont="1" applyFill="1" applyBorder="1" applyAlignment="1" applyProtection="1">
      <alignment horizontal="center" vertical="center"/>
    </xf>
    <xf numFmtId="185" fontId="13" fillId="0" borderId="66" xfId="4" applyNumberFormat="1" applyFont="1" applyBorder="1" applyAlignment="1">
      <alignment horizontal="right" vertical="center" shrinkToFit="1"/>
    </xf>
    <xf numFmtId="0" fontId="13" fillId="7" borderId="77" xfId="4" applyNumberFormat="1" applyFont="1" applyFill="1" applyBorder="1" applyAlignment="1">
      <alignment horizontal="center" vertical="center" shrinkToFit="1"/>
    </xf>
    <xf numFmtId="185" fontId="13" fillId="0" borderId="66" xfId="4" applyNumberFormat="1" applyFont="1" applyFill="1" applyBorder="1" applyAlignment="1">
      <alignment horizontal="right" vertical="center" shrinkToFit="1"/>
    </xf>
    <xf numFmtId="0" fontId="13" fillId="7" borderId="64" xfId="4" applyNumberFormat="1" applyFont="1" applyFill="1" applyBorder="1" applyAlignment="1">
      <alignment horizontal="center" vertical="center" shrinkToFit="1"/>
    </xf>
    <xf numFmtId="185" fontId="13" fillId="0" borderId="66" xfId="4" applyNumberFormat="1" applyFont="1" applyBorder="1" applyAlignment="1">
      <alignment horizontal="right" vertical="center"/>
    </xf>
    <xf numFmtId="0" fontId="13" fillId="0" borderId="0" xfId="4" applyFont="1" applyAlignment="1">
      <alignment horizontal="left" vertical="center" indent="1"/>
    </xf>
    <xf numFmtId="0" fontId="19" fillId="7" borderId="78" xfId="6" applyNumberFormat="1" applyFont="1" applyFill="1" applyBorder="1" applyAlignment="1" applyProtection="1">
      <alignment horizontal="center" vertical="center"/>
    </xf>
    <xf numFmtId="185" fontId="13" fillId="0" borderId="70" xfId="4" applyNumberFormat="1" applyFont="1" applyBorder="1" applyAlignment="1">
      <alignment horizontal="right" vertical="center" shrinkToFit="1"/>
    </xf>
    <xf numFmtId="0" fontId="13" fillId="7" borderId="79" xfId="4" applyNumberFormat="1" applyFont="1" applyFill="1" applyBorder="1" applyAlignment="1">
      <alignment horizontal="center" vertical="center" shrinkToFit="1"/>
    </xf>
    <xf numFmtId="185" fontId="13" fillId="0" borderId="70" xfId="4" applyNumberFormat="1" applyFont="1" applyFill="1" applyBorder="1" applyAlignment="1">
      <alignment horizontal="right" vertical="center" shrinkToFit="1"/>
    </xf>
    <xf numFmtId="0" fontId="13" fillId="7" borderId="68" xfId="4" applyNumberFormat="1" applyFont="1" applyFill="1" applyBorder="1" applyAlignment="1">
      <alignment horizontal="center" vertical="center" shrinkToFit="1"/>
    </xf>
    <xf numFmtId="185" fontId="13" fillId="0" borderId="70" xfId="4" applyNumberFormat="1" applyFont="1" applyBorder="1" applyAlignment="1">
      <alignment horizontal="right" vertical="center"/>
    </xf>
    <xf numFmtId="186" fontId="5" fillId="0" borderId="0" xfId="2" applyNumberFormat="1" applyFont="1" applyFill="1" applyBorder="1" applyAlignment="1" applyProtection="1">
      <alignment horizontal="left" vertical="center" indent="1"/>
    </xf>
    <xf numFmtId="0" fontId="19" fillId="7" borderId="80" xfId="6" applyNumberFormat="1" applyFont="1" applyFill="1" applyBorder="1" applyAlignment="1" applyProtection="1">
      <alignment horizontal="center" vertical="center"/>
    </xf>
    <xf numFmtId="185" fontId="13" fillId="0" borderId="74" xfId="4" applyNumberFormat="1" applyFont="1" applyBorder="1" applyAlignment="1">
      <alignment horizontal="right" vertical="center" shrinkToFit="1"/>
    </xf>
    <xf numFmtId="0" fontId="13" fillId="7" borderId="81" xfId="4" applyNumberFormat="1" applyFont="1" applyFill="1" applyBorder="1" applyAlignment="1">
      <alignment horizontal="center" vertical="center" shrinkToFit="1"/>
    </xf>
    <xf numFmtId="185" fontId="13" fillId="0" borderId="74" xfId="4" applyNumberFormat="1" applyFont="1" applyFill="1" applyBorder="1" applyAlignment="1">
      <alignment horizontal="right" vertical="center" shrinkToFit="1"/>
    </xf>
    <xf numFmtId="0" fontId="13" fillId="7" borderId="72" xfId="4" applyNumberFormat="1" applyFont="1" applyFill="1" applyBorder="1" applyAlignment="1">
      <alignment horizontal="center" vertical="center" shrinkToFit="1"/>
    </xf>
    <xf numFmtId="185" fontId="13" fillId="0" borderId="74" xfId="4" applyNumberFormat="1" applyFont="1" applyBorder="1" applyAlignment="1">
      <alignment horizontal="right" vertical="center"/>
    </xf>
    <xf numFmtId="0" fontId="25" fillId="0" borderId="68" xfId="5" applyNumberFormat="1" applyFont="1" applyFill="1" applyBorder="1" applyAlignment="1">
      <alignment horizontal="right" vertical="center"/>
    </xf>
    <xf numFmtId="0" fontId="25" fillId="0" borderId="69" xfId="5" applyNumberFormat="1" applyFont="1" applyFill="1" applyBorder="1" applyAlignment="1">
      <alignment horizontal="right" vertical="center"/>
    </xf>
    <xf numFmtId="0" fontId="25" fillId="0" borderId="69" xfId="4" applyFont="1" applyBorder="1" applyAlignment="1">
      <alignment horizontal="right" vertical="center"/>
    </xf>
    <xf numFmtId="0" fontId="25" fillId="0" borderId="70" xfId="4" applyFont="1" applyBorder="1" applyAlignment="1">
      <alignment horizontal="right" vertical="center"/>
    </xf>
    <xf numFmtId="0" fontId="25" fillId="0" borderId="72" xfId="5" applyNumberFormat="1" applyFont="1" applyFill="1" applyBorder="1" applyAlignment="1">
      <alignment horizontal="right" vertical="center"/>
    </xf>
    <xf numFmtId="0" fontId="25" fillId="0" borderId="73" xfId="5" applyNumberFormat="1" applyFont="1" applyFill="1" applyBorder="1" applyAlignment="1">
      <alignment horizontal="right" vertical="center"/>
    </xf>
    <xf numFmtId="0" fontId="25" fillId="0" borderId="73" xfId="4" applyFont="1" applyBorder="1" applyAlignment="1">
      <alignment horizontal="right" vertical="center"/>
    </xf>
    <xf numFmtId="0" fontId="25" fillId="0" borderId="74" xfId="4" applyFont="1" applyBorder="1" applyAlignment="1">
      <alignment horizontal="right" vertical="center"/>
    </xf>
    <xf numFmtId="0" fontId="25" fillId="0" borderId="64" xfId="5" applyNumberFormat="1" applyFont="1" applyFill="1" applyBorder="1" applyAlignment="1">
      <alignment horizontal="right" vertical="center"/>
    </xf>
    <xf numFmtId="0" fontId="25" fillId="0" borderId="65" xfId="5" applyNumberFormat="1" applyFont="1" applyFill="1" applyBorder="1" applyAlignment="1">
      <alignment horizontal="right" vertical="center"/>
    </xf>
    <xf numFmtId="0" fontId="25" fillId="0" borderId="65" xfId="4" applyFont="1" applyBorder="1" applyAlignment="1">
      <alignment horizontal="right" vertical="center"/>
    </xf>
    <xf numFmtId="0" fontId="25" fillId="0" borderId="66" xfId="4" applyFont="1" applyBorder="1" applyAlignment="1">
      <alignment horizontal="right" vertical="center"/>
    </xf>
    <xf numFmtId="0" fontId="26" fillId="2" borderId="2" xfId="7" applyNumberFormat="1" applyFont="1" applyFill="1" applyBorder="1" applyAlignment="1">
      <alignment horizontal="left" vertical="center" indent="1"/>
    </xf>
    <xf numFmtId="0" fontId="13" fillId="2" borderId="3" xfId="7" applyNumberFormat="1" applyFont="1" applyFill="1" applyBorder="1"/>
    <xf numFmtId="0" fontId="13" fillId="2" borderId="4" xfId="7" applyNumberFormat="1" applyFont="1" applyFill="1" applyBorder="1"/>
    <xf numFmtId="0" fontId="13" fillId="0" borderId="0" xfId="8" applyFont="1"/>
    <xf numFmtId="0" fontId="13" fillId="0" borderId="0" xfId="8" applyNumberFormat="1" applyFont="1" applyBorder="1" applyAlignment="1">
      <alignment horizontal="center"/>
    </xf>
    <xf numFmtId="0" fontId="13" fillId="0" borderId="0" xfId="8" applyNumberFormat="1" applyFont="1" applyBorder="1"/>
    <xf numFmtId="0" fontId="13" fillId="0" borderId="0" xfId="8" applyNumberFormat="1" applyFont="1" applyBorder="1" applyAlignment="1">
      <alignment horizontal="right"/>
    </xf>
    <xf numFmtId="49" fontId="27" fillId="3" borderId="82" xfId="3" applyNumberFormat="1" applyFont="1" applyFill="1" applyBorder="1" applyAlignment="1">
      <alignment horizontal="center" vertical="center"/>
    </xf>
    <xf numFmtId="0" fontId="27" fillId="3" borderId="83" xfId="3" applyFont="1" applyFill="1" applyBorder="1" applyAlignment="1">
      <alignment horizontal="center" vertical="center" wrapText="1"/>
    </xf>
    <xf numFmtId="0" fontId="27" fillId="3" borderId="84" xfId="3" applyFont="1" applyFill="1" applyBorder="1" applyAlignment="1">
      <alignment horizontal="center" vertical="center" wrapText="1"/>
    </xf>
    <xf numFmtId="0" fontId="27" fillId="3" borderId="85" xfId="3" applyFont="1" applyFill="1" applyBorder="1" applyAlignment="1">
      <alignment horizontal="center" vertical="center" wrapText="1"/>
    </xf>
    <xf numFmtId="0" fontId="13" fillId="0" borderId="0" xfId="8" applyFont="1" applyBorder="1"/>
    <xf numFmtId="49" fontId="27" fillId="3" borderId="86" xfId="3" applyNumberFormat="1" applyFont="1" applyFill="1" applyBorder="1" applyAlignment="1">
      <alignment horizontal="center" vertical="center"/>
    </xf>
    <xf numFmtId="0" fontId="27" fillId="3" borderId="87" xfId="3" applyFont="1" applyFill="1" applyBorder="1" applyAlignment="1">
      <alignment horizontal="center" vertical="center" wrapText="1"/>
    </xf>
    <xf numFmtId="0" fontId="27" fillId="3" borderId="88" xfId="3" applyFont="1" applyFill="1" applyBorder="1" applyAlignment="1">
      <alignment horizontal="center" vertical="center" wrapText="1"/>
    </xf>
    <xf numFmtId="0" fontId="27" fillId="3" borderId="89" xfId="3" applyFont="1" applyFill="1" applyBorder="1" applyAlignment="1">
      <alignment horizontal="center" vertical="center" wrapText="1"/>
    </xf>
    <xf numFmtId="0" fontId="27" fillId="3" borderId="38" xfId="3" applyFont="1" applyFill="1" applyBorder="1" applyAlignment="1">
      <alignment horizontal="center" vertical="center" wrapText="1"/>
    </xf>
    <xf numFmtId="49" fontId="27" fillId="0" borderId="90" xfId="3" applyNumberFormat="1" applyFont="1" applyFill="1" applyBorder="1" applyAlignment="1">
      <alignment horizontal="center"/>
    </xf>
    <xf numFmtId="181" fontId="27" fillId="0" borderId="91" xfId="3" applyNumberFormat="1" applyFont="1" applyFill="1" applyBorder="1" applyAlignment="1"/>
    <xf numFmtId="181" fontId="27" fillId="0" borderId="91" xfId="3" applyNumberFormat="1" applyFont="1" applyFill="1" applyBorder="1" applyAlignment="1">
      <alignment horizontal="center"/>
    </xf>
    <xf numFmtId="181" fontId="27" fillId="0" borderId="92" xfId="3" applyNumberFormat="1" applyFont="1" applyFill="1" applyBorder="1" applyAlignment="1">
      <alignment horizontal="center"/>
    </xf>
    <xf numFmtId="0" fontId="27" fillId="0" borderId="93" xfId="3" applyFont="1" applyFill="1" applyBorder="1" applyAlignment="1">
      <alignment horizontal="center"/>
    </xf>
    <xf numFmtId="181" fontId="27" fillId="0" borderId="94" xfId="3" applyNumberFormat="1" applyFont="1" applyFill="1" applyBorder="1" applyAlignment="1"/>
    <xf numFmtId="181" fontId="27" fillId="0" borderId="94" xfId="3" applyNumberFormat="1" applyFont="1" applyFill="1" applyBorder="1" applyAlignment="1">
      <alignment horizontal="center"/>
    </xf>
    <xf numFmtId="181" fontId="27" fillId="0" borderId="95" xfId="3" applyNumberFormat="1" applyFont="1" applyFill="1" applyBorder="1" applyAlignment="1">
      <alignment horizontal="center"/>
    </xf>
    <xf numFmtId="49" fontId="27" fillId="0" borderId="93" xfId="3" applyNumberFormat="1" applyFont="1" applyFill="1" applyBorder="1" applyAlignment="1">
      <alignment horizontal="center"/>
    </xf>
    <xf numFmtId="0" fontId="13" fillId="0" borderId="96" xfId="8" applyFont="1" applyBorder="1"/>
    <xf numFmtId="0" fontId="13" fillId="0" borderId="97" xfId="8" applyFont="1" applyBorder="1"/>
    <xf numFmtId="0" fontId="13" fillId="0" borderId="56"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3" fillId="0" borderId="20" xfId="5" applyFont="1" applyBorder="1"/>
    <xf numFmtId="0" fontId="13" fillId="3" borderId="98" xfId="9" applyFont="1" applyFill="1" applyBorder="1" applyAlignment="1">
      <alignment horizontal="centerContinuous"/>
    </xf>
    <xf numFmtId="0" fontId="13" fillId="3" borderId="99" xfId="5" applyFont="1" applyFill="1" applyBorder="1" applyAlignment="1">
      <alignment horizontal="centerContinuous"/>
    </xf>
    <xf numFmtId="0" fontId="13" fillId="3" borderId="85" xfId="5" applyFont="1" applyFill="1" applyBorder="1" applyAlignment="1">
      <alignment horizontal="centerContinuous"/>
    </xf>
    <xf numFmtId="0" fontId="13" fillId="3" borderId="100" xfId="9" applyFont="1" applyFill="1" applyBorder="1" applyAlignment="1">
      <alignment horizontal="center"/>
    </xf>
    <xf numFmtId="0" fontId="13" fillId="3" borderId="40" xfId="9" applyFont="1" applyFill="1" applyBorder="1" applyAlignment="1">
      <alignment horizontal="center"/>
    </xf>
    <xf numFmtId="0" fontId="13" fillId="3" borderId="38" xfId="9" applyFont="1" applyFill="1" applyBorder="1" applyAlignment="1">
      <alignment horizontal="center"/>
    </xf>
    <xf numFmtId="187" fontId="13" fillId="0" borderId="101" xfId="5" applyNumberFormat="1" applyFont="1" applyBorder="1" applyAlignment="1">
      <alignment horizontal="center" shrinkToFit="1"/>
    </xf>
    <xf numFmtId="187" fontId="13" fillId="0" borderId="102" xfId="5" applyNumberFormat="1" applyFont="1" applyBorder="1" applyAlignment="1">
      <alignment horizontal="center" shrinkToFit="1"/>
    </xf>
    <xf numFmtId="187" fontId="13" fillId="0" borderId="31" xfId="5" applyNumberFormat="1" applyFont="1" applyBorder="1" applyAlignment="1">
      <alignment horizontal="center" shrinkToFit="1"/>
    </xf>
    <xf numFmtId="0" fontId="13" fillId="4" borderId="103" xfId="4" applyFont="1" applyFill="1" applyBorder="1" applyAlignment="1">
      <alignment horizontal="center" vertical="center"/>
    </xf>
    <xf numFmtId="0" fontId="13" fillId="3" borderId="32" xfId="5" applyFont="1" applyFill="1" applyBorder="1" applyAlignment="1">
      <alignment horizontal="center"/>
    </xf>
    <xf numFmtId="0" fontId="13" fillId="3" borderId="25" xfId="5" applyFont="1" applyFill="1" applyBorder="1" applyAlignment="1">
      <alignment horizontal="center"/>
    </xf>
    <xf numFmtId="0" fontId="13" fillId="3" borderId="26" xfId="5" applyFont="1" applyFill="1" applyBorder="1" applyAlignment="1">
      <alignment horizontal="center"/>
    </xf>
    <xf numFmtId="0" fontId="13" fillId="3" borderId="27" xfId="5" applyFont="1" applyFill="1" applyBorder="1" applyAlignment="1">
      <alignment horizontal="center"/>
    </xf>
    <xf numFmtId="0" fontId="13" fillId="0" borderId="104" xfId="5" applyFont="1" applyBorder="1" applyAlignment="1">
      <alignment horizontal="center" shrinkToFit="1"/>
    </xf>
    <xf numFmtId="0" fontId="13" fillId="0" borderId="105" xfId="5" applyFont="1" applyBorder="1"/>
    <xf numFmtId="0" fontId="13" fillId="0" borderId="106" xfId="5" applyFont="1" applyBorder="1"/>
    <xf numFmtId="0" fontId="13" fillId="0" borderId="107" xfId="5" applyFont="1" applyBorder="1"/>
    <xf numFmtId="0" fontId="13" fillId="0" borderId="105" xfId="5" applyFont="1" applyBorder="1"/>
    <xf numFmtId="0" fontId="13" fillId="0" borderId="106" xfId="5" applyFont="1" applyBorder="1"/>
    <xf numFmtId="0" fontId="13" fillId="0" borderId="107" xfId="5" applyFont="1" applyBorder="1"/>
    <xf numFmtId="0" fontId="13" fillId="0" borderId="108" xfId="5" applyFont="1" applyBorder="1" applyAlignment="1">
      <alignment horizontal="center" shrinkToFit="1"/>
    </xf>
    <xf numFmtId="0" fontId="13" fillId="0" borderId="109" xfId="5" applyFont="1" applyBorder="1"/>
    <xf numFmtId="0" fontId="13" fillId="0" borderId="110" xfId="5" applyFont="1" applyBorder="1"/>
    <xf numFmtId="0" fontId="13" fillId="0" borderId="111" xfId="5" applyFont="1" applyBorder="1"/>
    <xf numFmtId="0" fontId="13" fillId="0" borderId="109" xfId="5" applyFont="1" applyBorder="1"/>
    <xf numFmtId="0" fontId="13" fillId="0" borderId="110" xfId="5" applyFont="1" applyBorder="1"/>
    <xf numFmtId="0" fontId="13" fillId="0" borderId="111" xfId="5" applyFont="1" applyBorder="1"/>
    <xf numFmtId="0" fontId="13" fillId="0" borderId="108" xfId="5" applyFont="1" applyBorder="1" applyAlignment="1">
      <alignment horizontal="center"/>
    </xf>
    <xf numFmtId="0" fontId="13" fillId="0" borderId="112" xfId="5" applyFont="1" applyBorder="1" applyAlignment="1">
      <alignment horizontal="center" vertical="center"/>
    </xf>
    <xf numFmtId="0" fontId="13" fillId="0" borderId="113" xfId="5" applyFont="1" applyBorder="1" applyAlignment="1">
      <alignment wrapText="1"/>
    </xf>
    <xf numFmtId="0" fontId="13" fillId="0" borderId="114" xfId="5" applyFont="1" applyBorder="1"/>
    <xf numFmtId="0" fontId="13" fillId="0" borderId="115" xfId="5" applyFont="1" applyBorder="1"/>
    <xf numFmtId="0" fontId="13" fillId="0" borderId="36" xfId="5" applyFont="1" applyBorder="1" applyAlignment="1">
      <alignment horizontal="center" vertical="center"/>
    </xf>
    <xf numFmtId="0" fontId="13" fillId="0" borderId="68" xfId="5" applyFont="1" applyBorder="1"/>
    <xf numFmtId="0" fontId="13" fillId="0" borderId="69" xfId="5" applyFont="1" applyBorder="1"/>
    <xf numFmtId="0" fontId="13" fillId="0" borderId="70" xfId="5" applyFont="1" applyBorder="1"/>
    <xf numFmtId="0" fontId="13" fillId="0" borderId="116" xfId="5" applyFont="1" applyBorder="1" applyAlignment="1">
      <alignment horizontal="center" vertical="center"/>
    </xf>
    <xf numFmtId="0" fontId="13" fillId="0" borderId="117" xfId="5" applyFont="1" applyBorder="1" applyAlignment="1">
      <alignment shrinkToFit="1"/>
    </xf>
    <xf numFmtId="0" fontId="13" fillId="0" borderId="118" xfId="5" applyFont="1" applyBorder="1" applyAlignment="1">
      <alignment shrinkToFit="1"/>
    </xf>
    <xf numFmtId="0" fontId="13" fillId="0" borderId="119" xfId="5" applyFont="1" applyBorder="1" applyAlignment="1">
      <alignment shrinkToFit="1"/>
    </xf>
    <xf numFmtId="0" fontId="13" fillId="0" borderId="120" xfId="5" applyFont="1" applyBorder="1" applyAlignment="1">
      <alignment horizontal="center" vertical="center"/>
    </xf>
    <xf numFmtId="0" fontId="13" fillId="0" borderId="67" xfId="5" applyFont="1" applyBorder="1" applyAlignment="1">
      <alignment horizontal="center" vertical="center"/>
    </xf>
    <xf numFmtId="0" fontId="13" fillId="0" borderId="121" xfId="5" applyFont="1" applyBorder="1" applyAlignment="1">
      <alignment horizontal="center" vertical="center"/>
    </xf>
    <xf numFmtId="0" fontId="13" fillId="5" borderId="39" xfId="4" applyFont="1" applyFill="1" applyBorder="1" applyAlignment="1">
      <alignment horizontal="center" vertical="center"/>
    </xf>
    <xf numFmtId="184" fontId="13" fillId="3" borderId="26" xfId="5" applyNumberFormat="1" applyFont="1" applyFill="1" applyBorder="1" applyAlignment="1">
      <alignment horizontal="center"/>
    </xf>
    <xf numFmtId="184" fontId="13" fillId="3" borderId="26" xfId="4" applyNumberFormat="1" applyFont="1" applyFill="1" applyBorder="1" applyAlignment="1">
      <alignment horizontal="center"/>
    </xf>
    <xf numFmtId="184" fontId="13" fillId="3" borderId="27" xfId="4" applyNumberFormat="1" applyFont="1" applyFill="1" applyBorder="1" applyAlignment="1">
      <alignment horizontal="center"/>
    </xf>
    <xf numFmtId="0" fontId="25" fillId="0" borderId="113" xfId="5" applyFont="1" applyBorder="1"/>
    <xf numFmtId="0" fontId="25" fillId="0" borderId="114" xfId="5" applyFont="1" applyBorder="1"/>
    <xf numFmtId="0" fontId="25" fillId="0" borderId="115" xfId="5" applyFont="1" applyBorder="1"/>
    <xf numFmtId="0" fontId="25" fillId="0" borderId="68" xfId="5" applyFont="1" applyBorder="1"/>
    <xf numFmtId="0" fontId="25" fillId="0" borderId="69" xfId="5" applyFont="1" applyBorder="1"/>
    <xf numFmtId="0" fontId="25" fillId="0" borderId="70" xfId="5" applyFont="1" applyBorder="1"/>
    <xf numFmtId="0" fontId="25" fillId="0" borderId="117" xfId="5" applyFont="1" applyBorder="1"/>
    <xf numFmtId="0" fontId="25" fillId="0" borderId="118" xfId="5" applyFont="1" applyBorder="1"/>
    <xf numFmtId="0" fontId="25" fillId="0" borderId="119" xfId="5" applyFont="1" applyBorder="1"/>
    <xf numFmtId="0" fontId="31" fillId="2" borderId="2" xfId="2" applyFont="1" applyFill="1" applyBorder="1" applyAlignment="1" applyProtection="1">
      <alignment horizontal="left" vertical="center" indent="1"/>
      <protection locked="0"/>
    </xf>
    <xf numFmtId="0" fontId="2" fillId="2" borderId="3" xfId="2" applyFont="1" applyFill="1" applyBorder="1" applyProtection="1">
      <protection locked="0"/>
    </xf>
    <xf numFmtId="0" fontId="2" fillId="2" borderId="3" xfId="2" applyFont="1" applyFill="1" applyBorder="1" applyAlignment="1" applyProtection="1">
      <alignment horizontal="center"/>
      <protection locked="0"/>
    </xf>
    <xf numFmtId="0" fontId="2" fillId="2" borderId="4" xfId="2" applyFont="1" applyFill="1" applyBorder="1" applyProtection="1">
      <protection locked="0"/>
    </xf>
    <xf numFmtId="0" fontId="2" fillId="0" borderId="0" xfId="2" applyFont="1" applyProtection="1">
      <protection locked="0"/>
    </xf>
    <xf numFmtId="0" fontId="5" fillId="0" borderId="0" xfId="10" applyFont="1" applyBorder="1"/>
    <xf numFmtId="0" fontId="5" fillId="0" borderId="0" xfId="10" applyFont="1" applyBorder="1" applyAlignment="1">
      <alignment horizontal="center"/>
    </xf>
    <xf numFmtId="188" fontId="5" fillId="0" borderId="0" xfId="10" applyNumberFormat="1" applyFont="1" applyBorder="1" applyAlignment="1"/>
    <xf numFmtId="0" fontId="5" fillId="0" borderId="0" xfId="10" applyFont="1" applyBorder="1" applyAlignment="1"/>
    <xf numFmtId="0" fontId="5" fillId="0" borderId="0" xfId="10" applyFont="1"/>
    <xf numFmtId="0" fontId="18" fillId="3" borderId="75" xfId="10" applyFont="1" applyFill="1" applyBorder="1" applyAlignment="1">
      <alignment horizontal="center" vertical="center"/>
    </xf>
    <xf numFmtId="0" fontId="18" fillId="3" borderId="122" xfId="10" applyFont="1" applyFill="1" applyBorder="1" applyAlignment="1">
      <alignment horizontal="center" vertical="center" textRotation="255"/>
    </xf>
    <xf numFmtId="0" fontId="18" fillId="3" borderId="122" xfId="10" applyFont="1" applyFill="1" applyBorder="1" applyAlignment="1">
      <alignment horizontal="center" vertical="center"/>
    </xf>
    <xf numFmtId="188" fontId="18" fillId="3" borderId="26" xfId="10" applyNumberFormat="1" applyFont="1" applyFill="1" applyBorder="1" applyAlignment="1">
      <alignment horizontal="center" vertical="center" wrapText="1"/>
    </xf>
    <xf numFmtId="0" fontId="18" fillId="3" borderId="26" xfId="10" applyFont="1" applyFill="1" applyBorder="1" applyAlignment="1">
      <alignment horizontal="center" vertical="center" wrapText="1" shrinkToFit="1"/>
    </xf>
    <xf numFmtId="0" fontId="18" fillId="3" borderId="122" xfId="10" applyFont="1" applyFill="1" applyBorder="1" applyAlignment="1">
      <alignment horizontal="center" vertical="center" wrapText="1"/>
    </xf>
    <xf numFmtId="0" fontId="18" fillId="3" borderId="27" xfId="10" applyFont="1" applyFill="1" applyBorder="1" applyAlignment="1">
      <alignment horizontal="center" vertical="center" wrapText="1"/>
    </xf>
    <xf numFmtId="0" fontId="18" fillId="3" borderId="100" xfId="10" applyFont="1" applyFill="1" applyBorder="1" applyAlignment="1">
      <alignment horizontal="center" vertical="center"/>
    </xf>
    <xf numFmtId="0" fontId="18" fillId="3" borderId="40" xfId="10" applyFont="1" applyFill="1" applyBorder="1" applyAlignment="1">
      <alignment horizontal="center" vertical="center" textRotation="255"/>
    </xf>
    <xf numFmtId="0" fontId="18" fillId="3" borderId="62" xfId="10" applyFont="1" applyFill="1" applyBorder="1" applyAlignment="1">
      <alignment horizontal="center" vertical="center"/>
    </xf>
    <xf numFmtId="188" fontId="18" fillId="3" borderId="62" xfId="10" applyNumberFormat="1" applyFont="1" applyFill="1" applyBorder="1" applyAlignment="1">
      <alignment horizontal="center" vertical="center" wrapText="1"/>
    </xf>
    <xf numFmtId="0" fontId="18" fillId="3" borderId="62" xfId="10" applyFont="1" applyFill="1" applyBorder="1" applyAlignment="1">
      <alignment horizontal="center" vertical="center" wrapText="1" shrinkToFit="1"/>
    </xf>
    <xf numFmtId="0" fontId="18" fillId="3" borderId="123" xfId="10" applyFont="1" applyFill="1" applyBorder="1" applyAlignment="1">
      <alignment horizontal="center" vertical="center" wrapText="1"/>
    </xf>
    <xf numFmtId="0" fontId="18" fillId="3" borderId="62" xfId="10" applyFont="1" applyFill="1" applyBorder="1" applyAlignment="1">
      <alignment horizontal="center" vertical="center" textRotation="255"/>
    </xf>
    <xf numFmtId="0" fontId="18" fillId="3" borderId="46" xfId="10" applyFont="1" applyFill="1" applyBorder="1" applyAlignment="1">
      <alignment horizontal="center" vertical="center" wrapText="1"/>
    </xf>
    <xf numFmtId="0" fontId="18" fillId="0" borderId="124" xfId="10" applyFont="1" applyBorder="1"/>
    <xf numFmtId="0" fontId="5" fillId="0" borderId="124" xfId="10" applyFont="1" applyBorder="1" applyAlignment="1">
      <alignment horizontal="center"/>
    </xf>
    <xf numFmtId="0" fontId="5" fillId="0" borderId="124" xfId="10" applyFont="1" applyBorder="1" applyAlignment="1">
      <alignment shrinkToFit="1"/>
    </xf>
    <xf numFmtId="188" fontId="5" fillId="0" borderId="124" xfId="10" applyNumberFormat="1" applyFont="1" applyBorder="1" applyAlignment="1"/>
    <xf numFmtId="0" fontId="5" fillId="0" borderId="124" xfId="10" applyNumberFormat="1" applyFont="1" applyBorder="1" applyAlignment="1">
      <alignment horizontal="right"/>
    </xf>
    <xf numFmtId="188" fontId="5" fillId="10" borderId="125" xfId="10" applyNumberFormat="1" applyFont="1" applyFill="1" applyBorder="1" applyAlignment="1"/>
    <xf numFmtId="0" fontId="18" fillId="0" borderId="40" xfId="10" applyFont="1" applyBorder="1"/>
    <xf numFmtId="0" fontId="5" fillId="0" borderId="40" xfId="10" applyFont="1" applyBorder="1" applyAlignment="1">
      <alignment horizontal="center"/>
    </xf>
    <xf numFmtId="0" fontId="5" fillId="0" borderId="40" xfId="10" applyFont="1" applyBorder="1" applyAlignment="1">
      <alignment shrinkToFit="1"/>
    </xf>
    <xf numFmtId="188" fontId="5" fillId="0" borderId="40" xfId="10" applyNumberFormat="1" applyFont="1" applyBorder="1" applyAlignment="1"/>
    <xf numFmtId="0" fontId="5" fillId="0" borderId="40" xfId="10" applyNumberFormat="1" applyFont="1" applyBorder="1" applyAlignment="1">
      <alignment horizontal="right"/>
    </xf>
    <xf numFmtId="188" fontId="5" fillId="10" borderId="38" xfId="10" applyNumberFormat="1" applyFont="1" applyFill="1" applyBorder="1" applyAlignment="1"/>
    <xf numFmtId="0" fontId="18" fillId="0" borderId="126" xfId="10" applyFont="1" applyBorder="1"/>
    <xf numFmtId="0" fontId="5" fillId="0" borderId="126" xfId="10" applyFont="1" applyBorder="1" applyAlignment="1">
      <alignment horizontal="center"/>
    </xf>
    <xf numFmtId="0" fontId="5" fillId="0" borderId="126" xfId="10" applyFont="1" applyBorder="1" applyAlignment="1">
      <alignment shrinkToFit="1"/>
    </xf>
    <xf numFmtId="188" fontId="5" fillId="0" borderId="126" xfId="10" applyNumberFormat="1" applyFont="1" applyBorder="1" applyAlignment="1"/>
    <xf numFmtId="0" fontId="5" fillId="0" borderId="126" xfId="10" applyNumberFormat="1" applyFont="1" applyBorder="1" applyAlignment="1">
      <alignment horizontal="right"/>
    </xf>
    <xf numFmtId="188" fontId="5" fillId="10" borderId="127" xfId="10" applyNumberFormat="1" applyFont="1" applyFill="1" applyBorder="1" applyAlignment="1"/>
    <xf numFmtId="0" fontId="5" fillId="0" borderId="128" xfId="10" applyFont="1" applyBorder="1"/>
    <xf numFmtId="0" fontId="5" fillId="0" borderId="128" xfId="10" applyFont="1" applyBorder="1" applyAlignment="1">
      <alignment horizontal="center"/>
    </xf>
    <xf numFmtId="188" fontId="5" fillId="0" borderId="128" xfId="10" applyNumberFormat="1" applyFont="1" applyBorder="1" applyAlignment="1"/>
    <xf numFmtId="188" fontId="5" fillId="10" borderId="129" xfId="10" applyNumberFormat="1" applyFont="1" applyFill="1" applyBorder="1" applyAlignment="1"/>
    <xf numFmtId="0" fontId="18" fillId="0" borderId="20" xfId="10" applyFont="1" applyBorder="1"/>
    <xf numFmtId="0" fontId="18" fillId="0" borderId="20" xfId="10" applyFont="1" applyBorder="1" applyAlignment="1">
      <alignment horizontal="center"/>
    </xf>
    <xf numFmtId="0" fontId="18" fillId="0" borderId="20" xfId="10" applyFont="1" applyFill="1" applyBorder="1" applyAlignment="1"/>
    <xf numFmtId="188" fontId="18" fillId="0" borderId="20" xfId="10" applyNumberFormat="1" applyFont="1" applyFill="1" applyBorder="1" applyAlignment="1"/>
    <xf numFmtId="0" fontId="18" fillId="0" borderId="20" xfId="10" applyNumberFormat="1" applyFont="1" applyFill="1" applyBorder="1" applyAlignment="1"/>
    <xf numFmtId="188" fontId="18" fillId="0" borderId="127" xfId="10" applyNumberFormat="1" applyFont="1" applyFill="1" applyBorder="1" applyAlignment="1"/>
    <xf numFmtId="0" fontId="5" fillId="0" borderId="40" xfId="10" applyFont="1" applyFill="1" applyBorder="1" applyAlignment="1">
      <alignment shrinkToFit="1"/>
    </xf>
    <xf numFmtId="188" fontId="5" fillId="0" borderId="40" xfId="10" applyNumberFormat="1" applyFont="1" applyFill="1" applyBorder="1" applyAlignment="1"/>
    <xf numFmtId="0" fontId="5" fillId="0" borderId="40" xfId="10" applyNumberFormat="1" applyFont="1" applyFill="1" applyBorder="1" applyAlignment="1">
      <alignment horizontal="right"/>
    </xf>
    <xf numFmtId="188" fontId="5" fillId="0" borderId="38" xfId="10" applyNumberFormat="1" applyFont="1" applyFill="1" applyBorder="1" applyAlignment="1"/>
    <xf numFmtId="0" fontId="5" fillId="0" borderId="126" xfId="10" applyFont="1" applyFill="1" applyBorder="1" applyAlignment="1">
      <alignment shrinkToFit="1"/>
    </xf>
    <xf numFmtId="188" fontId="5" fillId="0" borderId="126" xfId="10" applyNumberFormat="1" applyFont="1" applyFill="1" applyBorder="1" applyAlignment="1"/>
    <xf numFmtId="0" fontId="5" fillId="0" borderId="126" xfId="10" applyNumberFormat="1" applyFont="1" applyFill="1" applyBorder="1" applyAlignment="1">
      <alignment horizontal="right"/>
    </xf>
    <xf numFmtId="188" fontId="5" fillId="0" borderId="127" xfId="10" applyNumberFormat="1" applyFont="1" applyFill="1" applyBorder="1" applyAlignment="1"/>
    <xf numFmtId="0" fontId="5" fillId="0" borderId="128" xfId="10" applyFont="1" applyFill="1" applyBorder="1" applyAlignment="1"/>
    <xf numFmtId="188" fontId="5" fillId="0" borderId="128" xfId="10" applyNumberFormat="1" applyFont="1" applyFill="1" applyBorder="1" applyAlignment="1"/>
    <xf numFmtId="188" fontId="5" fillId="0" borderId="129" xfId="10" applyNumberFormat="1" applyFont="1" applyFill="1" applyBorder="1" applyAlignment="1"/>
    <xf numFmtId="0" fontId="18" fillId="0" borderId="81" xfId="10" applyFont="1" applyBorder="1"/>
    <xf numFmtId="0" fontId="18" fillId="0" borderId="81" xfId="10" applyFont="1" applyBorder="1" applyAlignment="1">
      <alignment horizontal="center"/>
    </xf>
    <xf numFmtId="0" fontId="18" fillId="0" borderId="81" xfId="10" applyFont="1" applyFill="1" applyBorder="1" applyAlignment="1"/>
    <xf numFmtId="188" fontId="18" fillId="0" borderId="81" xfId="10" applyNumberFormat="1" applyFont="1" applyFill="1" applyBorder="1" applyAlignment="1"/>
    <xf numFmtId="0" fontId="18" fillId="0" borderId="81" xfId="10" applyNumberFormat="1" applyFont="1" applyFill="1" applyBorder="1" applyAlignment="1"/>
    <xf numFmtId="188" fontId="18" fillId="0" borderId="130" xfId="10" applyNumberFormat="1" applyFont="1" applyFill="1" applyBorder="1" applyAlignment="1"/>
    <xf numFmtId="0" fontId="5" fillId="0" borderId="0" xfId="10" applyFont="1" applyAlignment="1">
      <alignment horizontal="center"/>
    </xf>
    <xf numFmtId="188" fontId="5" fillId="0" borderId="0" xfId="10" applyNumberFormat="1" applyFont="1" applyAlignment="1"/>
    <xf numFmtId="0" fontId="5" fillId="0" borderId="0" xfId="10" applyFont="1" applyAlignment="1"/>
    <xf numFmtId="0" fontId="18" fillId="11" borderId="0" xfId="10" applyFont="1" applyFill="1"/>
    <xf numFmtId="188" fontId="5" fillId="0" borderId="124" xfId="10" applyNumberFormat="1" applyFont="1" applyBorder="1" applyAlignment="1">
      <alignment horizontal="center"/>
    </xf>
    <xf numFmtId="188" fontId="5" fillId="0" borderId="40" xfId="10" applyNumberFormat="1" applyFont="1" applyBorder="1" applyAlignment="1">
      <alignment horizontal="center"/>
    </xf>
    <xf numFmtId="0" fontId="5" fillId="0" borderId="40" xfId="10" applyNumberFormat="1" applyFont="1" applyBorder="1" applyAlignment="1">
      <alignment horizontal="center"/>
    </xf>
    <xf numFmtId="188" fontId="5" fillId="0" borderId="40" xfId="10" applyNumberFormat="1" applyFont="1" applyFill="1" applyBorder="1" applyAlignment="1">
      <alignment horizontal="center"/>
    </xf>
    <xf numFmtId="0" fontId="5" fillId="0" borderId="40" xfId="10" applyNumberFormat="1" applyFont="1" applyFill="1" applyBorder="1" applyAlignment="1">
      <alignment horizontal="center"/>
    </xf>
    <xf numFmtId="0" fontId="5" fillId="0" borderId="131" xfId="10" applyFont="1" applyBorder="1" applyAlignment="1">
      <alignment vertical="top" wrapText="1" shrinkToFit="1"/>
    </xf>
    <xf numFmtId="0" fontId="0" fillId="0" borderId="62" xfId="0" applyBorder="1" applyAlignment="1">
      <alignment vertical="top" wrapText="1" shrinkToFit="1"/>
    </xf>
    <xf numFmtId="0" fontId="5" fillId="0" borderId="132" xfId="10" applyFont="1" applyFill="1" applyBorder="1" applyAlignment="1">
      <alignment vertical="top" wrapText="1" shrinkToFit="1"/>
    </xf>
    <xf numFmtId="0" fontId="32" fillId="2" borderId="21"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right" vertical="center" indent="1"/>
      <protection locked="0"/>
    </xf>
    <xf numFmtId="0" fontId="33" fillId="2" borderId="23" xfId="2" applyFont="1" applyFill="1" applyBorder="1" applyAlignment="1" applyProtection="1">
      <alignment horizontal="left" vertical="center" indent="1"/>
      <protection locked="0"/>
    </xf>
    <xf numFmtId="0" fontId="33" fillId="0" borderId="133" xfId="2" applyFont="1" applyFill="1" applyBorder="1" applyAlignment="1" applyProtection="1">
      <alignment horizontal="left" vertical="center" indent="1"/>
      <protection locked="0"/>
    </xf>
    <xf numFmtId="0" fontId="33" fillId="0" borderId="134" xfId="2" applyFont="1" applyFill="1" applyBorder="1" applyAlignment="1" applyProtection="1">
      <alignment horizontal="left" vertical="center" indent="1"/>
      <protection locked="0"/>
    </xf>
    <xf numFmtId="0" fontId="33" fillId="0" borderId="0" xfId="2" applyFont="1" applyFill="1" applyBorder="1" applyAlignment="1" applyProtection="1">
      <alignment horizontal="left" vertical="center" indent="1"/>
      <protection locked="0"/>
    </xf>
    <xf numFmtId="0" fontId="33" fillId="0" borderId="0" xfId="2" applyNumberFormat="1" applyFont="1" applyFill="1" applyBorder="1" applyAlignment="1" applyProtection="1">
      <alignment horizontal="left" vertical="center" indent="1"/>
      <protection locked="0"/>
    </xf>
    <xf numFmtId="176" fontId="18" fillId="0" borderId="0" xfId="2" applyNumberFormat="1" applyFont="1" applyFill="1" applyAlignment="1" applyProtection="1">
      <alignment horizontal="left" vertical="center" indent="1"/>
      <protection locked="0"/>
    </xf>
    <xf numFmtId="0" fontId="33" fillId="0" borderId="0" xfId="2" applyFont="1" applyFill="1" applyAlignment="1" applyProtection="1">
      <alignment horizontal="left" vertical="center" indent="1"/>
      <protection locked="0"/>
    </xf>
    <xf numFmtId="0" fontId="33" fillId="0" borderId="0" xfId="2" applyFont="1" applyAlignment="1" applyProtection="1">
      <alignment horizontal="left" vertical="center" indent="1"/>
      <protection locked="0"/>
    </xf>
    <xf numFmtId="0" fontId="5" fillId="0" borderId="0" xfId="2" applyFont="1" applyFill="1" applyBorder="1" applyProtection="1">
      <protection locked="0"/>
    </xf>
    <xf numFmtId="0" fontId="5" fillId="0" borderId="0" xfId="2" applyFont="1" applyFill="1" applyProtection="1">
      <protection locked="0"/>
    </xf>
    <xf numFmtId="0" fontId="5" fillId="0" borderId="34" xfId="2" applyFont="1" applyFill="1" applyBorder="1" applyProtection="1">
      <protection locked="0"/>
    </xf>
    <xf numFmtId="0" fontId="5" fillId="0" borderId="134" xfId="2" applyFont="1" applyFill="1" applyBorder="1" applyProtection="1">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2" applyFont="1" applyProtection="1">
      <protection locked="0"/>
    </xf>
    <xf numFmtId="0" fontId="5" fillId="12" borderId="135" xfId="2" applyFont="1" applyFill="1" applyBorder="1" applyAlignment="1" applyProtection="1">
      <alignment horizontal="center" vertical="center"/>
    </xf>
    <xf numFmtId="0" fontId="5" fillId="12" borderId="136" xfId="2" applyNumberFormat="1" applyFont="1" applyFill="1" applyBorder="1" applyAlignment="1" applyProtection="1">
      <alignment horizontal="center" vertical="center" shrinkToFit="1"/>
    </xf>
    <xf numFmtId="0" fontId="5" fillId="12" borderId="137" xfId="2" applyFont="1" applyFill="1" applyBorder="1" applyAlignment="1" applyProtection="1">
      <alignment horizontal="center" vertical="center"/>
    </xf>
    <xf numFmtId="189" fontId="5" fillId="12" borderId="34" xfId="2" applyNumberFormat="1" applyFont="1" applyFill="1" applyBorder="1" applyAlignment="1" applyProtection="1">
      <alignment horizontal="left" vertical="center" indent="1" shrinkToFit="1"/>
    </xf>
    <xf numFmtId="189" fontId="5" fillId="12" borderId="138" xfId="2" applyNumberFormat="1" applyFont="1" applyFill="1" applyBorder="1" applyAlignment="1" applyProtection="1">
      <alignment horizontal="left" vertical="center" indent="1" shrinkToFit="1"/>
    </xf>
    <xf numFmtId="0" fontId="5" fillId="12" borderId="139" xfId="2" applyFont="1" applyFill="1" applyBorder="1" applyAlignment="1" applyProtection="1">
      <alignment horizontal="center" vertical="center" wrapText="1"/>
    </xf>
    <xf numFmtId="0" fontId="5" fillId="12" borderId="138" xfId="2" applyFont="1" applyFill="1" applyBorder="1" applyAlignment="1" applyProtection="1">
      <alignment horizontal="center" vertical="center" wrapText="1"/>
    </xf>
    <xf numFmtId="0" fontId="5" fillId="12" borderId="140" xfId="2" applyFont="1" applyFill="1" applyBorder="1" applyAlignment="1" applyProtection="1">
      <alignment horizontal="center" vertical="center"/>
    </xf>
    <xf numFmtId="0" fontId="5" fillId="12" borderId="141" xfId="2" applyFont="1" applyFill="1" applyBorder="1" applyAlignment="1" applyProtection="1">
      <alignment horizontal="center" vertical="center"/>
    </xf>
    <xf numFmtId="0" fontId="5" fillId="12" borderId="142" xfId="2" applyFont="1" applyFill="1" applyBorder="1" applyAlignment="1" applyProtection="1">
      <alignment horizontal="center" vertical="center"/>
    </xf>
    <xf numFmtId="0" fontId="5" fillId="12" borderId="143" xfId="2" applyFont="1" applyFill="1" applyBorder="1" applyAlignment="1" applyProtection="1">
      <alignment horizontal="center" vertical="center"/>
    </xf>
    <xf numFmtId="0" fontId="5" fillId="12" borderId="84" xfId="2" applyFont="1" applyFill="1" applyBorder="1" applyAlignment="1" applyProtection="1">
      <alignment horizontal="center" vertical="center"/>
    </xf>
    <xf numFmtId="0" fontId="5" fillId="12" borderId="85" xfId="2" applyFont="1" applyFill="1" applyBorder="1" applyAlignment="1" applyProtection="1">
      <alignment horizontal="center" vertical="center"/>
    </xf>
    <xf numFmtId="0" fontId="5" fillId="0" borderId="0" xfId="2" applyFont="1" applyFill="1" applyBorder="1" applyAlignment="1" applyProtection="1">
      <alignment horizontal="center"/>
    </xf>
    <xf numFmtId="189" fontId="5" fillId="12" borderId="34" xfId="2" applyNumberFormat="1" applyFont="1" applyFill="1" applyBorder="1" applyAlignment="1" applyProtection="1">
      <alignment vertical="center" shrinkToFit="1"/>
    </xf>
    <xf numFmtId="189" fontId="5" fillId="12" borderId="138" xfId="2" applyNumberFormat="1" applyFont="1" applyFill="1" applyBorder="1" applyAlignment="1" applyProtection="1">
      <alignment vertical="center" shrinkToFit="1"/>
    </xf>
    <xf numFmtId="0" fontId="5" fillId="0" borderId="0" xfId="2" applyFont="1" applyFill="1" applyBorder="1" applyAlignment="1" applyProtection="1">
      <alignment vertical="center"/>
    </xf>
    <xf numFmtId="177" fontId="18" fillId="7" borderId="21" xfId="2" applyNumberFormat="1" applyFont="1" applyFill="1" applyBorder="1" applyAlignment="1" applyProtection="1">
      <alignment horizontal="center" vertical="center"/>
    </xf>
    <xf numFmtId="177" fontId="18" fillId="7" borderId="22" xfId="2" applyNumberFormat="1" applyFont="1" applyFill="1" applyBorder="1" applyAlignment="1" applyProtection="1">
      <alignment horizontal="center" vertical="center"/>
    </xf>
    <xf numFmtId="177" fontId="18" fillId="7" borderId="23" xfId="2" applyNumberFormat="1" applyFont="1" applyFill="1" applyBorder="1" applyAlignment="1" applyProtection="1">
      <alignment horizontal="center" vertical="center"/>
    </xf>
    <xf numFmtId="177"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center" shrinkToFit="1"/>
      <protection locked="0"/>
    </xf>
    <xf numFmtId="0" fontId="5" fillId="0" borderId="0" xfId="2" applyFont="1" applyFill="1" applyAlignment="1" applyProtection="1">
      <alignment horizontal="left"/>
      <protection locked="0"/>
    </xf>
    <xf numFmtId="0" fontId="5" fillId="0" borderId="0" xfId="11" applyFont="1" applyFill="1" applyBorder="1" applyAlignment="1">
      <alignment horizontal="left"/>
    </xf>
    <xf numFmtId="0" fontId="5" fillId="12" borderId="144" xfId="2" applyFont="1" applyFill="1" applyBorder="1" applyAlignment="1" applyProtection="1">
      <alignment horizontal="center" vertical="center"/>
    </xf>
    <xf numFmtId="0" fontId="5" fillId="12" borderId="145" xfId="2" applyNumberFormat="1" applyFont="1" applyFill="1" applyBorder="1" applyAlignment="1" applyProtection="1">
      <alignment horizontal="center" vertical="center" shrinkToFit="1"/>
    </xf>
    <xf numFmtId="0" fontId="5" fillId="12" borderId="146" xfId="2" applyFont="1" applyFill="1" applyBorder="1" applyAlignment="1" applyProtection="1">
      <alignment horizontal="center" vertical="center"/>
    </xf>
    <xf numFmtId="189" fontId="5" fillId="12" borderId="20" xfId="2" applyNumberFormat="1" applyFont="1" applyFill="1" applyBorder="1" applyAlignment="1" applyProtection="1">
      <alignment horizontal="left" vertical="center" indent="1" shrinkToFit="1"/>
    </xf>
    <xf numFmtId="189" fontId="5" fillId="12" borderId="147" xfId="2" applyNumberFormat="1" applyFont="1" applyFill="1" applyBorder="1" applyAlignment="1" applyProtection="1">
      <alignment horizontal="left" vertical="center" indent="1" shrinkToFit="1"/>
    </xf>
    <xf numFmtId="0" fontId="5" fillId="12" borderId="148" xfId="2" applyFont="1" applyFill="1" applyBorder="1" applyAlignment="1" applyProtection="1">
      <alignment horizontal="center" vertical="center" wrapText="1"/>
    </xf>
    <xf numFmtId="0" fontId="5" fillId="12" borderId="149" xfId="2" applyFont="1" applyFill="1" applyBorder="1" applyAlignment="1" applyProtection="1">
      <alignment horizontal="center" vertical="center" wrapText="1"/>
    </xf>
    <xf numFmtId="0" fontId="5" fillId="12" borderId="150" xfId="2" applyFont="1" applyFill="1" applyBorder="1" applyAlignment="1" applyProtection="1">
      <alignment horizontal="center" vertical="center"/>
    </xf>
    <xf numFmtId="0" fontId="5" fillId="12" borderId="151" xfId="2" applyFont="1" applyFill="1" applyBorder="1" applyAlignment="1" applyProtection="1">
      <alignment horizontal="center" vertical="center"/>
    </xf>
    <xf numFmtId="0" fontId="5" fillId="12" borderId="152" xfId="2" applyFont="1" applyFill="1" applyBorder="1" applyAlignment="1" applyProtection="1">
      <alignment horizontal="center" vertical="center"/>
    </xf>
    <xf numFmtId="0" fontId="5" fillId="12" borderId="153" xfId="2" applyFont="1" applyFill="1" applyBorder="1" applyAlignment="1" applyProtection="1">
      <alignment horizontal="center" vertical="center"/>
    </xf>
    <xf numFmtId="0" fontId="5" fillId="12" borderId="154" xfId="2" applyFont="1" applyFill="1" applyBorder="1" applyAlignment="1" applyProtection="1">
      <alignment horizontal="center" vertical="center"/>
    </xf>
    <xf numFmtId="0" fontId="5" fillId="12" borderId="155" xfId="2" applyFont="1" applyFill="1" applyBorder="1" applyAlignment="1" applyProtection="1">
      <alignment horizontal="center" vertical="center"/>
    </xf>
    <xf numFmtId="0" fontId="5" fillId="12" borderId="156" xfId="2" applyFont="1" applyFill="1" applyBorder="1" applyAlignment="1" applyProtection="1">
      <alignment horizontal="center" vertical="center"/>
    </xf>
    <xf numFmtId="189" fontId="5" fillId="12" borderId="157" xfId="2" applyNumberFormat="1" applyFont="1" applyFill="1" applyBorder="1" applyAlignment="1" applyProtection="1">
      <alignment horizontal="center" vertical="center" shrinkToFit="1"/>
    </xf>
    <xf numFmtId="189" fontId="5" fillId="12" borderId="0" xfId="2" applyNumberFormat="1" applyFont="1" applyFill="1" applyBorder="1" applyAlignment="1" applyProtection="1">
      <alignment horizontal="center" vertical="center" shrinkToFit="1"/>
    </xf>
    <xf numFmtId="189" fontId="5" fillId="12" borderId="38" xfId="2" applyNumberFormat="1" applyFont="1" applyFill="1" applyBorder="1" applyAlignment="1" applyProtection="1">
      <alignment horizontal="center" vertical="center" shrinkToFit="1"/>
    </xf>
    <xf numFmtId="189" fontId="5" fillId="12" borderId="20" xfId="2" applyNumberFormat="1" applyFont="1" applyFill="1" applyBorder="1" applyAlignment="1" applyProtection="1">
      <alignment vertical="center" shrinkToFit="1"/>
    </xf>
    <xf numFmtId="189" fontId="5" fillId="12" borderId="147" xfId="2" applyNumberFormat="1" applyFont="1" applyFill="1" applyBorder="1" applyAlignment="1" applyProtection="1">
      <alignment vertical="center" shrinkToFit="1"/>
    </xf>
    <xf numFmtId="177" fontId="18" fillId="0" borderId="0" xfId="2" applyNumberFormat="1" applyFont="1" applyFill="1" applyBorder="1" applyAlignment="1" applyProtection="1">
      <alignment horizontal="center" vertical="center"/>
    </xf>
    <xf numFmtId="0" fontId="5" fillId="0" borderId="0" xfId="2" applyFont="1" applyFill="1" applyBorder="1" applyAlignment="1" applyProtection="1">
      <alignment horizontal="left"/>
      <protection locked="0"/>
    </xf>
    <xf numFmtId="0" fontId="5" fillId="12" borderId="159" xfId="2" applyFont="1" applyFill="1" applyBorder="1" applyAlignment="1" applyProtection="1">
      <alignment horizontal="center" vertical="center"/>
    </xf>
    <xf numFmtId="0" fontId="5" fillId="12" borderId="160" xfId="2" applyNumberFormat="1" applyFont="1" applyFill="1" applyBorder="1" applyAlignment="1" applyProtection="1">
      <alignment horizontal="center" vertical="center"/>
    </xf>
    <xf numFmtId="0" fontId="5" fillId="12" borderId="161" xfId="2" applyFont="1" applyFill="1" applyBorder="1" applyAlignment="1" applyProtection="1">
      <alignment horizontal="center" vertical="center"/>
    </xf>
    <xf numFmtId="190" fontId="5" fillId="12" borderId="160" xfId="2" applyNumberFormat="1" applyFont="1" applyFill="1" applyBorder="1" applyAlignment="1" applyProtection="1">
      <alignment vertical="center"/>
    </xf>
    <xf numFmtId="0" fontId="5" fillId="12" borderId="162" xfId="2" applyFont="1" applyFill="1" applyBorder="1" applyAlignment="1" applyProtection="1">
      <alignment horizontal="center" vertical="center"/>
    </xf>
    <xf numFmtId="191" fontId="5" fillId="12" borderId="160" xfId="2" applyNumberFormat="1" applyFont="1" applyFill="1" applyBorder="1" applyAlignment="1" applyProtection="1">
      <alignment vertical="center"/>
      <protection locked="0"/>
    </xf>
    <xf numFmtId="0" fontId="5" fillId="12" borderId="163" xfId="2" applyFont="1" applyFill="1" applyBorder="1" applyAlignment="1" applyProtection="1">
      <alignment horizontal="center" vertical="center" shrinkToFit="1"/>
    </xf>
    <xf numFmtId="0" fontId="5" fillId="12" borderId="164" xfId="2" applyFont="1" applyFill="1" applyBorder="1" applyAlignment="1" applyProtection="1">
      <alignment horizontal="center" vertical="center" shrinkToFit="1"/>
    </xf>
    <xf numFmtId="192" fontId="5" fillId="12" borderId="165" xfId="2" applyNumberFormat="1" applyFont="1" applyFill="1" applyBorder="1" applyAlignment="1" applyProtection="1">
      <alignment vertical="center"/>
      <protection locked="0"/>
    </xf>
    <xf numFmtId="192" fontId="5" fillId="12" borderId="160" xfId="2" applyNumberFormat="1" applyFont="1" applyFill="1" applyBorder="1" applyAlignment="1" applyProtection="1">
      <alignment vertical="center"/>
      <protection locked="0"/>
    </xf>
    <xf numFmtId="193" fontId="5" fillId="12" borderId="166" xfId="2" applyNumberFormat="1" applyFont="1" applyFill="1" applyBorder="1" applyAlignment="1" applyProtection="1">
      <alignment vertical="center" shrinkToFit="1"/>
      <protection locked="0"/>
    </xf>
    <xf numFmtId="193" fontId="5" fillId="12" borderId="160" xfId="2" applyNumberFormat="1" applyFont="1" applyFill="1" applyBorder="1" applyAlignment="1" applyProtection="1">
      <alignment vertical="center" shrinkToFit="1"/>
      <protection locked="0"/>
    </xf>
    <xf numFmtId="194" fontId="5" fillId="12" borderId="167" xfId="2" applyNumberFormat="1" applyFont="1" applyFill="1" applyBorder="1" applyAlignment="1" applyProtection="1">
      <alignment horizontal="center" vertical="center" shrinkToFit="1"/>
      <protection locked="0"/>
    </xf>
    <xf numFmtId="195" fontId="5" fillId="12" borderId="167" xfId="2" applyNumberFormat="1" applyFont="1" applyFill="1" applyBorder="1" applyAlignment="1" applyProtection="1">
      <alignment horizontal="center" vertical="center" shrinkToFit="1"/>
      <protection locked="0"/>
    </xf>
    <xf numFmtId="196" fontId="5" fillId="12" borderId="45" xfId="2" applyNumberFormat="1" applyFont="1" applyFill="1" applyBorder="1" applyAlignment="1" applyProtection="1">
      <alignment horizontal="center" vertical="center" shrinkToFit="1"/>
      <protection locked="0"/>
    </xf>
    <xf numFmtId="197" fontId="5" fillId="12" borderId="160" xfId="2" applyNumberFormat="1" applyFont="1" applyFill="1" applyBorder="1" applyAlignment="1" applyProtection="1">
      <alignment horizontal="center" vertical="center" shrinkToFit="1"/>
      <protection locked="0"/>
    </xf>
    <xf numFmtId="189" fontId="5" fillId="12" borderId="166" xfId="2" applyNumberFormat="1" applyFont="1" applyFill="1" applyBorder="1" applyAlignment="1" applyProtection="1">
      <alignment horizontal="center" vertical="center" shrinkToFit="1"/>
    </xf>
    <xf numFmtId="189" fontId="5" fillId="12" borderId="56" xfId="2" applyNumberFormat="1" applyFont="1" applyFill="1" applyBorder="1" applyAlignment="1" applyProtection="1">
      <alignment horizontal="center" vertical="center" shrinkToFit="1"/>
    </xf>
    <xf numFmtId="189" fontId="5" fillId="12" borderId="57" xfId="2" applyNumberFormat="1" applyFont="1" applyFill="1" applyBorder="1" applyAlignment="1" applyProtection="1">
      <alignment horizontal="center" vertical="center" shrinkToFit="1"/>
    </xf>
    <xf numFmtId="198" fontId="5" fillId="0" borderId="0" xfId="2" applyNumberFormat="1" applyFont="1" applyFill="1" applyBorder="1" applyAlignment="1" applyProtection="1">
      <alignment horizontal="center" shrinkToFit="1"/>
      <protection locked="0"/>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vertical="center" shrinkToFit="1"/>
    </xf>
    <xf numFmtId="199" fontId="5" fillId="0" borderId="0" xfId="2" applyNumberFormat="1" applyFont="1" applyFill="1" applyBorder="1" applyAlignment="1" applyProtection="1">
      <alignment vertical="center"/>
    </xf>
    <xf numFmtId="177" fontId="5" fillId="0" borderId="134" xfId="2" applyNumberFormat="1" applyFont="1" applyFill="1" applyBorder="1" applyAlignment="1" applyProtection="1">
      <alignment horizontal="center"/>
    </xf>
    <xf numFmtId="0" fontId="5" fillId="0" borderId="0" xfId="2" applyFont="1" applyFill="1" applyBorder="1" applyAlignment="1" applyProtection="1">
      <alignment horizontal="left" indent="1"/>
    </xf>
    <xf numFmtId="0" fontId="5" fillId="0" borderId="0" xfId="2" applyFont="1" applyFill="1" applyBorder="1" applyProtection="1"/>
    <xf numFmtId="0" fontId="5" fillId="0" borderId="168" xfId="2" applyFont="1" applyFill="1" applyBorder="1" applyAlignment="1" applyProtection="1">
      <alignment horizontal="right" shrinkToFit="1"/>
    </xf>
    <xf numFmtId="200" fontId="5" fillId="0" borderId="168" xfId="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77" fontId="5" fillId="0" borderId="0" xfId="2" applyNumberFormat="1" applyFont="1" applyFill="1" applyBorder="1" applyProtection="1"/>
    <xf numFmtId="0" fontId="5" fillId="0" borderId="0" xfId="2" applyFont="1" applyFill="1" applyBorder="1" applyAlignment="1" applyProtection="1">
      <alignment horizontal="right"/>
    </xf>
    <xf numFmtId="200" fontId="5" fillId="0" borderId="0" xfId="2" applyNumberFormat="1" applyFont="1" applyFill="1" applyBorder="1" applyAlignment="1" applyProtection="1">
      <alignment horizontal="left"/>
    </xf>
    <xf numFmtId="3" fontId="5" fillId="0" borderId="0" xfId="12" applyNumberFormat="1" applyFont="1" applyFill="1" applyBorder="1" applyProtection="1"/>
    <xf numFmtId="177" fontId="5" fillId="0" borderId="0" xfId="2" applyNumberFormat="1" applyFont="1" applyFill="1" applyBorder="1" applyAlignment="1" applyProtection="1">
      <alignment horizontal="right"/>
    </xf>
    <xf numFmtId="201" fontId="5" fillId="0" borderId="0" xfId="1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99" fontId="5" fillId="0" borderId="0" xfId="2" applyNumberFormat="1" applyFont="1" applyFill="1" applyBorder="1" applyAlignment="1" applyProtection="1">
      <alignment horizontal="right"/>
    </xf>
    <xf numFmtId="0" fontId="5" fillId="0" borderId="169" xfId="2" applyFont="1" applyFill="1" applyBorder="1" applyAlignment="1" applyProtection="1">
      <alignment horizontal="right"/>
    </xf>
    <xf numFmtId="0" fontId="13" fillId="5" borderId="21" xfId="4" applyFont="1" applyFill="1" applyBorder="1" applyAlignment="1">
      <alignment horizontal="center" vertical="center"/>
    </xf>
    <xf numFmtId="0" fontId="5" fillId="0" borderId="134" xfId="2" applyFont="1" applyFill="1" applyBorder="1" applyAlignment="1" applyProtection="1">
      <alignment horizontal="right"/>
    </xf>
    <xf numFmtId="0" fontId="13" fillId="6" borderId="21" xfId="4" applyFont="1" applyFill="1" applyBorder="1" applyAlignment="1">
      <alignment horizontal="center" vertical="center"/>
    </xf>
    <xf numFmtId="202" fontId="5" fillId="0" borderId="0" xfId="2" applyNumberFormat="1" applyFont="1" applyFill="1" applyBorder="1" applyAlignment="1" applyProtection="1">
      <alignment vertical="center"/>
    </xf>
    <xf numFmtId="199" fontId="5" fillId="0" borderId="0" xfId="2" applyNumberFormat="1" applyFont="1" applyFill="1" applyBorder="1" applyAlignment="1" applyProtection="1">
      <alignment vertical="center"/>
    </xf>
    <xf numFmtId="203" fontId="5" fillId="0" borderId="0" xfId="2" applyNumberFormat="1" applyFont="1" applyFill="1" applyBorder="1" applyAlignment="1" applyProtection="1">
      <alignment horizontal="left" vertical="center"/>
    </xf>
    <xf numFmtId="202" fontId="5" fillId="0" borderId="0" xfId="2" applyNumberFormat="1" applyFont="1" applyFill="1" applyBorder="1" applyAlignment="1" applyProtection="1">
      <alignment vertical="center"/>
      <protection locked="0"/>
    </xf>
    <xf numFmtId="202" fontId="5" fillId="0" borderId="134" xfId="2" applyNumberFormat="1" applyFont="1" applyFill="1" applyBorder="1" applyAlignment="1" applyProtection="1"/>
    <xf numFmtId="0" fontId="14" fillId="3" borderId="170" xfId="2" applyFont="1" applyFill="1" applyBorder="1" applyAlignment="1" applyProtection="1">
      <alignment horizontal="left" vertical="center" wrapText="1" indent="1"/>
      <protection locked="0"/>
    </xf>
    <xf numFmtId="0" fontId="14" fillId="3" borderId="171" xfId="2" applyFont="1" applyFill="1" applyBorder="1" applyAlignment="1" applyProtection="1">
      <alignment horizontal="left" vertical="center" wrapText="1" indent="1"/>
      <protection locked="0"/>
    </xf>
    <xf numFmtId="0" fontId="14" fillId="3" borderId="172" xfId="2" applyFont="1" applyFill="1" applyBorder="1" applyAlignment="1" applyProtection="1">
      <alignment horizontal="left" vertical="center" wrapText="1" indent="1"/>
      <protection locked="0"/>
    </xf>
    <xf numFmtId="177" fontId="5" fillId="3" borderId="173" xfId="2" applyNumberFormat="1" applyFont="1" applyFill="1" applyBorder="1" applyAlignment="1" applyProtection="1">
      <alignment horizontal="center" vertical="center"/>
    </xf>
    <xf numFmtId="177" fontId="5" fillId="3" borderId="174" xfId="2" applyNumberFormat="1" applyFont="1" applyFill="1" applyBorder="1" applyAlignment="1" applyProtection="1">
      <alignment horizontal="center" vertical="center"/>
    </xf>
    <xf numFmtId="177" fontId="5" fillId="3" borderId="175" xfId="2" applyNumberFormat="1" applyFont="1" applyFill="1" applyBorder="1" applyAlignment="1" applyProtection="1">
      <alignment horizontal="center" vertical="center"/>
    </xf>
    <xf numFmtId="177" fontId="5" fillId="3" borderId="173" xfId="2" applyNumberFormat="1" applyFont="1" applyFill="1" applyBorder="1" applyAlignment="1" applyProtection="1">
      <alignment horizontal="centerContinuous" vertical="center"/>
    </xf>
    <xf numFmtId="177" fontId="5" fillId="3" borderId="174" xfId="2" applyNumberFormat="1" applyFont="1" applyFill="1" applyBorder="1" applyAlignment="1" applyProtection="1">
      <alignment horizontal="centerContinuous" vertical="center"/>
    </xf>
    <xf numFmtId="177" fontId="5" fillId="3" borderId="176" xfId="2" applyNumberFormat="1" applyFont="1" applyFill="1" applyBorder="1" applyAlignment="1" applyProtection="1">
      <alignment horizontal="center" vertical="center"/>
    </xf>
    <xf numFmtId="177" fontId="5" fillId="3" borderId="171" xfId="2" applyNumberFormat="1" applyFont="1" applyFill="1" applyBorder="1" applyAlignment="1" applyProtection="1">
      <alignment horizontal="center" vertical="center"/>
    </xf>
    <xf numFmtId="177" fontId="5" fillId="3" borderId="177" xfId="2" applyNumberFormat="1" applyFont="1" applyFill="1" applyBorder="1" applyAlignment="1" applyProtection="1">
      <alignment horizontal="center" vertical="center"/>
    </xf>
    <xf numFmtId="204" fontId="5" fillId="0" borderId="0" xfId="2" applyNumberFormat="1" applyFont="1" applyFill="1" applyBorder="1" applyAlignment="1" applyProtection="1">
      <alignment horizontal="right" shrinkToFit="1"/>
    </xf>
    <xf numFmtId="0" fontId="5" fillId="0" borderId="0" xfId="2" applyNumberFormat="1" applyFont="1" applyFill="1" applyBorder="1" applyAlignment="1" applyProtection="1">
      <alignment vertical="center"/>
    </xf>
    <xf numFmtId="0" fontId="10" fillId="0" borderId="0" xfId="3" applyNumberFormat="1" applyAlignment="1">
      <alignment vertical="center"/>
    </xf>
    <xf numFmtId="0" fontId="10" fillId="0" borderId="0" xfId="3" applyNumberFormat="1" applyFill="1" applyAlignment="1">
      <alignment vertical="center"/>
    </xf>
    <xf numFmtId="3" fontId="5" fillId="0" borderId="133" xfId="12" applyNumberFormat="1" applyFont="1" applyFill="1" applyBorder="1" applyAlignment="1" applyProtection="1">
      <alignment horizontal="center" vertical="center" shrinkToFit="1"/>
    </xf>
    <xf numFmtId="2" fontId="5" fillId="0" borderId="0" xfId="2" applyNumberFormat="1" applyFont="1" applyFill="1" applyBorder="1" applyAlignment="1" applyProtection="1">
      <protection locked="0"/>
    </xf>
    <xf numFmtId="0" fontId="14" fillId="3" borderId="97" xfId="2" applyFont="1" applyFill="1" applyBorder="1" applyAlignment="1" applyProtection="1">
      <alignment horizontal="left" vertical="center" wrapText="1" indent="1"/>
      <protection locked="0"/>
    </xf>
    <xf numFmtId="0" fontId="14" fillId="3" borderId="56" xfId="2" applyFont="1" applyFill="1" applyBorder="1" applyAlignment="1" applyProtection="1">
      <alignment horizontal="left" vertical="center" wrapText="1" indent="1"/>
      <protection locked="0"/>
    </xf>
    <xf numFmtId="0" fontId="14" fillId="3" borderId="178" xfId="2" applyFont="1" applyFill="1" applyBorder="1" applyAlignment="1" applyProtection="1">
      <alignment horizontal="left" vertical="center" wrapText="1" indent="1"/>
      <protection locked="0"/>
    </xf>
    <xf numFmtId="183" fontId="5" fillId="13" borderId="179" xfId="2" applyNumberFormat="1" applyFont="1" applyFill="1" applyBorder="1" applyAlignment="1" applyProtection="1">
      <alignment horizontal="centerContinuous"/>
      <protection locked="0"/>
    </xf>
    <xf numFmtId="183" fontId="5" fillId="13" borderId="0" xfId="2" applyNumberFormat="1" applyFont="1" applyFill="1" applyBorder="1" applyAlignment="1" applyProtection="1">
      <alignment horizontal="centerContinuous"/>
    </xf>
    <xf numFmtId="183" fontId="5" fillId="13" borderId="180" xfId="2" applyNumberFormat="1" applyFont="1" applyFill="1" applyBorder="1" applyAlignment="1" applyProtection="1">
      <alignment horizontal="centerContinuous"/>
      <protection locked="0"/>
    </xf>
    <xf numFmtId="183" fontId="5" fillId="13" borderId="38" xfId="2" applyNumberFormat="1" applyFont="1" applyFill="1" applyBorder="1" applyAlignment="1" applyProtection="1">
      <alignment horizontal="centerContinuous"/>
    </xf>
    <xf numFmtId="183" fontId="5" fillId="14" borderId="179" xfId="2" applyNumberFormat="1" applyFont="1" applyFill="1" applyBorder="1" applyAlignment="1" applyProtection="1">
      <alignment horizontal="centerContinuous"/>
      <protection locked="0"/>
    </xf>
    <xf numFmtId="183" fontId="5" fillId="14" borderId="0" xfId="2" applyNumberFormat="1" applyFont="1" applyFill="1" applyBorder="1" applyAlignment="1" applyProtection="1">
      <alignment horizontal="centerContinuous"/>
    </xf>
    <xf numFmtId="183" fontId="5" fillId="14" borderId="180" xfId="2" applyNumberFormat="1" applyFont="1" applyFill="1" applyBorder="1" applyAlignment="1" applyProtection="1">
      <alignment horizontal="centerContinuous"/>
      <protection locked="0"/>
    </xf>
    <xf numFmtId="183" fontId="5" fillId="14" borderId="38" xfId="2" applyNumberFormat="1" applyFont="1" applyFill="1" applyBorder="1" applyAlignment="1" applyProtection="1">
      <alignment horizontal="centerContinuous"/>
    </xf>
    <xf numFmtId="183" fontId="5" fillId="15" borderId="179" xfId="2" applyNumberFormat="1" applyFont="1" applyFill="1" applyBorder="1" applyAlignment="1" applyProtection="1">
      <alignment horizontal="centerContinuous"/>
      <protection locked="0"/>
    </xf>
    <xf numFmtId="183" fontId="5" fillId="15" borderId="0" xfId="2" applyNumberFormat="1" applyFont="1" applyFill="1" applyBorder="1" applyAlignment="1" applyProtection="1">
      <alignment horizontal="centerContinuous"/>
    </xf>
    <xf numFmtId="183" fontId="5" fillId="15" borderId="180" xfId="2" applyNumberFormat="1" applyFont="1" applyFill="1" applyBorder="1" applyAlignment="1" applyProtection="1">
      <alignment horizontal="centerContinuous"/>
      <protection locked="0"/>
    </xf>
    <xf numFmtId="183" fontId="5" fillId="15" borderId="38" xfId="2" applyNumberFormat="1" applyFont="1" applyFill="1" applyBorder="1" applyAlignment="1" applyProtection="1">
      <alignment horizontal="centerContinuous"/>
    </xf>
    <xf numFmtId="202" fontId="5" fillId="16" borderId="181" xfId="2" applyNumberFormat="1" applyFont="1" applyFill="1" applyBorder="1" applyAlignment="1" applyProtection="1">
      <alignment horizontal="centerContinuous" vertical="center"/>
      <protection locked="0"/>
    </xf>
    <xf numFmtId="202" fontId="5" fillId="16" borderId="182" xfId="2" applyNumberFormat="1" applyFont="1" applyFill="1" applyBorder="1" applyAlignment="1" applyProtection="1">
      <alignment horizontal="centerContinuous" vertical="center"/>
      <protection locked="0"/>
    </xf>
    <xf numFmtId="202" fontId="5" fillId="16" borderId="183" xfId="2" applyNumberFormat="1" applyFont="1" applyFill="1" applyBorder="1" applyAlignment="1" applyProtection="1">
      <alignment horizontal="centerContinuous" vertical="center"/>
      <protection locked="0"/>
    </xf>
    <xf numFmtId="202" fontId="5" fillId="17" borderId="184" xfId="2" applyNumberFormat="1" applyFont="1" applyFill="1" applyBorder="1" applyAlignment="1" applyProtection="1">
      <alignment horizontal="centerContinuous" vertical="center"/>
      <protection locked="0"/>
    </xf>
    <xf numFmtId="202" fontId="5" fillId="17" borderId="182" xfId="2" applyNumberFormat="1" applyFont="1" applyFill="1" applyBorder="1" applyAlignment="1" applyProtection="1">
      <alignment horizontal="centerContinuous" vertical="center"/>
      <protection locked="0"/>
    </xf>
    <xf numFmtId="177" fontId="5" fillId="3" borderId="179" xfId="2" applyNumberFormat="1" applyFont="1" applyFill="1" applyBorder="1" applyAlignment="1" applyProtection="1">
      <alignment horizontal="center" vertical="center"/>
    </xf>
    <xf numFmtId="177" fontId="5" fillId="3" borderId="0" xfId="2" applyNumberFormat="1" applyFont="1" applyFill="1" applyBorder="1" applyAlignment="1" applyProtection="1">
      <alignment horizontal="center" vertical="center"/>
    </xf>
    <xf numFmtId="177" fontId="5" fillId="3" borderId="38" xfId="2" applyNumberFormat="1" applyFont="1" applyFill="1" applyBorder="1" applyAlignment="1" applyProtection="1">
      <alignment horizontal="center" vertical="center"/>
    </xf>
    <xf numFmtId="202" fontId="18" fillId="0" borderId="0" xfId="2" applyNumberFormat="1" applyFont="1" applyFill="1" applyBorder="1" applyAlignment="1" applyProtection="1">
      <alignment vertical="center"/>
    </xf>
    <xf numFmtId="204" fontId="5" fillId="0" borderId="0" xfId="2" applyNumberFormat="1" applyFont="1" applyFill="1" applyBorder="1" applyAlignment="1" applyProtection="1">
      <alignment vertical="center"/>
    </xf>
    <xf numFmtId="193" fontId="5" fillId="0" borderId="0" xfId="12" applyNumberFormat="1" applyFont="1" applyFill="1" applyBorder="1" applyAlignment="1" applyProtection="1">
      <alignment vertical="center"/>
    </xf>
    <xf numFmtId="0" fontId="5" fillId="0" borderId="0" xfId="2" applyFont="1" applyAlignment="1" applyProtection="1">
      <alignment horizontal="center"/>
      <protection locked="0"/>
    </xf>
    <xf numFmtId="0" fontId="5" fillId="18" borderId="96" xfId="2" applyFont="1" applyFill="1" applyBorder="1" applyAlignment="1" applyProtection="1">
      <alignment horizontal="center" vertical="center" textRotation="255" shrinkToFit="1"/>
    </xf>
    <xf numFmtId="0" fontId="5" fillId="3" borderId="101" xfId="2" applyFont="1" applyFill="1" applyBorder="1" applyAlignment="1" applyProtection="1">
      <alignment horizontal="center" vertical="center" shrinkToFit="1"/>
    </xf>
    <xf numFmtId="0" fontId="5" fillId="3" borderId="102" xfId="2" applyFont="1" applyFill="1" applyBorder="1" applyAlignment="1" applyProtection="1">
      <alignment horizontal="center" vertical="center" shrinkToFit="1"/>
    </xf>
    <xf numFmtId="0" fontId="5" fillId="3" borderId="185" xfId="2" applyFont="1" applyFill="1" applyBorder="1" applyAlignment="1" applyProtection="1">
      <alignment horizontal="center" vertical="center" shrinkToFit="1"/>
    </xf>
    <xf numFmtId="0" fontId="5" fillId="3" borderId="61" xfId="2" applyFont="1" applyFill="1" applyBorder="1" applyAlignment="1" applyProtection="1">
      <alignment horizontal="center" vertical="center" shrinkToFit="1"/>
    </xf>
    <xf numFmtId="177" fontId="5" fillId="3" borderId="186" xfId="2" applyNumberFormat="1" applyFont="1" applyFill="1" applyBorder="1" applyAlignment="1" applyProtection="1">
      <alignment horizontal="center" vertical="center" wrapText="1" shrinkToFit="1"/>
    </xf>
    <xf numFmtId="3" fontId="5" fillId="3" borderId="61" xfId="12" applyNumberFormat="1" applyFont="1" applyFill="1" applyBorder="1" applyAlignment="1" applyProtection="1">
      <alignment horizontal="center" vertical="center" shrinkToFit="1"/>
    </xf>
    <xf numFmtId="177" fontId="5" fillId="3" borderId="187" xfId="2" applyNumberFormat="1" applyFont="1" applyFill="1" applyBorder="1" applyAlignment="1" applyProtection="1">
      <alignment horizontal="center" vertical="center" wrapText="1" shrinkToFit="1"/>
    </xf>
    <xf numFmtId="3" fontId="5" fillId="3" borderId="31" xfId="12" applyNumberFormat="1" applyFont="1" applyFill="1" applyBorder="1" applyAlignment="1" applyProtection="1">
      <alignment horizontal="center" vertical="center" shrinkToFit="1"/>
    </xf>
    <xf numFmtId="3" fontId="5" fillId="0" borderId="134" xfId="12" applyNumberFormat="1" applyFont="1" applyFill="1" applyBorder="1" applyAlignment="1" applyProtection="1">
      <alignment horizontal="center" vertical="center" shrinkToFit="1"/>
    </xf>
    <xf numFmtId="0" fontId="5" fillId="18" borderId="58" xfId="2" applyFont="1" applyFill="1" applyBorder="1" applyAlignment="1" applyProtection="1">
      <alignment horizontal="center" vertical="center" textRotation="255" shrinkToFit="1"/>
    </xf>
    <xf numFmtId="183" fontId="5" fillId="3" borderId="186" xfId="2" applyNumberFormat="1" applyFont="1" applyFill="1" applyBorder="1" applyAlignment="1" applyProtection="1">
      <alignment horizontal="center" vertical="center" wrapText="1" shrinkToFit="1"/>
    </xf>
    <xf numFmtId="177" fontId="5" fillId="3" borderId="102" xfId="2" applyNumberFormat="1" applyFont="1" applyFill="1" applyBorder="1" applyAlignment="1" applyProtection="1">
      <alignment horizontal="center" vertical="center" shrinkToFit="1"/>
    </xf>
    <xf numFmtId="183" fontId="5" fillId="3" borderId="187" xfId="2" applyNumberFormat="1" applyFont="1" applyFill="1" applyBorder="1" applyAlignment="1" applyProtection="1">
      <alignment horizontal="center" vertical="center" wrapText="1" shrinkToFit="1"/>
    </xf>
    <xf numFmtId="177" fontId="5" fillId="3" borderId="56" xfId="2" applyNumberFormat="1" applyFont="1" applyFill="1" applyBorder="1" applyAlignment="1" applyProtection="1">
      <alignment horizontal="center" vertical="center"/>
    </xf>
    <xf numFmtId="177" fontId="5" fillId="3" borderId="5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wrapText="1"/>
    </xf>
    <xf numFmtId="205" fontId="5" fillId="0" borderId="0" xfId="12" applyNumberFormat="1" applyFont="1" applyFill="1" applyBorder="1" applyAlignment="1" applyProtection="1">
      <alignment vertical="center"/>
    </xf>
    <xf numFmtId="204" fontId="5" fillId="0" borderId="0" xfId="2" applyNumberFormat="1" applyFont="1" applyFill="1" applyBorder="1" applyAlignment="1" applyProtection="1">
      <alignment horizontal="center" vertical="center" shrinkToFit="1"/>
    </xf>
    <xf numFmtId="205" fontId="5" fillId="0" borderId="0" xfId="2" applyNumberFormat="1" applyFont="1" applyFill="1" applyBorder="1" applyAlignment="1" applyProtection="1">
      <alignment vertical="center"/>
      <protection locked="0"/>
    </xf>
    <xf numFmtId="0" fontId="5" fillId="18" borderId="36" xfId="2" applyFont="1" applyFill="1" applyBorder="1" applyAlignment="1" applyProtection="1">
      <alignment horizontal="center" vertical="center" textRotation="255" shrinkToFit="1"/>
    </xf>
    <xf numFmtId="0" fontId="5" fillId="0" borderId="188" xfId="2" applyNumberFormat="1" applyFont="1" applyFill="1" applyBorder="1" applyAlignment="1" applyProtection="1">
      <alignment horizontal="center"/>
    </xf>
    <xf numFmtId="0" fontId="5" fillId="0" borderId="189" xfId="2" applyNumberFormat="1" applyFont="1" applyFill="1" applyBorder="1" applyAlignment="1" applyProtection="1">
      <alignment horizontal="center"/>
    </xf>
    <xf numFmtId="206" fontId="5" fillId="0" borderId="190" xfId="2" applyNumberFormat="1" applyFont="1" applyFill="1" applyBorder="1" applyProtection="1"/>
    <xf numFmtId="204" fontId="5" fillId="0" borderId="191" xfId="2" applyNumberFormat="1" applyFont="1" applyFill="1" applyBorder="1" applyAlignment="1" applyProtection="1">
      <alignment horizontal="right" shrinkToFit="1"/>
    </xf>
    <xf numFmtId="193" fontId="5" fillId="0" borderId="149" xfId="12" applyNumberFormat="1" applyFont="1" applyFill="1" applyBorder="1" applyAlignment="1" applyProtection="1">
      <alignment horizontal="right" shrinkToFit="1"/>
    </xf>
    <xf numFmtId="204" fontId="5" fillId="0" borderId="128" xfId="2" applyNumberFormat="1" applyFont="1" applyFill="1" applyBorder="1" applyAlignment="1" applyProtection="1">
      <alignment horizontal="right" shrinkToFit="1"/>
    </xf>
    <xf numFmtId="193" fontId="5" fillId="0" borderId="189" xfId="12" applyNumberFormat="1" applyFont="1" applyFill="1" applyBorder="1" applyAlignment="1" applyProtection="1">
      <alignment horizontal="right" shrinkToFit="1"/>
    </xf>
    <xf numFmtId="204" fontId="5" fillId="0" borderId="192" xfId="2" applyNumberFormat="1" applyFont="1" applyFill="1" applyBorder="1" applyAlignment="1" applyProtection="1">
      <alignment horizontal="right" shrinkToFit="1"/>
    </xf>
    <xf numFmtId="193" fontId="5" fillId="0" borderId="193" xfId="12" applyNumberFormat="1" applyFont="1" applyFill="1" applyBorder="1" applyAlignment="1" applyProtection="1">
      <alignment horizontal="right" shrinkToFit="1"/>
    </xf>
    <xf numFmtId="193" fontId="5" fillId="0" borderId="133" xfId="12" applyNumberFormat="1" applyFont="1" applyFill="1" applyBorder="1" applyAlignment="1" applyProtection="1">
      <alignment horizontal="right" shrinkToFit="1"/>
    </xf>
    <xf numFmtId="193" fontId="5" fillId="0" borderId="134"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shrinkToFit="1"/>
    </xf>
    <xf numFmtId="183" fontId="5" fillId="0" borderId="191" xfId="2" applyNumberFormat="1" applyFont="1" applyFill="1" applyBorder="1" applyAlignment="1" applyProtection="1">
      <alignment horizontal="right" shrinkToFit="1"/>
    </xf>
    <xf numFmtId="183" fontId="5" fillId="0" borderId="128" xfId="2" applyNumberFormat="1" applyFont="1" applyFill="1" applyBorder="1" applyAlignment="1" applyProtection="1">
      <alignment horizontal="right" shrinkToFit="1"/>
    </xf>
    <xf numFmtId="193" fontId="5" fillId="0" borderId="194" xfId="12" applyNumberFormat="1" applyFont="1" applyFill="1" applyBorder="1" applyAlignment="1" applyProtection="1">
      <alignment horizontal="right" shrinkToFit="1"/>
    </xf>
    <xf numFmtId="202" fontId="5" fillId="13" borderId="195" xfId="2" applyNumberFormat="1" applyFont="1" applyFill="1" applyBorder="1" applyAlignment="1" applyProtection="1">
      <alignment horizontal="center" vertical="center" wrapText="1"/>
      <protection locked="0"/>
    </xf>
    <xf numFmtId="202" fontId="5" fillId="13" borderId="196" xfId="2" applyNumberFormat="1" applyFont="1" applyFill="1" applyBorder="1" applyAlignment="1" applyProtection="1">
      <alignment horizontal="center" vertical="center" wrapText="1"/>
      <protection locked="0"/>
    </xf>
    <xf numFmtId="202" fontId="5" fillId="14" borderId="197" xfId="2" applyNumberFormat="1" applyFont="1" applyFill="1" applyBorder="1" applyAlignment="1" applyProtection="1">
      <alignment horizontal="center" vertical="center" wrapText="1"/>
      <protection locked="0"/>
    </xf>
    <xf numFmtId="202" fontId="5" fillId="14" borderId="196" xfId="2" applyNumberFormat="1" applyFont="1" applyFill="1" applyBorder="1" applyAlignment="1" applyProtection="1">
      <alignment horizontal="center" vertical="center" wrapText="1"/>
      <protection locked="0"/>
    </xf>
    <xf numFmtId="202" fontId="5" fillId="15" borderId="197" xfId="2" applyNumberFormat="1" applyFont="1" applyFill="1" applyBorder="1" applyAlignment="1" applyProtection="1">
      <alignment horizontal="center" vertical="center" wrapText="1"/>
      <protection locked="0"/>
    </xf>
    <xf numFmtId="202" fontId="5" fillId="15" borderId="196" xfId="2" applyNumberFormat="1" applyFont="1" applyFill="1" applyBorder="1" applyAlignment="1" applyProtection="1">
      <alignment horizontal="center" vertical="center" wrapText="1"/>
      <protection locked="0"/>
    </xf>
    <xf numFmtId="202" fontId="18" fillId="19" borderId="197" xfId="2" applyNumberFormat="1" applyFont="1" applyFill="1" applyBorder="1" applyAlignment="1" applyProtection="1">
      <alignment horizontal="center" vertical="center" wrapText="1"/>
      <protection locked="0"/>
    </xf>
    <xf numFmtId="202" fontId="18" fillId="19" borderId="196" xfId="2" applyNumberFormat="1" applyFont="1" applyFill="1" applyBorder="1" applyAlignment="1" applyProtection="1">
      <alignment horizontal="center" vertical="center" wrapText="1"/>
      <protection locked="0"/>
    </xf>
    <xf numFmtId="202" fontId="18" fillId="19" borderId="198" xfId="2" applyNumberFormat="1" applyFont="1" applyFill="1" applyBorder="1" applyAlignment="1" applyProtection="1">
      <alignment horizontal="center" vertical="center" wrapText="1"/>
      <protection locked="0"/>
    </xf>
    <xf numFmtId="202" fontId="18" fillId="19" borderId="125" xfId="2" applyNumberFormat="1" applyFont="1" applyFill="1" applyBorder="1" applyAlignment="1" applyProtection="1">
      <alignment horizontal="center" vertical="center" wrapText="1"/>
      <protection locked="0"/>
    </xf>
    <xf numFmtId="0" fontId="5" fillId="0" borderId="0" xfId="12" applyNumberFormat="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 fontId="5" fillId="0" borderId="0" xfId="12" applyNumberFormat="1" applyFont="1" applyFill="1" applyBorder="1" applyAlignment="1" applyProtection="1">
      <alignment vertical="center"/>
    </xf>
    <xf numFmtId="0" fontId="5" fillId="0" borderId="199" xfId="2" applyNumberFormat="1" applyFont="1" applyFill="1" applyBorder="1" applyAlignment="1" applyProtection="1">
      <alignment horizontal="center"/>
    </xf>
    <xf numFmtId="0" fontId="5" fillId="0" borderId="79" xfId="2" applyNumberFormat="1" applyFont="1" applyFill="1" applyBorder="1" applyAlignment="1" applyProtection="1">
      <alignment horizontal="center"/>
    </xf>
    <xf numFmtId="206" fontId="5" fillId="0" borderId="200" xfId="2" applyNumberFormat="1" applyFont="1" applyFill="1" applyBorder="1" applyProtection="1"/>
    <xf numFmtId="204" fontId="5" fillId="0" borderId="201" xfId="2" applyNumberFormat="1" applyFont="1" applyFill="1" applyBorder="1" applyAlignment="1" applyProtection="1">
      <alignment horizontal="right" shrinkToFit="1"/>
    </xf>
    <xf numFmtId="193" fontId="5" fillId="0" borderId="202" xfId="12" applyNumberFormat="1" applyFont="1" applyFill="1" applyBorder="1" applyAlignment="1" applyProtection="1">
      <alignment horizontal="right" shrinkToFit="1"/>
    </xf>
    <xf numFmtId="204" fontId="5" fillId="0" borderId="68" xfId="2" applyNumberFormat="1" applyFont="1" applyFill="1" applyBorder="1" applyAlignment="1" applyProtection="1">
      <alignment horizontal="right" shrinkToFit="1"/>
    </xf>
    <xf numFmtId="193" fontId="5" fillId="0" borderId="79" xfId="12" applyNumberFormat="1" applyFont="1" applyFill="1" applyBorder="1" applyAlignment="1" applyProtection="1">
      <alignment horizontal="right" shrinkToFit="1"/>
    </xf>
    <xf numFmtId="204" fontId="5" fillId="0" borderId="203" xfId="2" applyNumberFormat="1" applyFont="1" applyFill="1" applyBorder="1" applyAlignment="1" applyProtection="1">
      <alignment horizontal="right" shrinkToFit="1"/>
    </xf>
    <xf numFmtId="193" fontId="5" fillId="0" borderId="204"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right" shrinkToFit="1"/>
    </xf>
    <xf numFmtId="183" fontId="5" fillId="0" borderId="68" xfId="2" applyNumberFormat="1" applyFont="1" applyFill="1" applyBorder="1" applyAlignment="1" applyProtection="1">
      <alignment horizontal="right" shrinkToFit="1"/>
    </xf>
    <xf numFmtId="193" fontId="5" fillId="0" borderId="205" xfId="12" applyNumberFormat="1" applyFont="1" applyFill="1" applyBorder="1" applyAlignment="1" applyProtection="1">
      <alignment horizontal="right" shrinkToFit="1"/>
    </xf>
    <xf numFmtId="202" fontId="5" fillId="13" borderId="179" xfId="2" applyNumberFormat="1" applyFont="1" applyFill="1" applyBorder="1" applyAlignment="1" applyProtection="1">
      <alignment horizontal="center" vertical="center" wrapText="1"/>
      <protection locked="0"/>
    </xf>
    <xf numFmtId="202" fontId="5" fillId="13" borderId="206" xfId="2" applyNumberFormat="1" applyFont="1" applyFill="1" applyBorder="1" applyAlignment="1" applyProtection="1">
      <alignment horizontal="center" vertical="center" wrapText="1"/>
      <protection locked="0"/>
    </xf>
    <xf numFmtId="202" fontId="5" fillId="14" borderId="207" xfId="2" applyNumberFormat="1" applyFont="1" applyFill="1" applyBorder="1" applyAlignment="1" applyProtection="1">
      <alignment horizontal="center" vertical="center" wrapText="1"/>
      <protection locked="0"/>
    </xf>
    <xf numFmtId="202" fontId="5" fillId="14" borderId="206" xfId="2" applyNumberFormat="1" applyFont="1" applyFill="1" applyBorder="1" applyAlignment="1" applyProtection="1">
      <alignment horizontal="center" vertical="center" wrapText="1"/>
      <protection locked="0"/>
    </xf>
    <xf numFmtId="202" fontId="5" fillId="15" borderId="207" xfId="2" applyNumberFormat="1" applyFont="1" applyFill="1" applyBorder="1" applyAlignment="1" applyProtection="1">
      <alignment horizontal="center" vertical="center" wrapText="1"/>
      <protection locked="0"/>
    </xf>
    <xf numFmtId="202" fontId="5" fillId="15" borderId="206" xfId="2" applyNumberFormat="1" applyFont="1" applyFill="1" applyBorder="1" applyAlignment="1" applyProtection="1">
      <alignment horizontal="center" vertical="center" wrapText="1"/>
      <protection locked="0"/>
    </xf>
    <xf numFmtId="202" fontId="18" fillId="19" borderId="207" xfId="2" applyNumberFormat="1" applyFont="1" applyFill="1" applyBorder="1" applyAlignment="1" applyProtection="1">
      <alignment horizontal="center" vertical="center" wrapText="1"/>
      <protection locked="0"/>
    </xf>
    <xf numFmtId="202" fontId="18" fillId="19" borderId="206" xfId="2" applyNumberFormat="1" applyFont="1" applyFill="1" applyBorder="1" applyAlignment="1" applyProtection="1">
      <alignment horizontal="center" vertical="center" wrapText="1"/>
      <protection locked="0"/>
    </xf>
    <xf numFmtId="202" fontId="18" fillId="19" borderId="38" xfId="2" applyNumberFormat="1" applyFont="1" applyFill="1" applyBorder="1" applyAlignment="1" applyProtection="1">
      <alignment horizontal="center" vertical="center" wrapText="1"/>
      <protection locked="0"/>
    </xf>
    <xf numFmtId="193" fontId="5" fillId="0" borderId="0" xfId="12" applyNumberFormat="1" applyFont="1" applyFill="1" applyBorder="1" applyAlignment="1" applyProtection="1">
      <alignment vertical="center" shrinkToFit="1"/>
    </xf>
    <xf numFmtId="177" fontId="5" fillId="3" borderId="14" xfId="2" applyNumberFormat="1" applyFont="1" applyFill="1" applyBorder="1" applyAlignment="1" applyProtection="1">
      <alignment horizontal="center" vertical="center"/>
    </xf>
    <xf numFmtId="177" fontId="5" fillId="3" borderId="15" xfId="2" applyNumberFormat="1" applyFont="1" applyFill="1" applyBorder="1" applyAlignment="1" applyProtection="1">
      <alignment horizontal="center" vertical="center"/>
    </xf>
    <xf numFmtId="0" fontId="5" fillId="3" borderId="208"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177" fontId="5" fillId="3" borderId="6" xfId="2" applyNumberFormat="1" applyFont="1" applyFill="1" applyBorder="1" applyAlignment="1" applyProtection="1">
      <alignment horizontal="center" vertical="center"/>
    </xf>
    <xf numFmtId="177" fontId="5" fillId="3" borderId="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xf>
    <xf numFmtId="0" fontId="5" fillId="3" borderId="209" xfId="2" applyFont="1" applyFill="1" applyBorder="1" applyAlignment="1" applyProtection="1">
      <alignment horizontal="center" vertical="center"/>
    </xf>
    <xf numFmtId="0" fontId="5" fillId="3" borderId="210" xfId="2" applyFont="1" applyFill="1" applyBorder="1" applyAlignment="1" applyProtection="1">
      <alignment horizontal="center" vertical="center"/>
    </xf>
    <xf numFmtId="3" fontId="5" fillId="3" borderId="6" xfId="12" applyNumberFormat="1" applyFont="1" applyFill="1" applyBorder="1" applyAlignment="1" applyProtection="1">
      <alignment horizontal="center" vertical="center"/>
    </xf>
    <xf numFmtId="177" fontId="5" fillId="3" borderId="211" xfId="2" applyNumberFormat="1" applyFont="1" applyFill="1" applyBorder="1" applyAlignment="1" applyProtection="1">
      <alignment horizontal="center" vertical="center"/>
    </xf>
    <xf numFmtId="177" fontId="5" fillId="3" borderId="35"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protection locked="0"/>
    </xf>
    <xf numFmtId="0" fontId="5" fillId="0" borderId="212" xfId="2" applyNumberFormat="1" applyFont="1" applyFill="1" applyBorder="1" applyAlignment="1" applyProtection="1">
      <alignment horizontal="center"/>
    </xf>
    <xf numFmtId="0" fontId="5" fillId="0" borderId="213" xfId="2" applyNumberFormat="1" applyFont="1" applyFill="1" applyBorder="1" applyAlignment="1" applyProtection="1">
      <alignment horizontal="center"/>
    </xf>
    <xf numFmtId="206" fontId="5" fillId="0" borderId="214" xfId="2" applyNumberFormat="1" applyFont="1" applyFill="1" applyBorder="1" applyProtection="1"/>
    <xf numFmtId="204" fontId="5" fillId="0" borderId="215" xfId="2" applyNumberFormat="1" applyFont="1" applyFill="1" applyBorder="1" applyAlignment="1" applyProtection="1">
      <alignment horizontal="right" shrinkToFit="1"/>
    </xf>
    <xf numFmtId="193" fontId="5" fillId="0" borderId="216" xfId="12" applyNumberFormat="1" applyFont="1" applyFill="1" applyBorder="1" applyAlignment="1" applyProtection="1">
      <alignment horizontal="right" shrinkToFit="1"/>
    </xf>
    <xf numFmtId="204" fontId="5" fillId="0" borderId="217" xfId="2" applyNumberFormat="1" applyFont="1" applyFill="1" applyBorder="1" applyAlignment="1" applyProtection="1">
      <alignment horizontal="right" shrinkToFit="1"/>
    </xf>
    <xf numFmtId="193" fontId="5" fillId="0" borderId="213" xfId="12" applyNumberFormat="1" applyFont="1" applyFill="1" applyBorder="1" applyAlignment="1" applyProtection="1">
      <alignment horizontal="right" shrinkToFit="1"/>
    </xf>
    <xf numFmtId="204" fontId="5" fillId="0" borderId="218" xfId="2" applyNumberFormat="1" applyFont="1" applyFill="1" applyBorder="1" applyAlignment="1" applyProtection="1">
      <alignment horizontal="right" shrinkToFit="1"/>
    </xf>
    <xf numFmtId="193" fontId="5" fillId="0" borderId="219" xfId="12" applyNumberFormat="1" applyFont="1" applyFill="1" applyBorder="1" applyAlignment="1" applyProtection="1">
      <alignment horizontal="right" shrinkToFit="1"/>
    </xf>
    <xf numFmtId="183" fontId="5" fillId="0" borderId="215" xfId="2" applyNumberFormat="1" applyFont="1" applyFill="1" applyBorder="1" applyAlignment="1" applyProtection="1">
      <alignment horizontal="right" shrinkToFit="1"/>
    </xf>
    <xf numFmtId="183" fontId="5" fillId="0" borderId="217" xfId="2" applyNumberFormat="1" applyFont="1" applyFill="1" applyBorder="1" applyAlignment="1" applyProtection="1">
      <alignment horizontal="right" shrinkToFit="1"/>
    </xf>
    <xf numFmtId="193" fontId="5" fillId="0" borderId="220" xfId="12" applyNumberFormat="1" applyFont="1" applyFill="1" applyBorder="1" applyAlignment="1" applyProtection="1">
      <alignment horizontal="right" shrinkToFit="1"/>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221" xfId="2" applyNumberFormat="1" applyFont="1" applyFill="1" applyBorder="1" applyAlignment="1" applyProtection="1">
      <alignment horizontal="center" vertical="center" shrinkToFit="1"/>
      <protection locked="0"/>
    </xf>
    <xf numFmtId="208" fontId="5" fillId="0" borderId="12" xfId="2" applyNumberFormat="1" applyFont="1" applyFill="1" applyBorder="1" applyAlignment="1" applyProtection="1">
      <alignment vertical="center"/>
      <protection locked="0"/>
    </xf>
    <xf numFmtId="2"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0" borderId="222" xfId="2" applyNumberFormat="1" applyFont="1" applyFill="1" applyBorder="1" applyAlignment="1" applyProtection="1">
      <alignment horizontal="center" vertical="center" shrinkToFit="1"/>
      <protection locked="0"/>
    </xf>
    <xf numFmtId="208" fontId="5" fillId="0" borderId="222" xfId="2" applyNumberFormat="1" applyFont="1" applyFill="1" applyBorder="1" applyAlignment="1" applyProtection="1">
      <alignment vertical="center"/>
      <protection locked="0"/>
    </xf>
    <xf numFmtId="208" fontId="5" fillId="0" borderId="221" xfId="2" applyNumberFormat="1" applyFont="1" applyFill="1" applyBorder="1" applyAlignment="1" applyProtection="1">
      <alignment vertical="center"/>
      <protection locked="0"/>
    </xf>
    <xf numFmtId="208"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18" borderId="223" xfId="2" applyFont="1" applyFill="1" applyBorder="1" applyAlignment="1" applyProtection="1">
      <alignment horizontal="center" vertical="center" textRotation="255" shrinkToFit="1"/>
    </xf>
    <xf numFmtId="0" fontId="5" fillId="0" borderId="224" xfId="2" applyFont="1" applyFill="1" applyBorder="1" applyProtection="1"/>
    <xf numFmtId="209" fontId="5" fillId="0" borderId="224" xfId="2" applyNumberFormat="1" applyFont="1" applyFill="1" applyBorder="1" applyProtection="1"/>
    <xf numFmtId="177" fontId="5" fillId="0" borderId="195" xfId="2" applyNumberFormat="1" applyFont="1" applyFill="1" applyBorder="1" applyAlignment="1" applyProtection="1">
      <alignment horizontal="right" shrinkToFit="1"/>
    </xf>
    <xf numFmtId="3" fontId="5" fillId="0" borderId="225" xfId="12" applyNumberFormat="1" applyFont="1" applyFill="1" applyBorder="1" applyAlignment="1" applyProtection="1">
      <alignment horizontal="right" shrinkToFit="1"/>
    </xf>
    <xf numFmtId="177" fontId="5" fillId="0" borderId="197" xfId="2" applyNumberFormat="1" applyFont="1" applyFill="1" applyBorder="1" applyAlignment="1" applyProtection="1">
      <alignment horizontal="right" shrinkToFit="1"/>
    </xf>
    <xf numFmtId="3" fontId="5" fillId="0" borderId="226" xfId="12" applyNumberFormat="1" applyFont="1" applyFill="1" applyBorder="1" applyAlignment="1" applyProtection="1">
      <alignment horizontal="right" shrinkToFit="1"/>
    </xf>
    <xf numFmtId="3" fontId="5" fillId="0" borderId="133" xfId="12" applyNumberFormat="1" applyFont="1" applyFill="1" applyBorder="1" applyAlignment="1" applyProtection="1">
      <alignment horizontal="right" shrinkToFit="1"/>
    </xf>
    <xf numFmtId="3" fontId="5" fillId="0" borderId="134" xfId="12" applyNumberFormat="1" applyFont="1" applyFill="1" applyBorder="1" applyAlignment="1" applyProtection="1">
      <alignment horizontal="right" shrinkToFit="1"/>
    </xf>
    <xf numFmtId="183" fontId="5" fillId="0" borderId="227" xfId="2" applyNumberFormat="1" applyFont="1" applyFill="1" applyBorder="1" applyAlignment="1" applyProtection="1">
      <alignment horizontal="right" shrinkToFit="1"/>
    </xf>
    <xf numFmtId="177" fontId="5" fillId="0" borderId="224" xfId="2" applyNumberFormat="1" applyFont="1" applyFill="1" applyBorder="1" applyAlignment="1" applyProtection="1">
      <alignment horizontal="right" shrinkToFit="1"/>
    </xf>
    <xf numFmtId="183" fontId="5" fillId="0" borderId="228" xfId="2" applyNumberFormat="1" applyFont="1" applyFill="1" applyBorder="1" applyAlignment="1" applyProtection="1">
      <alignment horizontal="right" shrinkToFit="1"/>
    </xf>
    <xf numFmtId="3" fontId="5" fillId="0" borderId="229" xfId="12" applyNumberFormat="1" applyFont="1" applyFill="1" applyBorder="1" applyAlignment="1" applyProtection="1">
      <alignment horizontal="right" shrinkToFit="1"/>
    </xf>
    <xf numFmtId="177" fontId="5" fillId="0" borderId="0" xfId="2" applyNumberFormat="1" applyFont="1" applyFill="1" applyBorder="1" applyAlignment="1" applyProtection="1">
      <alignment horizontal="right" shrinkToFit="1"/>
    </xf>
    <xf numFmtId="3" fontId="5" fillId="0" borderId="0" xfId="12" applyNumberFormat="1" applyFont="1" applyFill="1" applyBorder="1" applyAlignment="1" applyProtection="1">
      <alignment vertical="center" shrinkToFit="1"/>
    </xf>
    <xf numFmtId="2" fontId="5" fillId="0" borderId="12" xfId="2" applyNumberFormat="1" applyFont="1" applyFill="1" applyBorder="1" applyAlignment="1" applyProtection="1">
      <alignment vertical="center"/>
    </xf>
    <xf numFmtId="177" fontId="5" fillId="0" borderId="0" xfId="2" applyNumberFormat="1" applyFont="1" applyFill="1" applyBorder="1" applyAlignment="1" applyProtection="1">
      <alignment vertical="center" wrapText="1" shrinkToFit="1"/>
    </xf>
    <xf numFmtId="0" fontId="5" fillId="3" borderId="230" xfId="2" applyFont="1" applyFill="1" applyBorder="1" applyAlignment="1" applyProtection="1">
      <alignment horizontal="center" vertical="center" shrinkToFit="1"/>
      <protection locked="0"/>
    </xf>
    <xf numFmtId="0" fontId="5" fillId="3" borderId="231" xfId="2" applyFont="1" applyFill="1" applyBorder="1" applyAlignment="1" applyProtection="1">
      <alignment horizontal="center" vertical="center" shrinkToFit="1"/>
    </xf>
    <xf numFmtId="0" fontId="5" fillId="3" borderId="232" xfId="2" applyFont="1" applyFill="1" applyBorder="1" applyAlignment="1" applyProtection="1">
      <alignment horizontal="center" vertical="center" shrinkToFit="1"/>
    </xf>
    <xf numFmtId="210" fontId="5" fillId="3" borderId="233" xfId="2" applyNumberFormat="1" applyFont="1" applyFill="1" applyBorder="1" applyAlignment="1" applyProtection="1">
      <alignment horizontal="center" vertical="center" shrinkToFit="1"/>
      <protection locked="0"/>
    </xf>
    <xf numFmtId="177" fontId="5" fillId="3" borderId="234" xfId="2" applyNumberFormat="1" applyFont="1" applyFill="1" applyBorder="1" applyAlignment="1" applyProtection="1">
      <alignment horizontal="center" vertical="center" wrapText="1" shrinkToFit="1"/>
    </xf>
    <xf numFmtId="0" fontId="5" fillId="3" borderId="3" xfId="2"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wrapText="1" shrinkToFit="1"/>
    </xf>
    <xf numFmtId="0" fontId="5" fillId="3" borderId="4" xfId="2" applyFont="1" applyFill="1" applyBorder="1" applyAlignment="1" applyProtection="1">
      <alignment horizontal="center" vertical="center" shrinkToFit="1"/>
    </xf>
    <xf numFmtId="0" fontId="5" fillId="0" borderId="133" xfId="2" applyFont="1" applyFill="1" applyBorder="1" applyAlignment="1" applyProtection="1">
      <alignment horizontal="center" vertical="center" shrinkToFit="1"/>
    </xf>
    <xf numFmtId="0" fontId="5" fillId="0" borderId="134" xfId="2" applyFont="1" applyFill="1" applyBorder="1" applyAlignment="1" applyProtection="1">
      <alignment horizontal="center" vertical="center" shrinkToFit="1"/>
    </xf>
    <xf numFmtId="183" fontId="5" fillId="3" borderId="234" xfId="2" applyNumberFormat="1" applyFont="1" applyFill="1" applyBorder="1" applyAlignment="1" applyProtection="1">
      <alignment horizontal="center" vertical="center" wrapText="1" shrinkToFit="1"/>
    </xf>
    <xf numFmtId="177" fontId="5" fillId="3" borderId="232"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wrapText="1" shrinkToFit="1"/>
    </xf>
    <xf numFmtId="0" fontId="5" fillId="3" borderId="236" xfId="2"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vertical="center" wrapText="1" shrinkToFit="1"/>
    </xf>
    <xf numFmtId="0" fontId="5" fillId="0" borderId="0" xfId="2" applyFont="1" applyFill="1" applyBorder="1" applyAlignment="1" applyProtection="1">
      <alignment horizontal="center" vertical="center" wrapText="1"/>
    </xf>
    <xf numFmtId="193" fontId="5" fillId="0" borderId="0" xfId="12" applyNumberFormat="1" applyFont="1" applyFill="1" applyBorder="1" applyAlignment="1" applyProtection="1">
      <alignment horizontal="center" vertical="center"/>
    </xf>
    <xf numFmtId="0" fontId="5" fillId="0" borderId="237" xfId="2" applyNumberFormat="1" applyFont="1" applyFill="1" applyBorder="1" applyAlignment="1" applyProtection="1">
      <alignment horizontal="center"/>
    </xf>
    <xf numFmtId="211" fontId="5" fillId="0" borderId="189" xfId="2" applyNumberFormat="1" applyFont="1" applyFill="1" applyBorder="1" applyAlignment="1" applyProtection="1">
      <alignment horizontal="center"/>
      <protection locked="0"/>
    </xf>
    <xf numFmtId="0" fontId="5" fillId="0" borderId="237" xfId="2" applyNumberFormat="1" applyFont="1" applyFill="1" applyBorder="1" applyAlignment="1" applyProtection="1">
      <alignment horizontal="center"/>
      <protection locked="0"/>
    </xf>
    <xf numFmtId="207" fontId="5" fillId="0" borderId="191" xfId="2" applyNumberFormat="1" applyFont="1" applyFill="1" applyBorder="1" applyAlignment="1" applyProtection="1">
      <alignment horizontal="right" shrinkToFit="1"/>
      <protection locked="0"/>
    </xf>
    <xf numFmtId="207" fontId="5" fillId="0" borderId="238" xfId="2" applyNumberFormat="1" applyFont="1" applyFill="1" applyBorder="1" applyAlignment="1" applyProtection="1">
      <alignment horizontal="right" shrinkToFit="1"/>
      <protection locked="0"/>
    </xf>
    <xf numFmtId="193" fontId="5" fillId="0" borderId="129" xfId="12" applyNumberFormat="1" applyFont="1" applyFill="1" applyBorder="1" applyAlignment="1" applyProtection="1">
      <alignment horizontal="right" shrinkToFit="1"/>
    </xf>
    <xf numFmtId="183" fontId="5" fillId="0" borderId="191" xfId="2" applyNumberFormat="1" applyFont="1" applyFill="1" applyBorder="1" applyAlignment="1" applyProtection="1">
      <alignment horizontal="right" shrinkToFit="1"/>
      <protection locked="0"/>
    </xf>
    <xf numFmtId="207" fontId="5" fillId="0" borderId="128" xfId="2" applyNumberFormat="1" applyFont="1" applyFill="1" applyBorder="1" applyAlignment="1" applyProtection="1">
      <alignment horizontal="right" shrinkToFit="1"/>
      <protection locked="0"/>
    </xf>
    <xf numFmtId="183" fontId="5" fillId="0" borderId="238"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vertical="center" shrinkToFit="1"/>
      <protection locked="0"/>
    </xf>
    <xf numFmtId="208" fontId="5" fillId="0" borderId="0" xfId="12" applyNumberFormat="1" applyFont="1" applyFill="1" applyBorder="1" applyAlignment="1" applyProtection="1">
      <alignment vertical="center"/>
    </xf>
    <xf numFmtId="0" fontId="5" fillId="0" borderId="239" xfId="2" applyNumberFormat="1" applyFont="1" applyFill="1" applyBorder="1" applyAlignment="1" applyProtection="1">
      <alignment horizontal="center"/>
    </xf>
    <xf numFmtId="211" fontId="5" fillId="0" borderId="79" xfId="2" applyNumberFormat="1" applyFont="1" applyFill="1" applyBorder="1" applyAlignment="1" applyProtection="1">
      <alignment horizontal="center"/>
      <protection locked="0"/>
    </xf>
    <xf numFmtId="0" fontId="5" fillId="0" borderId="239" xfId="2" applyNumberFormat="1" applyFont="1" applyFill="1" applyBorder="1" applyAlignment="1" applyProtection="1">
      <alignment horizontal="center"/>
      <protection locked="0"/>
    </xf>
    <xf numFmtId="207" fontId="5" fillId="0" borderId="201" xfId="2" applyNumberFormat="1" applyFont="1" applyFill="1" applyBorder="1" applyAlignment="1" applyProtection="1">
      <alignment horizontal="right" shrinkToFit="1"/>
      <protection locked="0"/>
    </xf>
    <xf numFmtId="207" fontId="5" fillId="0" borderId="240" xfId="2" applyNumberFormat="1" applyFont="1" applyFill="1" applyBorder="1" applyAlignment="1" applyProtection="1">
      <alignment horizontal="right" shrinkToFit="1"/>
      <protection locked="0"/>
    </xf>
    <xf numFmtId="183" fontId="5" fillId="0" borderId="201" xfId="2" applyNumberFormat="1" applyFont="1" applyFill="1" applyBorder="1" applyAlignment="1" applyProtection="1">
      <alignment horizontal="right" shrinkToFit="1"/>
      <protection locked="0"/>
    </xf>
    <xf numFmtId="207" fontId="5" fillId="0" borderId="68" xfId="2" applyNumberFormat="1" applyFont="1" applyFill="1" applyBorder="1" applyAlignment="1" applyProtection="1">
      <alignment horizontal="right" shrinkToFit="1"/>
      <protection locked="0"/>
    </xf>
    <xf numFmtId="183" fontId="5" fillId="0" borderId="240" xfId="2" applyNumberFormat="1" applyFont="1" applyFill="1" applyBorder="1" applyAlignment="1" applyProtection="1">
      <alignment horizontal="right" shrinkToFit="1"/>
      <protection locked="0"/>
    </xf>
    <xf numFmtId="177" fontId="5" fillId="0" borderId="0" xfId="2" applyNumberFormat="1" applyFont="1" applyFill="1" applyBorder="1" applyAlignment="1" applyProtection="1">
      <alignment horizontal="right" vertical="center"/>
    </xf>
    <xf numFmtId="0" fontId="5" fillId="0" borderId="79" xfId="2" applyNumberFormat="1" applyFont="1" applyFill="1" applyBorder="1" applyAlignment="1" applyProtection="1">
      <alignment horizontal="center"/>
      <protection locked="0"/>
    </xf>
    <xf numFmtId="0" fontId="5" fillId="0" borderId="58" xfId="12" applyNumberFormat="1" applyFont="1" applyFill="1" applyBorder="1" applyAlignment="1" applyProtection="1">
      <alignment horizontal="center" vertical="center" shrinkToFit="1"/>
    </xf>
    <xf numFmtId="0" fontId="5" fillId="0" borderId="61" xfId="12" applyNumberFormat="1" applyFont="1" applyFill="1" applyBorder="1" applyAlignment="1" applyProtection="1">
      <alignment horizontal="center" vertical="center" shrinkToFit="1"/>
    </xf>
    <xf numFmtId="0" fontId="5" fillId="0" borderId="221" xfId="12" applyNumberFormat="1" applyFont="1" applyFill="1" applyBorder="1" applyAlignment="1" applyProtection="1">
      <alignment horizontal="center" vertical="center" shrinkToFit="1"/>
    </xf>
    <xf numFmtId="208" fontId="5" fillId="0" borderId="52" xfId="12" applyNumberFormat="1" applyFont="1" applyFill="1" applyBorder="1" applyAlignment="1" applyProtection="1">
      <alignment vertical="center"/>
    </xf>
    <xf numFmtId="208" fontId="5" fillId="0" borderId="52" xfId="2" applyNumberFormat="1" applyFont="1" applyFill="1" applyBorder="1" applyAlignment="1" applyProtection="1">
      <alignment vertical="center"/>
    </xf>
    <xf numFmtId="208" fontId="5" fillId="0" borderId="222" xfId="12" applyNumberFormat="1" applyFont="1" applyFill="1" applyBorder="1" applyAlignment="1" applyProtection="1">
      <alignment vertical="center"/>
    </xf>
    <xf numFmtId="208" fontId="5" fillId="0" borderId="221" xfId="12" applyNumberFormat="1" applyFont="1" applyFill="1" applyBorder="1" applyAlignment="1" applyProtection="1">
      <alignment vertical="center"/>
    </xf>
    <xf numFmtId="208" fontId="5" fillId="0" borderId="222" xfId="2" applyNumberFormat="1" applyFont="1" applyFill="1" applyBorder="1" applyAlignment="1" applyProtection="1">
      <alignment vertical="center"/>
    </xf>
    <xf numFmtId="208" fontId="5" fillId="0" borderId="31" xfId="2" applyNumberFormat="1" applyFont="1" applyFill="1" applyBorder="1" applyAlignment="1" applyProtection="1">
      <alignment vertical="center"/>
    </xf>
    <xf numFmtId="198" fontId="5" fillId="0" borderId="0" xfId="2" applyNumberFormat="1" applyFont="1" applyFill="1" applyBorder="1" applyAlignment="1" applyProtection="1">
      <alignment vertical="center"/>
      <protection locked="0"/>
    </xf>
    <xf numFmtId="3" fontId="5" fillId="0" borderId="58" xfId="12" applyNumberFormat="1" applyFont="1" applyFill="1" applyBorder="1" applyAlignment="1" applyProtection="1">
      <alignment horizontal="center" vertical="center"/>
    </xf>
    <xf numFmtId="3" fontId="5" fillId="0" borderId="61" xfId="12" applyNumberFormat="1" applyFont="1" applyFill="1" applyBorder="1" applyAlignment="1" applyProtection="1">
      <alignment horizontal="center" vertical="center"/>
    </xf>
    <xf numFmtId="3" fontId="5" fillId="0" borderId="221" xfId="12" applyNumberFormat="1" applyFont="1" applyFill="1" applyBorder="1" applyAlignment="1" applyProtection="1">
      <alignment horizontal="center" vertical="center"/>
    </xf>
    <xf numFmtId="208" fontId="5" fillId="0" borderId="52" xfId="1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vertical="center"/>
    </xf>
    <xf numFmtId="208" fontId="5" fillId="0" borderId="52" xfId="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horizontal="center" vertical="center"/>
    </xf>
    <xf numFmtId="208" fontId="5" fillId="0" borderId="0" xfId="12" applyNumberFormat="1" applyFont="1" applyFill="1" applyBorder="1" applyAlignment="1" applyProtection="1">
      <alignment horizontal="center" vertical="center"/>
    </xf>
    <xf numFmtId="208" fontId="5" fillId="0" borderId="0" xfId="2" applyNumberFormat="1" applyFont="1" applyFill="1" applyBorder="1" applyAlignment="1" applyProtection="1">
      <alignment vertical="center"/>
    </xf>
    <xf numFmtId="212" fontId="5" fillId="0" borderId="0" xfId="2" applyNumberFormat="1" applyFont="1" applyFill="1" applyBorder="1" applyAlignment="1" applyProtection="1">
      <alignment vertical="center"/>
    </xf>
    <xf numFmtId="3" fontId="5" fillId="0" borderId="0" xfId="12" applyNumberFormat="1" applyFont="1" applyFill="1" applyBorder="1" applyAlignment="1" applyProtection="1">
      <alignment horizontal="right" vertical="center"/>
    </xf>
    <xf numFmtId="213" fontId="5" fillId="0" borderId="0" xfId="2" applyNumberFormat="1" applyFont="1" applyFill="1" applyBorder="1" applyAlignment="1" applyProtection="1">
      <alignment vertical="center"/>
    </xf>
    <xf numFmtId="0" fontId="5" fillId="0" borderId="133" xfId="2" applyFont="1" applyFill="1" applyBorder="1" applyAlignment="1" applyProtection="1">
      <alignment horizontal="center" shrinkToFit="1"/>
    </xf>
    <xf numFmtId="0"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xf>
    <xf numFmtId="211"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protection locked="0"/>
    </xf>
    <xf numFmtId="207" fontId="5" fillId="0" borderId="215" xfId="2" applyNumberFormat="1" applyFont="1" applyFill="1" applyBorder="1" applyAlignment="1" applyProtection="1">
      <alignment horizontal="right" shrinkToFit="1"/>
      <protection locked="0"/>
    </xf>
    <xf numFmtId="207" fontId="5" fillId="0" borderId="243" xfId="2" applyNumberFormat="1" applyFont="1" applyFill="1" applyBorder="1" applyAlignment="1" applyProtection="1">
      <alignment horizontal="right" shrinkToFit="1"/>
      <protection locked="0"/>
    </xf>
    <xf numFmtId="183" fontId="5" fillId="0" borderId="215" xfId="2" applyNumberFormat="1" applyFont="1" applyFill="1" applyBorder="1" applyAlignment="1" applyProtection="1">
      <alignment horizontal="right" shrinkToFit="1"/>
      <protection locked="0"/>
    </xf>
    <xf numFmtId="207" fontId="5" fillId="0" borderId="217" xfId="2" applyNumberFormat="1" applyFont="1" applyFill="1" applyBorder="1" applyAlignment="1" applyProtection="1">
      <alignment horizontal="right" shrinkToFit="1"/>
      <protection locked="0"/>
    </xf>
    <xf numFmtId="183" fontId="5" fillId="0" borderId="243" xfId="2" applyNumberFormat="1" applyFont="1" applyFill="1" applyBorder="1" applyAlignment="1" applyProtection="1">
      <alignment horizontal="right" shrinkToFit="1"/>
      <protection locked="0"/>
    </xf>
    <xf numFmtId="2" fontId="5" fillId="0" borderId="0" xfId="2" applyNumberFormat="1" applyFont="1" applyFill="1" applyBorder="1" applyAlignment="1" applyProtection="1">
      <alignment vertical="center"/>
    </xf>
    <xf numFmtId="177" fontId="5" fillId="0" borderId="244" xfId="2" applyNumberFormat="1" applyFont="1" applyFill="1" applyBorder="1" applyAlignment="1" applyProtection="1">
      <alignment horizontal="right" shrinkToFit="1"/>
    </xf>
    <xf numFmtId="177" fontId="5" fillId="0" borderId="245" xfId="2" applyNumberFormat="1" applyFont="1" applyFill="1" applyBorder="1" applyAlignment="1" applyProtection="1">
      <alignment horizontal="right" shrinkToFit="1"/>
    </xf>
    <xf numFmtId="183" fontId="5" fillId="0" borderId="246" xfId="2" applyNumberFormat="1" applyFont="1" applyFill="1" applyBorder="1" applyAlignment="1" applyProtection="1">
      <alignment horizontal="right" shrinkToFit="1"/>
    </xf>
    <xf numFmtId="0" fontId="5" fillId="18" borderId="247" xfId="2" applyFont="1" applyFill="1" applyBorder="1" applyAlignment="1" applyProtection="1">
      <alignment horizontal="center" vertical="center" textRotation="255" shrinkToFit="1"/>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shrinkToFit="1"/>
    </xf>
    <xf numFmtId="177" fontId="5" fillId="3" borderId="234" xfId="2" applyNumberFormat="1"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shrinkToFit="1"/>
    </xf>
    <xf numFmtId="177" fontId="5" fillId="3" borderId="248" xfId="2" applyNumberFormat="1" applyFont="1" applyFill="1" applyBorder="1" applyAlignment="1" applyProtection="1">
      <alignment horizontal="center" vertical="center" shrinkToFit="1"/>
    </xf>
    <xf numFmtId="0" fontId="5" fillId="3" borderId="2" xfId="2" applyFont="1" applyFill="1" applyBorder="1" applyProtection="1"/>
    <xf numFmtId="0" fontId="5" fillId="3" borderId="3" xfId="2" applyFont="1" applyFill="1" applyBorder="1" applyAlignment="1" applyProtection="1">
      <alignment shrinkToFit="1"/>
    </xf>
    <xf numFmtId="0" fontId="5" fillId="3" borderId="3" xfId="2" applyFont="1" applyFill="1" applyBorder="1" applyAlignment="1" applyProtection="1">
      <alignment horizontal="center" shrinkToFit="1"/>
    </xf>
    <xf numFmtId="0" fontId="5" fillId="0" borderId="134" xfId="2" applyFont="1" applyFill="1" applyBorder="1" applyAlignment="1" applyProtection="1">
      <alignment horizontal="center" shrinkToFit="1"/>
    </xf>
    <xf numFmtId="183" fontId="5" fillId="3" borderId="234"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shrinkToFit="1"/>
    </xf>
    <xf numFmtId="0" fontId="5" fillId="0" borderId="0" xfId="2" applyFont="1" applyFill="1" applyBorder="1" applyAlignment="1" applyProtection="1">
      <alignment vertical="center" shrinkToFit="1"/>
    </xf>
    <xf numFmtId="177" fontId="5" fillId="0" borderId="0" xfId="2" applyNumberFormat="1" applyFont="1" applyFill="1" applyBorder="1" applyAlignment="1" applyProtection="1">
      <alignment vertical="center"/>
      <protection locked="0"/>
    </xf>
    <xf numFmtId="0" fontId="5" fillId="0" borderId="189" xfId="2" applyFont="1" applyFill="1" applyBorder="1" applyAlignment="1" applyProtection="1">
      <alignment horizontal="left" indent="1"/>
    </xf>
    <xf numFmtId="0" fontId="5" fillId="0" borderId="189" xfId="2" applyNumberFormat="1" applyFont="1" applyFill="1" applyBorder="1" applyAlignment="1" applyProtection="1">
      <alignment horizontal="left" shrinkToFit="1"/>
    </xf>
    <xf numFmtId="214" fontId="5" fillId="0" borderId="189" xfId="2" applyNumberFormat="1" applyFont="1" applyFill="1" applyBorder="1" applyAlignment="1" applyProtection="1">
      <alignment shrinkToFit="1"/>
      <protection locked="0"/>
    </xf>
    <xf numFmtId="215" fontId="5" fillId="0" borderId="189" xfId="12" applyNumberFormat="1" applyFont="1" applyFill="1" applyBorder="1" applyAlignment="1" applyProtection="1">
      <alignment horizontal="center" shrinkToFit="1"/>
      <protection locked="0"/>
    </xf>
    <xf numFmtId="0" fontId="5" fillId="0" borderId="189" xfId="2" applyNumberFormat="1" applyFont="1" applyFill="1" applyBorder="1" applyAlignment="1" applyProtection="1">
      <alignment shrinkToFit="1"/>
    </xf>
    <xf numFmtId="0" fontId="5" fillId="0" borderId="191" xfId="2" applyNumberFormat="1" applyFont="1" applyFill="1" applyBorder="1" applyAlignment="1" applyProtection="1">
      <alignment horizontal="right" shrinkToFit="1"/>
      <protection locked="0"/>
    </xf>
    <xf numFmtId="0" fontId="5" fillId="0" borderId="192" xfId="2" applyNumberFormat="1" applyFont="1" applyFill="1" applyBorder="1" applyAlignment="1" applyProtection="1">
      <alignment horizontal="right" shrinkToFit="1"/>
      <protection locked="0"/>
    </xf>
    <xf numFmtId="216" fontId="5" fillId="0" borderId="189" xfId="2" applyNumberFormat="1" applyFont="1" applyFill="1" applyBorder="1" applyAlignment="1" applyProtection="1">
      <alignment shrinkToFit="1"/>
      <protection locked="0"/>
    </xf>
    <xf numFmtId="0" fontId="5" fillId="0" borderId="128" xfId="2" applyNumberFormat="1" applyFont="1" applyFill="1" applyBorder="1" applyAlignment="1" applyProtection="1">
      <alignment horizontal="right" shrinkToFit="1"/>
      <protection locked="0"/>
    </xf>
    <xf numFmtId="183" fontId="5" fillId="0" borderId="192"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vertical="center" shrinkToFit="1"/>
      <protection locked="0"/>
    </xf>
    <xf numFmtId="0" fontId="5" fillId="0" borderId="79" xfId="2" applyFont="1" applyFill="1" applyBorder="1" applyAlignment="1" applyProtection="1">
      <alignment horizontal="left" indent="1"/>
    </xf>
    <xf numFmtId="0" fontId="5" fillId="0" borderId="79" xfId="2" applyNumberFormat="1" applyFont="1" applyFill="1" applyBorder="1" applyAlignment="1" applyProtection="1">
      <alignment horizontal="left" shrinkToFit="1"/>
    </xf>
    <xf numFmtId="217" fontId="5" fillId="0" borderId="79" xfId="2" applyNumberFormat="1" applyFont="1" applyFill="1" applyBorder="1" applyAlignment="1" applyProtection="1">
      <alignment shrinkToFit="1"/>
      <protection locked="0"/>
    </xf>
    <xf numFmtId="218" fontId="5" fillId="0" borderId="79" xfId="12" applyNumberFormat="1" applyFont="1" applyFill="1" applyBorder="1" applyAlignment="1" applyProtection="1">
      <alignment horizontal="center" shrinkToFit="1"/>
    </xf>
    <xf numFmtId="0" fontId="5" fillId="0" borderId="79" xfId="12" applyNumberFormat="1" applyFont="1" applyFill="1" applyBorder="1" applyAlignment="1" applyProtection="1">
      <alignment horizontal="left" shrinkToFit="1"/>
    </xf>
    <xf numFmtId="0" fontId="5" fillId="0" borderId="201" xfId="2" applyNumberFormat="1" applyFont="1" applyFill="1" applyBorder="1" applyAlignment="1" applyProtection="1">
      <alignment horizontal="right" shrinkToFit="1"/>
      <protection locked="0"/>
    </xf>
    <xf numFmtId="0" fontId="5" fillId="0" borderId="203" xfId="2" applyNumberFormat="1" applyFont="1" applyFill="1" applyBorder="1" applyAlignment="1" applyProtection="1">
      <alignment horizontal="right" shrinkToFit="1"/>
      <protection locked="0"/>
    </xf>
    <xf numFmtId="219" fontId="5" fillId="0" borderId="79" xfId="2" applyNumberFormat="1" applyFont="1" applyFill="1" applyBorder="1" applyAlignment="1" applyProtection="1">
      <alignment shrinkToFit="1"/>
      <protection locked="0"/>
    </xf>
    <xf numFmtId="0" fontId="5" fillId="0" borderId="68" xfId="2" applyNumberFormat="1" applyFont="1" applyFill="1" applyBorder="1" applyAlignment="1" applyProtection="1">
      <alignment horizontal="right" shrinkToFit="1"/>
      <protection locked="0"/>
    </xf>
    <xf numFmtId="183" fontId="5" fillId="0" borderId="203"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left" vertical="center"/>
    </xf>
    <xf numFmtId="2" fontId="18" fillId="0" borderId="0" xfId="2" applyNumberFormat="1" applyFont="1" applyFill="1" applyBorder="1" applyAlignment="1" applyProtection="1">
      <alignment vertical="center"/>
    </xf>
    <xf numFmtId="220" fontId="5" fillId="0" borderId="79" xfId="12" applyNumberFormat="1" applyFont="1" applyFill="1" applyBorder="1" applyAlignment="1" applyProtection="1">
      <alignment horizontal="center" shrinkToFit="1"/>
    </xf>
    <xf numFmtId="221" fontId="5" fillId="0" borderId="79" xfId="12" applyNumberFormat="1" applyFont="1" applyFill="1" applyBorder="1" applyAlignment="1" applyProtection="1">
      <alignment horizontal="left" shrinkToFit="1"/>
    </xf>
    <xf numFmtId="2" fontId="5" fillId="0" borderId="0" xfId="2" applyNumberFormat="1" applyFont="1" applyFill="1" applyBorder="1" applyAlignment="1" applyProtection="1">
      <alignment vertical="center"/>
      <protection locked="0"/>
    </xf>
    <xf numFmtId="0" fontId="5" fillId="3" borderId="96" xfId="2" applyFont="1" applyFill="1" applyBorder="1" applyAlignment="1" applyProtection="1">
      <alignment horizontal="center" vertical="center" shrinkToFit="1"/>
    </xf>
    <xf numFmtId="0" fontId="5" fillId="3" borderId="249" xfId="2" applyFont="1" applyFill="1" applyBorder="1" applyAlignment="1" applyProtection="1">
      <alignment horizontal="center" vertical="center" shrinkToFit="1"/>
    </xf>
    <xf numFmtId="3" fontId="5" fillId="3" borderId="22" xfId="12" applyNumberFormat="1" applyFont="1" applyFill="1" applyBorder="1" applyAlignment="1" applyProtection="1">
      <alignment horizontal="center" vertical="center"/>
    </xf>
    <xf numFmtId="3" fontId="5" fillId="3" borderId="250" xfId="12" applyNumberFormat="1" applyFont="1" applyFill="1" applyBorder="1" applyAlignment="1" applyProtection="1">
      <alignment horizontal="center" vertical="center"/>
    </xf>
    <xf numFmtId="3" fontId="5" fillId="3" borderId="251" xfId="12" applyNumberFormat="1" applyFont="1" applyFill="1" applyBorder="1" applyAlignment="1" applyProtection="1">
      <alignment horizontal="center" vertical="center" wrapText="1"/>
    </xf>
    <xf numFmtId="0" fontId="5" fillId="0" borderId="79" xfId="2" applyFont="1" applyFill="1" applyBorder="1" applyAlignment="1" applyProtection="1">
      <alignment horizontal="left" indent="1" shrinkToFit="1"/>
    </xf>
    <xf numFmtId="222" fontId="5" fillId="0" borderId="79" xfId="2" applyNumberFormat="1" applyFont="1" applyFill="1" applyBorder="1" applyAlignment="1" applyProtection="1">
      <alignment shrinkToFit="1"/>
      <protection locked="0"/>
    </xf>
    <xf numFmtId="220" fontId="5" fillId="0" borderId="79" xfId="2" applyNumberFormat="1" applyFont="1" applyFill="1" applyBorder="1" applyAlignment="1" applyProtection="1">
      <alignment horizontal="center"/>
    </xf>
    <xf numFmtId="0" fontId="5" fillId="0" borderId="79" xfId="2" applyNumberFormat="1" applyFont="1" applyFill="1" applyBorder="1" applyAlignment="1" applyProtection="1">
      <alignment horizontal="left" shrinkToFit="1"/>
      <protection locked="0"/>
    </xf>
    <xf numFmtId="223" fontId="5" fillId="0" borderId="79" xfId="2" applyNumberFormat="1" applyFont="1" applyFill="1" applyBorder="1" applyAlignment="1" applyProtection="1">
      <alignment shrinkToFit="1"/>
      <protection locked="0"/>
    </xf>
    <xf numFmtId="193" fontId="5" fillId="3" borderId="221" xfId="12" applyNumberFormat="1" applyFont="1" applyFill="1" applyBorder="1" applyAlignment="1" applyProtection="1">
      <alignment horizontal="center" vertical="center" wrapText="1" shrinkToFit="1"/>
    </xf>
    <xf numFmtId="193" fontId="5" fillId="3" borderId="12" xfId="12" applyNumberFormat="1" applyFont="1" applyFill="1" applyBorder="1" applyAlignment="1" applyProtection="1">
      <alignment horizontal="center" vertical="center" wrapText="1" shrinkToFit="1"/>
    </xf>
    <xf numFmtId="0" fontId="14" fillId="3" borderId="12" xfId="2" applyNumberFormat="1" applyFont="1" applyFill="1" applyBorder="1" applyAlignment="1" applyProtection="1">
      <alignment horizontal="center" vertical="center" wrapText="1"/>
      <protection locked="0"/>
    </xf>
    <xf numFmtId="0" fontId="5" fillId="3" borderId="12" xfId="2" applyNumberFormat="1" applyFont="1" applyFill="1" applyBorder="1" applyAlignment="1" applyProtection="1">
      <alignment horizontal="center" vertical="center" wrapText="1"/>
    </xf>
    <xf numFmtId="3" fontId="5" fillId="3" borderId="13" xfId="12" applyNumberFormat="1" applyFont="1" applyFill="1" applyBorder="1" applyAlignment="1" applyProtection="1">
      <alignment horizontal="center" vertical="center" wrapText="1"/>
    </xf>
    <xf numFmtId="0" fontId="5" fillId="0" borderId="252" xfId="2" applyFont="1" applyFill="1" applyBorder="1" applyAlignment="1" applyProtection="1">
      <alignment horizontal="left" indent="1" shrinkToFit="1"/>
    </xf>
    <xf numFmtId="0" fontId="5" fillId="0" borderId="253" xfId="2" applyFont="1" applyFill="1" applyBorder="1" applyAlignment="1" applyProtection="1">
      <alignment horizontal="left" indent="1" shrinkToFit="1"/>
    </xf>
    <xf numFmtId="220" fontId="5" fillId="0" borderId="20" xfId="2" applyNumberFormat="1" applyFont="1" applyFill="1" applyBorder="1" applyAlignment="1" applyProtection="1">
      <alignment horizontal="center"/>
    </xf>
    <xf numFmtId="0" fontId="5" fillId="0" borderId="0" xfId="2" applyNumberFormat="1" applyFont="1" applyFill="1" applyBorder="1" applyAlignment="1" applyProtection="1">
      <alignment horizontal="left" shrinkToFit="1"/>
      <protection locked="0"/>
    </xf>
    <xf numFmtId="0" fontId="5" fillId="0" borderId="254"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right" shrinkToFit="1"/>
    </xf>
    <xf numFmtId="0" fontId="5" fillId="0" borderId="255" xfId="2" applyNumberFormat="1" applyFont="1" applyFill="1" applyBorder="1" applyAlignment="1" applyProtection="1">
      <alignment horizontal="right" shrinkToFit="1"/>
      <protection locked="0"/>
    </xf>
    <xf numFmtId="193" fontId="5" fillId="0" borderId="256" xfId="12" applyNumberFormat="1" applyFont="1" applyFill="1" applyBorder="1" applyAlignment="1" applyProtection="1">
      <alignment horizontal="right" shrinkToFit="1"/>
    </xf>
    <xf numFmtId="183" fontId="5" fillId="0" borderId="254" xfId="2" applyNumberFormat="1" applyFont="1" applyFill="1" applyBorder="1" applyAlignment="1" applyProtection="1">
      <alignment horizontal="right" shrinkToFit="1"/>
      <protection locked="0"/>
    </xf>
    <xf numFmtId="0" fontId="5" fillId="0" borderId="40" xfId="2" applyNumberFormat="1" applyFont="1" applyFill="1" applyBorder="1" applyAlignment="1" applyProtection="1">
      <alignment horizontal="right" shrinkToFit="1"/>
      <protection locked="0"/>
    </xf>
    <xf numFmtId="183" fontId="5" fillId="0" borderId="255" xfId="2" applyNumberFormat="1" applyFont="1" applyFill="1" applyBorder="1" applyAlignment="1" applyProtection="1">
      <alignment horizontal="right" shrinkToFit="1"/>
      <protection locked="0"/>
    </xf>
    <xf numFmtId="193" fontId="5" fillId="0" borderId="257" xfId="12" applyNumberFormat="1" applyFont="1" applyFill="1" applyBorder="1" applyAlignment="1" applyProtection="1">
      <alignment horizontal="right" shrinkToFit="1"/>
    </xf>
    <xf numFmtId="202" fontId="5" fillId="14" borderId="157" xfId="2" applyNumberFormat="1" applyFont="1" applyFill="1" applyBorder="1" applyAlignment="1" applyProtection="1">
      <alignment horizontal="center" vertical="center" wrapText="1"/>
      <protection locked="0"/>
    </xf>
    <xf numFmtId="202" fontId="5" fillId="15" borderId="157" xfId="2" applyNumberFormat="1" applyFont="1" applyFill="1" applyBorder="1" applyAlignment="1" applyProtection="1">
      <alignment horizontal="center" vertical="center" wrapText="1"/>
      <protection locked="0"/>
    </xf>
    <xf numFmtId="202" fontId="18" fillId="19" borderId="157" xfId="2" applyNumberFormat="1" applyFont="1" applyFill="1" applyBorder="1" applyAlignment="1" applyProtection="1">
      <alignment horizontal="center" vertical="center" wrapText="1"/>
      <protection locked="0"/>
    </xf>
    <xf numFmtId="0" fontId="5" fillId="3" borderId="9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0" borderId="14" xfId="2" applyFont="1" applyFill="1" applyBorder="1" applyAlignment="1" applyProtection="1">
      <alignment horizontal="center" vertical="center" shrinkToFit="1"/>
    </xf>
    <xf numFmtId="0" fontId="5" fillId="0" borderId="15" xfId="2" applyFont="1" applyFill="1" applyBorder="1" applyAlignment="1" applyProtection="1">
      <alignment horizontal="center" vertical="center" shrinkToFit="1"/>
    </xf>
    <xf numFmtId="208" fontId="5" fillId="0" borderId="49" xfId="2" applyNumberFormat="1" applyFont="1" applyFill="1" applyBorder="1" applyAlignment="1" applyProtection="1">
      <alignment vertical="center"/>
    </xf>
    <xf numFmtId="208" fontId="5" fillId="0" borderId="15" xfId="2" applyNumberFormat="1" applyFont="1" applyFill="1" applyBorder="1" applyAlignment="1" applyProtection="1">
      <alignment vertical="center"/>
    </xf>
    <xf numFmtId="208" fontId="5" fillId="0" borderId="16" xfId="2" applyNumberFormat="1" applyFont="1" applyFill="1" applyBorder="1" applyAlignment="1" applyProtection="1">
      <alignment vertical="center"/>
    </xf>
    <xf numFmtId="0" fontId="5" fillId="18" borderId="247" xfId="2" applyFont="1" applyFill="1" applyBorder="1" applyAlignment="1" applyProtection="1">
      <alignment horizontal="center" vertical="center" textRotation="255" wrapText="1" shrinkToFit="1"/>
    </xf>
    <xf numFmtId="0" fontId="5" fillId="3" borderId="3" xfId="2" applyFont="1" applyFill="1" applyBorder="1" applyAlignment="1" applyProtection="1">
      <alignment horizontal="left"/>
    </xf>
    <xf numFmtId="0" fontId="5" fillId="3" borderId="3" xfId="2" applyFont="1" applyFill="1" applyBorder="1" applyProtection="1"/>
    <xf numFmtId="0" fontId="5" fillId="3" borderId="3" xfId="2" applyFont="1" applyFill="1" applyBorder="1" applyAlignment="1" applyProtection="1">
      <alignment horizontal="right"/>
    </xf>
    <xf numFmtId="0" fontId="5" fillId="3" borderId="3" xfId="2" applyFont="1" applyFill="1" applyBorder="1" applyAlignment="1" applyProtection="1">
      <alignment horizontal="left" vertical="center"/>
    </xf>
    <xf numFmtId="0" fontId="5" fillId="3" borderId="3" xfId="2" applyFont="1" applyFill="1" applyBorder="1" applyAlignment="1" applyProtection="1">
      <alignment vertical="center"/>
    </xf>
    <xf numFmtId="0" fontId="5" fillId="3" borderId="3" xfId="2" applyFont="1" applyFill="1" applyBorder="1" applyAlignment="1" applyProtection="1">
      <alignment horizontal="right" vertical="center"/>
    </xf>
    <xf numFmtId="0" fontId="5" fillId="18" borderId="58" xfId="2" applyFont="1" applyFill="1" applyBorder="1" applyAlignment="1" applyProtection="1">
      <alignment horizontal="center" vertical="center" textRotation="255" wrapText="1" shrinkToFit="1"/>
    </xf>
    <xf numFmtId="3" fontId="5" fillId="0" borderId="0" xfId="12" applyNumberFormat="1" applyFont="1" applyFill="1" applyBorder="1" applyAlignment="1" applyProtection="1">
      <alignment vertical="center" shrinkToFit="1"/>
    </xf>
    <xf numFmtId="0" fontId="5" fillId="0" borderId="11" xfId="2" applyFont="1" applyFill="1" applyBorder="1" applyAlignment="1" applyProtection="1">
      <alignment horizontal="center" vertical="center" shrinkToFit="1"/>
    </xf>
    <xf numFmtId="0" fontId="5" fillId="0" borderId="12" xfId="2" applyFont="1" applyFill="1" applyBorder="1" applyAlignment="1" applyProtection="1">
      <alignment horizontal="center" vertical="center" shrinkToFit="1"/>
    </xf>
    <xf numFmtId="208" fontId="5" fillId="0" borderId="221" xfId="2" applyNumberFormat="1" applyFont="1" applyFill="1" applyBorder="1" applyAlignment="1" applyProtection="1">
      <alignment vertical="center"/>
    </xf>
    <xf numFmtId="0" fontId="5" fillId="18" borderId="36" xfId="2" applyFont="1" applyFill="1" applyBorder="1" applyAlignment="1" applyProtection="1">
      <alignment horizontal="center" vertical="center" textRotation="255" wrapText="1" shrinkToFit="1"/>
    </xf>
    <xf numFmtId="200" fontId="5" fillId="0" borderId="0" xfId="2" applyNumberFormat="1" applyFont="1" applyFill="1" applyBorder="1" applyProtection="1"/>
    <xf numFmtId="220" fontId="5" fillId="0" borderId="0" xfId="2" applyNumberFormat="1" applyFont="1" applyFill="1" applyBorder="1" applyAlignment="1" applyProtection="1">
      <alignment horizontal="center"/>
    </xf>
    <xf numFmtId="0" fontId="5" fillId="0" borderId="0" xfId="2" applyFont="1" applyFill="1" applyBorder="1" applyAlignment="1" applyProtection="1">
      <alignment horizontal="left"/>
    </xf>
    <xf numFmtId="207" fontId="5" fillId="0" borderId="254" xfId="2" applyNumberFormat="1" applyFont="1" applyFill="1" applyBorder="1" applyAlignment="1" applyProtection="1">
      <alignment horizontal="right" shrinkToFit="1"/>
    </xf>
    <xf numFmtId="193" fontId="5" fillId="0" borderId="206" xfId="12" applyNumberFormat="1" applyFont="1" applyFill="1" applyBorder="1" applyAlignment="1" applyProtection="1">
      <alignment horizontal="right" shrinkToFit="1"/>
    </xf>
    <xf numFmtId="207" fontId="5" fillId="0" borderId="40" xfId="2" applyNumberFormat="1" applyFont="1" applyFill="1" applyBorder="1" applyAlignment="1" applyProtection="1">
      <alignment horizontal="right" shrinkToFit="1"/>
    </xf>
    <xf numFmtId="207" fontId="5" fillId="0" borderId="255" xfId="2" applyNumberFormat="1" applyFont="1" applyFill="1" applyBorder="1" applyAlignment="1" applyProtection="1">
      <alignment horizontal="right" shrinkToFit="1"/>
    </xf>
    <xf numFmtId="193" fontId="5" fillId="0" borderId="38"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wrapText="1" shrinkToFit="1"/>
    </xf>
    <xf numFmtId="183" fontId="5" fillId="0" borderId="254" xfId="2" applyNumberFormat="1" applyFont="1" applyFill="1" applyBorder="1" applyAlignment="1" applyProtection="1">
      <alignment horizontal="right" shrinkToFit="1"/>
    </xf>
    <xf numFmtId="183" fontId="5" fillId="0" borderId="40" xfId="2" applyNumberFormat="1" applyFont="1" applyFill="1" applyBorder="1" applyAlignment="1" applyProtection="1">
      <alignment horizontal="right" shrinkToFit="1"/>
    </xf>
    <xf numFmtId="207" fontId="5" fillId="0" borderId="0" xfId="2" applyNumberFormat="1" applyFont="1" applyFill="1" applyBorder="1" applyAlignment="1" applyProtection="1">
      <alignment horizontal="right" shrinkToFit="1"/>
    </xf>
    <xf numFmtId="177" fontId="5" fillId="0" borderId="227" xfId="2" applyNumberFormat="1" applyFont="1" applyFill="1" applyBorder="1" applyAlignment="1" applyProtection="1">
      <alignment horizontal="right" shrinkToFit="1"/>
    </xf>
    <xf numFmtId="3" fontId="5" fillId="0" borderId="258" xfId="12" applyNumberFormat="1" applyFont="1" applyFill="1" applyBorder="1" applyAlignment="1" applyProtection="1">
      <alignment horizontal="right" shrinkToFit="1"/>
    </xf>
    <xf numFmtId="177" fontId="5" fillId="0" borderId="259" xfId="2" applyNumberFormat="1" applyFont="1" applyFill="1" applyBorder="1" applyAlignment="1" applyProtection="1">
      <alignment horizontal="right" shrinkToFit="1"/>
    </xf>
    <xf numFmtId="3" fontId="5" fillId="0" borderId="224" xfId="12" applyNumberFormat="1" applyFont="1" applyFill="1" applyBorder="1" applyAlignment="1" applyProtection="1">
      <alignment horizontal="right" shrinkToFit="1"/>
    </xf>
    <xf numFmtId="177" fontId="5" fillId="0" borderId="228" xfId="2" applyNumberFormat="1" applyFont="1" applyFill="1" applyBorder="1" applyAlignment="1" applyProtection="1">
      <alignment horizontal="right" shrinkToFit="1"/>
    </xf>
    <xf numFmtId="3" fontId="5" fillId="0" borderId="260" xfId="12" applyNumberFormat="1" applyFont="1" applyFill="1" applyBorder="1" applyAlignment="1" applyProtection="1">
      <alignment horizontal="right" shrinkToFit="1"/>
    </xf>
    <xf numFmtId="183" fontId="5" fillId="0" borderId="259" xfId="2" applyNumberFormat="1" applyFont="1" applyFill="1" applyBorder="1" applyAlignment="1" applyProtection="1">
      <alignment horizontal="right" shrinkToFit="1"/>
    </xf>
    <xf numFmtId="3" fontId="5" fillId="0" borderId="261" xfId="12" applyNumberFormat="1" applyFont="1" applyFill="1" applyBorder="1" applyAlignment="1" applyProtection="1">
      <alignment horizontal="right" shrinkToFit="1"/>
    </xf>
    <xf numFmtId="0" fontId="5" fillId="18" borderId="262" xfId="2" applyFont="1" applyFill="1" applyBorder="1" applyAlignment="1" applyProtection="1">
      <alignment horizontal="center" vertical="center" textRotation="255" wrapText="1" shrinkToFit="1"/>
    </xf>
    <xf numFmtId="0" fontId="5" fillId="3" borderId="230" xfId="2" applyFont="1" applyFill="1" applyBorder="1" applyAlignment="1" applyProtection="1">
      <alignment horizontal="center" vertical="center"/>
      <protection locked="0"/>
    </xf>
    <xf numFmtId="0" fontId="5" fillId="3" borderId="233" xfId="2" applyFont="1" applyFill="1" applyBorder="1" applyAlignment="1" applyProtection="1">
      <alignment horizontal="center" vertical="center"/>
    </xf>
    <xf numFmtId="0" fontId="5" fillId="3" borderId="232" xfId="2" applyFont="1" applyFill="1" applyBorder="1" applyAlignment="1" applyProtection="1">
      <alignment horizontal="center" vertical="center"/>
    </xf>
    <xf numFmtId="0" fontId="5" fillId="3" borderId="233" xfId="2" applyFont="1" applyFill="1" applyBorder="1" applyAlignment="1" applyProtection="1">
      <alignment horizontal="center" vertical="center" wrapText="1"/>
    </xf>
    <xf numFmtId="0" fontId="5" fillId="3" borderId="236" xfId="2" applyFont="1" applyFill="1" applyBorder="1" applyAlignment="1" applyProtection="1">
      <alignment horizontal="center" vertical="center" wrapText="1"/>
    </xf>
    <xf numFmtId="177" fontId="5" fillId="3" borderId="232" xfId="2" applyNumberFormat="1" applyFont="1" applyFill="1" applyBorder="1" applyAlignment="1" applyProtection="1">
      <alignment horizontal="center" vertical="center" wrapText="1" shrinkToFit="1"/>
    </xf>
    <xf numFmtId="177" fontId="5" fillId="0" borderId="0" xfId="2" applyNumberFormat="1" applyFont="1" applyFill="1" applyBorder="1" applyAlignment="1" applyProtection="1">
      <alignment horizontal="center" wrapText="1" shrinkToFit="1"/>
    </xf>
    <xf numFmtId="177" fontId="5" fillId="0" borderId="0" xfId="2" applyNumberFormat="1" applyFont="1" applyFill="1" applyBorder="1" applyAlignment="1" applyProtection="1">
      <alignment vertical="center" shrinkToFit="1"/>
    </xf>
    <xf numFmtId="0" fontId="5" fillId="18" borderId="96" xfId="2" applyFont="1" applyFill="1" applyBorder="1" applyAlignment="1" applyProtection="1">
      <alignment horizontal="center" vertical="center" textRotation="255" wrapText="1" shrinkToFit="1"/>
    </xf>
    <xf numFmtId="0" fontId="5" fillId="0" borderId="189" xfId="2" applyFont="1" applyFill="1" applyBorder="1" applyAlignment="1" applyProtection="1">
      <alignment horizontal="center"/>
    </xf>
    <xf numFmtId="224" fontId="5" fillId="0" borderId="263" xfId="2" applyNumberFormat="1" applyFont="1" applyFill="1" applyBorder="1" applyProtection="1"/>
    <xf numFmtId="224" fontId="5" fillId="0" borderId="64" xfId="2" applyNumberFormat="1" applyFont="1" applyFill="1" applyBorder="1" applyProtection="1"/>
    <xf numFmtId="225" fontId="5" fillId="0" borderId="264" xfId="2" applyNumberFormat="1" applyFont="1" applyFill="1" applyBorder="1" applyAlignment="1" applyProtection="1">
      <alignment horizontal="right"/>
      <protection locked="0"/>
    </xf>
    <xf numFmtId="225" fontId="5" fillId="0" borderId="265" xfId="2" applyNumberFormat="1" applyFont="1" applyFill="1" applyBorder="1" applyAlignment="1" applyProtection="1">
      <alignment horizontal="right"/>
      <protection locked="0"/>
    </xf>
    <xf numFmtId="226" fontId="5" fillId="0" borderId="189" xfId="12" applyNumberFormat="1" applyFont="1" applyFill="1" applyBorder="1" applyAlignment="1" applyProtection="1">
      <alignment horizontal="right" shrinkToFit="1"/>
    </xf>
    <xf numFmtId="227" fontId="5" fillId="0" borderId="129" xfId="12" applyNumberFormat="1" applyFont="1" applyFill="1" applyBorder="1" applyAlignment="1" applyProtection="1">
      <alignment horizontal="right" shrinkToFit="1"/>
    </xf>
    <xf numFmtId="191" fontId="5" fillId="0" borderId="263" xfId="2" applyNumberFormat="1" applyFont="1" applyFill="1" applyBorder="1" applyProtection="1"/>
    <xf numFmtId="191" fontId="5" fillId="0" borderId="64" xfId="2" applyNumberFormat="1" applyFont="1" applyFill="1" applyBorder="1" applyProtection="1"/>
    <xf numFmtId="193" fontId="5" fillId="0" borderId="58" xfId="12" applyNumberFormat="1" applyFont="1" applyFill="1" applyBorder="1" applyAlignment="1" applyProtection="1">
      <alignment horizontal="center" vertical="center" shrinkToFit="1"/>
    </xf>
    <xf numFmtId="193" fontId="5" fillId="0" borderId="61" xfId="12" applyNumberFormat="1" applyFont="1" applyFill="1" applyBorder="1" applyAlignment="1" applyProtection="1">
      <alignment horizontal="center" vertical="center" shrinkToFit="1"/>
    </xf>
    <xf numFmtId="193" fontId="5" fillId="0" borderId="221" xfId="12" applyNumberFormat="1" applyFont="1" applyFill="1" applyBorder="1" applyAlignment="1" applyProtection="1">
      <alignment horizontal="center" vertical="center" shrinkToFit="1"/>
    </xf>
    <xf numFmtId="208" fontId="5" fillId="0" borderId="13" xfId="2" applyNumberFormat="1" applyFont="1" applyFill="1" applyBorder="1" applyAlignment="1" applyProtection="1">
      <alignment vertical="center"/>
      <protection locked="0"/>
    </xf>
    <xf numFmtId="0" fontId="5" fillId="0" borderId="79" xfId="2" applyFont="1" applyFill="1" applyBorder="1" applyAlignment="1" applyProtection="1">
      <alignment horizontal="center"/>
      <protection locked="0"/>
    </xf>
    <xf numFmtId="224" fontId="5" fillId="0" borderId="239" xfId="2" applyNumberFormat="1" applyFont="1" applyFill="1" applyBorder="1" applyProtection="1"/>
    <xf numFmtId="224" fontId="5" fillId="0" borderId="68" xfId="2" applyNumberFormat="1" applyFont="1" applyFill="1" applyBorder="1" applyProtection="1"/>
    <xf numFmtId="225" fontId="5" fillId="0" borderId="266" xfId="2" applyNumberFormat="1" applyFont="1" applyFill="1" applyBorder="1" applyAlignment="1" applyProtection="1">
      <alignment horizontal="right"/>
      <protection locked="0"/>
    </xf>
    <xf numFmtId="225" fontId="5" fillId="0" borderId="205" xfId="2" applyNumberFormat="1" applyFont="1" applyFill="1" applyBorder="1" applyAlignment="1" applyProtection="1">
      <alignment horizontal="right"/>
      <protection locked="0"/>
    </xf>
    <xf numFmtId="226" fontId="5" fillId="0" borderId="79" xfId="12" applyNumberFormat="1" applyFont="1" applyFill="1" applyBorder="1" applyAlignment="1" applyProtection="1">
      <alignment horizontal="right" shrinkToFit="1"/>
    </xf>
    <xf numFmtId="227" fontId="5" fillId="0" borderId="204" xfId="12" applyNumberFormat="1" applyFont="1" applyFill="1" applyBorder="1" applyAlignment="1" applyProtection="1">
      <alignment horizontal="right" shrinkToFit="1"/>
    </xf>
    <xf numFmtId="191" fontId="5" fillId="0" borderId="239" xfId="2" applyNumberFormat="1" applyFont="1" applyFill="1" applyBorder="1" applyProtection="1"/>
    <xf numFmtId="191" fontId="5" fillId="0" borderId="68" xfId="2" applyNumberFormat="1" applyFont="1" applyFill="1" applyBorder="1" applyProtection="1"/>
    <xf numFmtId="207" fontId="5" fillId="3" borderId="8"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wrapText="1"/>
    </xf>
    <xf numFmtId="207" fontId="5" fillId="3" borderId="10" xfId="2" applyNumberFormat="1" applyFont="1" applyFill="1" applyBorder="1" applyAlignment="1" applyProtection="1">
      <alignment horizontal="center" vertical="center"/>
    </xf>
    <xf numFmtId="0" fontId="5" fillId="18" borderId="267" xfId="2" applyFont="1" applyFill="1" applyBorder="1" applyAlignment="1" applyProtection="1">
      <alignment horizontal="center" vertical="center" textRotation="255" wrapText="1" shrinkToFit="1"/>
    </xf>
    <xf numFmtId="207" fontId="5" fillId="3" borderId="11" xfId="2" applyNumberFormat="1" applyFont="1" applyFill="1" applyBorder="1" applyAlignment="1" applyProtection="1">
      <alignment horizontal="center" vertical="center"/>
    </xf>
    <xf numFmtId="207" fontId="5" fillId="3" borderId="12" xfId="2" applyNumberFormat="1" applyFont="1" applyFill="1" applyBorder="1" applyAlignment="1" applyProtection="1">
      <alignment horizontal="center" vertical="center"/>
    </xf>
    <xf numFmtId="207" fontId="5" fillId="3" borderId="13"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xf>
    <xf numFmtId="228" fontId="5" fillId="0" borderId="0" xfId="12" applyNumberFormat="1"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236" xfId="2" applyFont="1" applyFill="1" applyBorder="1" applyAlignment="1" applyProtection="1">
      <alignment horizontal="center" vertical="center"/>
    </xf>
    <xf numFmtId="0" fontId="5" fillId="3" borderId="3" xfId="2" applyFont="1" applyFill="1" applyBorder="1" applyAlignment="1" applyProtection="1">
      <alignment horizontal="center"/>
    </xf>
    <xf numFmtId="0" fontId="5" fillId="3" borderId="236" xfId="2" applyFont="1" applyFill="1" applyBorder="1" applyAlignment="1" applyProtection="1">
      <alignment horizontal="center"/>
    </xf>
    <xf numFmtId="207" fontId="5" fillId="0" borderId="96" xfId="2" applyNumberFormat="1" applyFont="1" applyFill="1" applyBorder="1" applyAlignment="1" applyProtection="1">
      <alignment horizontal="center" vertical="center"/>
    </xf>
    <xf numFmtId="207" fontId="5" fillId="0" borderId="249" xfId="2" applyNumberFormat="1" applyFont="1" applyFill="1" applyBorder="1" applyAlignment="1" applyProtection="1">
      <alignment horizontal="center" vertical="center"/>
    </xf>
    <xf numFmtId="207" fontId="5" fillId="0" borderId="48" xfId="2" applyNumberFormat="1" applyFont="1" applyFill="1" applyBorder="1" applyAlignment="1" applyProtection="1">
      <alignment vertical="center" shrinkToFit="1"/>
    </xf>
    <xf numFmtId="207" fontId="5" fillId="0" borderId="268" xfId="2" applyNumberFormat="1" applyFont="1" applyFill="1" applyBorder="1" applyAlignment="1" applyProtection="1">
      <alignment vertical="center" shrinkToFit="1"/>
    </xf>
    <xf numFmtId="0" fontId="5" fillId="0" borderId="269" xfId="2" applyFont="1" applyFill="1" applyBorder="1" applyAlignment="1" applyProtection="1">
      <alignment horizontal="left" indent="1"/>
    </xf>
    <xf numFmtId="224" fontId="5" fillId="0" borderId="77" xfId="2" applyNumberFormat="1" applyFont="1" applyFill="1" applyBorder="1" applyProtection="1"/>
    <xf numFmtId="229" fontId="5" fillId="0" borderId="77" xfId="2" applyNumberFormat="1" applyFont="1" applyFill="1" applyBorder="1" applyAlignment="1" applyProtection="1">
      <alignment horizontal="right"/>
      <protection locked="0"/>
    </xf>
    <xf numFmtId="229" fontId="5" fillId="0" borderId="265" xfId="2" applyNumberFormat="1" applyFont="1" applyFill="1" applyBorder="1" applyAlignment="1" applyProtection="1">
      <alignment horizontal="right"/>
      <protection locked="0"/>
    </xf>
    <xf numFmtId="0" fontId="5" fillId="0" borderId="269" xfId="2" applyFont="1" applyFill="1" applyBorder="1" applyAlignment="1" applyProtection="1"/>
    <xf numFmtId="207" fontId="5" fillId="0" borderId="97" xfId="2" applyNumberFormat="1" applyFont="1" applyFill="1" applyBorder="1" applyAlignment="1" applyProtection="1">
      <alignment horizontal="center" vertical="center"/>
    </xf>
    <xf numFmtId="207" fontId="5" fillId="0" borderId="49" xfId="2" applyNumberFormat="1" applyFont="1" applyFill="1" applyBorder="1" applyAlignment="1" applyProtection="1">
      <alignment horizontal="center" vertical="center"/>
    </xf>
    <xf numFmtId="207" fontId="5" fillId="0" borderId="15" xfId="2" applyNumberFormat="1" applyFont="1" applyFill="1" applyBorder="1" applyAlignment="1" applyProtection="1">
      <alignment vertical="center" shrinkToFit="1"/>
    </xf>
    <xf numFmtId="207" fontId="5" fillId="0" borderId="16" xfId="2" applyNumberFormat="1" applyFont="1" applyFill="1" applyBorder="1" applyAlignment="1" applyProtection="1">
      <alignment vertical="center" shrinkToFit="1"/>
    </xf>
    <xf numFmtId="0" fontId="5" fillId="0" borderId="252" xfId="2" applyFont="1" applyFill="1" applyBorder="1" applyAlignment="1" applyProtection="1">
      <alignment horizontal="left" indent="1"/>
      <protection locked="0"/>
    </xf>
    <xf numFmtId="0" fontId="5" fillId="0" borderId="253" xfId="2" applyFont="1" applyFill="1" applyBorder="1" applyAlignment="1" applyProtection="1">
      <alignment horizontal="center" shrinkToFit="1"/>
    </xf>
    <xf numFmtId="0" fontId="5" fillId="0" borderId="270" xfId="2" applyFont="1" applyFill="1" applyBorder="1" applyAlignment="1" applyProtection="1">
      <alignment horizontal="center" shrinkToFit="1"/>
    </xf>
    <xf numFmtId="227" fontId="5" fillId="0" borderId="79" xfId="12" applyNumberFormat="1" applyFont="1" applyFill="1" applyBorder="1" applyAlignment="1" applyProtection="1">
      <alignment horizontal="right" shrinkToFit="1"/>
    </xf>
    <xf numFmtId="227" fontId="5" fillId="0" borderId="240" xfId="2" applyNumberFormat="1" applyFont="1" applyFill="1" applyBorder="1" applyAlignment="1" applyProtection="1">
      <alignment horizontal="right" shrinkToFit="1"/>
      <protection locked="0"/>
    </xf>
    <xf numFmtId="0" fontId="5" fillId="0" borderId="252" xfId="2" applyFont="1" applyFill="1" applyBorder="1" applyAlignment="1" applyProtection="1">
      <protection locked="0"/>
    </xf>
    <xf numFmtId="202" fontId="5" fillId="13" borderId="271" xfId="2" applyNumberFormat="1" applyFont="1" applyFill="1" applyBorder="1" applyAlignment="1" applyProtection="1">
      <alignment horizontal="center" vertical="center" wrapText="1"/>
      <protection locked="0"/>
    </xf>
    <xf numFmtId="202" fontId="5" fillId="13" borderId="147" xfId="2" applyNumberFormat="1" applyFont="1" applyFill="1" applyBorder="1" applyAlignment="1" applyProtection="1">
      <alignment horizontal="center" vertical="center" wrapText="1"/>
      <protection locked="0"/>
    </xf>
    <xf numFmtId="202" fontId="5" fillId="14" borderId="272" xfId="2" applyNumberFormat="1" applyFont="1" applyFill="1" applyBorder="1" applyAlignment="1" applyProtection="1">
      <alignment horizontal="center" vertical="center" wrapText="1"/>
      <protection locked="0"/>
    </xf>
    <xf numFmtId="202" fontId="5" fillId="14" borderId="147" xfId="2" applyNumberFormat="1" applyFont="1" applyFill="1" applyBorder="1" applyAlignment="1" applyProtection="1">
      <alignment horizontal="center" vertical="center" wrapText="1"/>
      <protection locked="0"/>
    </xf>
    <xf numFmtId="202" fontId="5" fillId="15" borderId="272" xfId="2" applyNumberFormat="1" applyFont="1" applyFill="1" applyBorder="1" applyAlignment="1" applyProtection="1">
      <alignment horizontal="center" vertical="center" wrapText="1"/>
      <protection locked="0"/>
    </xf>
    <xf numFmtId="202" fontId="5" fillId="15" borderId="147" xfId="2" applyNumberFormat="1" applyFont="1" applyFill="1" applyBorder="1" applyAlignment="1" applyProtection="1">
      <alignment horizontal="center" vertical="center" wrapText="1"/>
      <protection locked="0"/>
    </xf>
    <xf numFmtId="202" fontId="18" fillId="19" borderId="272" xfId="2" applyNumberFormat="1" applyFont="1" applyFill="1" applyBorder="1" applyAlignment="1" applyProtection="1">
      <alignment horizontal="center" vertical="center" wrapText="1"/>
      <protection locked="0"/>
    </xf>
    <xf numFmtId="202" fontId="18" fillId="19" borderId="147" xfId="2" applyNumberFormat="1" applyFont="1" applyFill="1" applyBorder="1" applyAlignment="1" applyProtection="1">
      <alignment horizontal="center" vertical="center" wrapText="1"/>
      <protection locked="0"/>
    </xf>
    <xf numFmtId="202" fontId="18" fillId="19" borderId="127" xfId="2" applyNumberFormat="1" applyFont="1" applyFill="1" applyBorder="1" applyAlignment="1" applyProtection="1">
      <alignment horizontal="center" vertical="center" wrapText="1"/>
      <protection locked="0"/>
    </xf>
    <xf numFmtId="181" fontId="5" fillId="0" borderId="0" xfId="2" applyNumberFormat="1" applyFont="1" applyFill="1" applyBorder="1" applyAlignment="1" applyProtection="1">
      <alignment vertical="center"/>
      <protection locked="0"/>
    </xf>
    <xf numFmtId="207" fontId="5" fillId="0" borderId="273" xfId="2" applyNumberFormat="1" applyFont="1" applyFill="1" applyBorder="1" applyAlignment="1" applyProtection="1">
      <alignment horizontal="center" vertical="center"/>
    </xf>
    <xf numFmtId="207" fontId="5" fillId="0" borderId="274" xfId="2" applyNumberFormat="1" applyFont="1" applyFill="1" applyBorder="1" applyAlignment="1" applyProtection="1">
      <alignment horizontal="center" vertical="center"/>
    </xf>
    <xf numFmtId="207" fontId="5" fillId="0" borderId="50" xfId="2" applyNumberFormat="1" applyFont="1" applyFill="1" applyBorder="1" applyAlignment="1" applyProtection="1">
      <alignment vertical="center" shrinkToFit="1"/>
    </xf>
    <xf numFmtId="207" fontId="5" fillId="0" borderId="275" xfId="2" applyNumberFormat="1" applyFont="1" applyFill="1" applyBorder="1" applyAlignment="1" applyProtection="1">
      <alignment vertical="center" shrinkToFit="1"/>
    </xf>
    <xf numFmtId="3" fontId="5" fillId="0" borderId="133" xfId="12" applyNumberFormat="1" applyFont="1" applyFill="1" applyBorder="1" applyAlignment="1" applyProtection="1">
      <alignment shrinkToFit="1"/>
    </xf>
    <xf numFmtId="0" fontId="5" fillId="18" borderId="276" xfId="2" applyFont="1" applyFill="1" applyBorder="1" applyAlignment="1" applyProtection="1">
      <alignment horizontal="center" vertical="center" textRotation="255" wrapText="1" shrinkToFit="1"/>
    </xf>
    <xf numFmtId="0" fontId="5" fillId="18" borderId="277" xfId="2" applyFont="1" applyFill="1" applyBorder="1" applyAlignment="1" applyProtection="1">
      <alignment horizontal="center" vertical="center" textRotation="255" wrapText="1" shrinkToFit="1"/>
    </xf>
    <xf numFmtId="207" fontId="5" fillId="0" borderId="15" xfId="2" applyNumberFormat="1" applyFont="1" applyFill="1" applyBorder="1" applyAlignment="1" applyProtection="1">
      <alignment vertical="center" shrinkToFit="1"/>
      <protection locked="0"/>
    </xf>
    <xf numFmtId="230" fontId="5" fillId="0" borderId="0" xfId="12" applyNumberFormat="1" applyFont="1" applyFill="1" applyBorder="1" applyAlignment="1" applyProtection="1">
      <alignment vertical="center"/>
    </xf>
    <xf numFmtId="207" fontId="5" fillId="0" borderId="0" xfId="2" applyNumberFormat="1" applyFont="1" applyFill="1" applyBorder="1" applyAlignment="1" applyProtection="1">
      <alignment vertical="center" shrinkToFit="1"/>
    </xf>
    <xf numFmtId="193" fontId="5" fillId="0" borderId="133" xfId="12" applyNumberFormat="1" applyFont="1" applyFill="1" applyBorder="1" applyAlignment="1" applyProtection="1">
      <alignment shrinkToFit="1"/>
    </xf>
    <xf numFmtId="0" fontId="5" fillId="0" borderId="278" xfId="2" applyFont="1" applyFill="1" applyBorder="1" applyAlignment="1" applyProtection="1">
      <alignment horizontal="left" indent="1"/>
    </xf>
    <xf numFmtId="0" fontId="5" fillId="0" borderId="279" xfId="2" applyFont="1" applyFill="1" applyBorder="1" applyProtection="1"/>
    <xf numFmtId="0" fontId="5" fillId="0" borderId="279" xfId="2" applyFont="1" applyFill="1" applyBorder="1" applyAlignment="1" applyProtection="1">
      <alignment horizontal="right"/>
    </xf>
    <xf numFmtId="177" fontId="5" fillId="0" borderId="280" xfId="2" applyNumberFormat="1" applyFont="1" applyFill="1" applyBorder="1" applyAlignment="1" applyProtection="1">
      <alignment horizontal="right" shrinkToFit="1"/>
    </xf>
    <xf numFmtId="3" fontId="5" fillId="0" borderId="279" xfId="12" applyNumberFormat="1" applyFont="1" applyFill="1" applyBorder="1" applyAlignment="1" applyProtection="1">
      <alignment horizontal="right" shrinkToFit="1"/>
    </xf>
    <xf numFmtId="177" fontId="5" fillId="0" borderId="281" xfId="2" applyNumberFormat="1" applyFont="1" applyFill="1" applyBorder="1" applyAlignment="1" applyProtection="1">
      <alignment horizontal="right" shrinkToFit="1"/>
    </xf>
    <xf numFmtId="3" fontId="5" fillId="0" borderId="282" xfId="12" applyNumberFormat="1" applyFont="1" applyFill="1" applyBorder="1" applyAlignment="1" applyProtection="1">
      <alignment horizontal="right" shrinkToFit="1"/>
    </xf>
    <xf numFmtId="183" fontId="5" fillId="0" borderId="280" xfId="2" applyNumberFormat="1" applyFont="1" applyFill="1" applyBorder="1" applyAlignment="1" applyProtection="1">
      <alignment horizontal="right" shrinkToFit="1"/>
    </xf>
    <xf numFmtId="177" fontId="5" fillId="0" borderId="283" xfId="2" applyNumberFormat="1" applyFont="1" applyFill="1" applyBorder="1" applyAlignment="1" applyProtection="1">
      <alignment horizontal="right" shrinkToFit="1"/>
    </xf>
    <xf numFmtId="183" fontId="5" fillId="0" borderId="281" xfId="2" applyNumberFormat="1" applyFont="1" applyFill="1" applyBorder="1" applyAlignment="1" applyProtection="1">
      <alignment horizontal="right" shrinkToFit="1"/>
    </xf>
    <xf numFmtId="3" fontId="5" fillId="0" borderId="284" xfId="12" applyNumberFormat="1" applyFont="1" applyFill="1" applyBorder="1" applyAlignment="1" applyProtection="1">
      <alignment horizontal="right" shrinkToFit="1"/>
    </xf>
    <xf numFmtId="0" fontId="5" fillId="0" borderId="285" xfId="2" applyNumberFormat="1" applyFont="1" applyFill="1" applyBorder="1" applyAlignment="1" applyProtection="1">
      <alignment vertical="center"/>
    </xf>
    <xf numFmtId="0" fontId="5" fillId="0" borderId="285" xfId="2" applyNumberFormat="1" applyFont="1" applyFill="1" applyBorder="1" applyAlignment="1" applyProtection="1">
      <alignment vertical="center"/>
      <protection locked="0"/>
    </xf>
    <xf numFmtId="0" fontId="5" fillId="0" borderId="285" xfId="12" applyNumberFormat="1" applyFont="1" applyFill="1" applyBorder="1" applyAlignment="1" applyProtection="1">
      <alignment vertical="center"/>
    </xf>
    <xf numFmtId="3" fontId="18" fillId="0" borderId="0" xfId="12" applyNumberFormat="1" applyFont="1" applyFill="1" applyBorder="1" applyAlignment="1" applyProtection="1">
      <alignment vertical="center"/>
    </xf>
    <xf numFmtId="0" fontId="5" fillId="0" borderId="286" xfId="2" applyFont="1" applyFill="1" applyBorder="1" applyAlignment="1" applyProtection="1">
      <alignment horizontal="left" indent="1"/>
    </xf>
    <xf numFmtId="0" fontId="5" fillId="0" borderId="287" xfId="2" applyFont="1" applyFill="1" applyBorder="1" applyProtection="1"/>
    <xf numFmtId="0" fontId="5" fillId="0" borderId="287" xfId="2" applyFont="1" applyFill="1" applyBorder="1" applyAlignment="1" applyProtection="1">
      <alignment horizontal="right"/>
    </xf>
    <xf numFmtId="2" fontId="5" fillId="0" borderId="288" xfId="2" applyNumberFormat="1" applyFont="1" applyFill="1" applyBorder="1" applyAlignment="1" applyProtection="1">
      <alignment horizontal="centerContinuous" shrinkToFit="1"/>
    </xf>
    <xf numFmtId="230" fontId="5" fillId="0" borderId="287" xfId="12" applyNumberFormat="1" applyFont="1" applyFill="1" applyBorder="1" applyAlignment="1" applyProtection="1">
      <alignment horizontal="centerContinuous" shrinkToFit="1"/>
    </xf>
    <xf numFmtId="2" fontId="5" fillId="0" borderId="289" xfId="2" applyNumberFormat="1" applyFont="1" applyFill="1" applyBorder="1" applyAlignment="1" applyProtection="1">
      <alignment horizontal="centerContinuous" shrinkToFit="1"/>
    </xf>
    <xf numFmtId="230" fontId="5" fillId="0" borderId="290" xfId="1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
    </xf>
    <xf numFmtId="2" fontId="5" fillId="0" borderId="291" xfId="2" applyNumberFormat="1" applyFont="1" applyFill="1" applyBorder="1" applyAlignment="1" applyProtection="1">
      <alignment horizontal="center"/>
    </xf>
    <xf numFmtId="230" fontId="5" fillId="0" borderId="133" xfId="12" applyNumberFormat="1" applyFont="1" applyFill="1" applyBorder="1" applyAlignment="1" applyProtection="1">
      <alignment horizontal="centerContinuous" shrinkToFit="1"/>
    </xf>
    <xf numFmtId="183" fontId="5" fillId="0" borderId="292" xfId="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Continuous" shrinkToFit="1"/>
    </xf>
    <xf numFmtId="183" fontId="5" fillId="0" borderId="293" xfId="2" applyNumberFormat="1" applyFont="1" applyFill="1" applyBorder="1" applyAlignment="1" applyProtection="1">
      <alignment shrinkToFit="1"/>
    </xf>
    <xf numFmtId="2" fontId="5" fillId="0" borderId="294" xfId="2" applyNumberFormat="1" applyFont="1" applyFill="1" applyBorder="1" applyAlignment="1" applyProtection="1">
      <alignment horizontal="center" shrinkToFit="1"/>
    </xf>
    <xf numFmtId="2" fontId="5" fillId="0" borderId="295" xfId="2" applyNumberFormat="1" applyFont="1" applyFill="1" applyBorder="1" applyAlignment="1" applyProtection="1">
      <alignment horizontal="center" shrinkToFit="1"/>
    </xf>
    <xf numFmtId="230" fontId="5" fillId="0" borderId="0" xfId="12" applyNumberFormat="1" applyFont="1" applyFill="1" applyBorder="1" applyAlignment="1" applyProtection="1">
      <alignment vertical="center" shrinkToFit="1"/>
    </xf>
    <xf numFmtId="0" fontId="18" fillId="0" borderId="296" xfId="2" applyFont="1" applyFill="1" applyBorder="1" applyAlignment="1" applyProtection="1">
      <alignment horizontal="left" indent="1"/>
    </xf>
    <xf numFmtId="0" fontId="18" fillId="0" borderId="224" xfId="2" applyFont="1" applyFill="1" applyBorder="1" applyProtection="1"/>
    <xf numFmtId="2" fontId="18" fillId="0" borderId="224" xfId="2" applyNumberFormat="1" applyFont="1" applyFill="1" applyBorder="1" applyAlignment="1" applyProtection="1">
      <alignment horizontal="center"/>
    </xf>
    <xf numFmtId="230" fontId="18" fillId="0" borderId="224" xfId="2" applyNumberFormat="1" applyFont="1" applyFill="1" applyBorder="1" applyAlignment="1" applyProtection="1">
      <alignment horizontal="left"/>
    </xf>
    <xf numFmtId="2" fontId="18" fillId="0" borderId="195" xfId="2" applyNumberFormat="1" applyFont="1" applyFill="1" applyBorder="1" applyAlignment="1" applyProtection="1">
      <alignment horizontal="right" shrinkToFit="1"/>
    </xf>
    <xf numFmtId="3" fontId="18" fillId="0" borderId="225" xfId="12" applyNumberFormat="1" applyFont="1" applyFill="1" applyBorder="1" applyAlignment="1" applyProtection="1">
      <alignment horizontal="right" shrinkToFit="1"/>
    </xf>
    <xf numFmtId="2" fontId="18" fillId="0" borderId="245" xfId="2" applyNumberFormat="1" applyFont="1" applyFill="1" applyBorder="1" applyAlignment="1" applyProtection="1">
      <alignment horizontal="right" shrinkToFit="1"/>
    </xf>
    <xf numFmtId="2" fontId="18" fillId="0" borderId="245" xfId="2" applyNumberFormat="1" applyFont="1" applyFill="1" applyBorder="1" applyAlignment="1" applyProtection="1">
      <alignment shrinkToFit="1"/>
    </xf>
    <xf numFmtId="3" fontId="18" fillId="0" borderId="297" xfId="12" applyNumberFormat="1" applyFont="1" applyFill="1" applyBorder="1" applyAlignment="1" applyProtection="1">
      <alignment shrinkToFit="1"/>
    </xf>
    <xf numFmtId="2" fontId="18" fillId="0" borderId="224" xfId="2" applyNumberFormat="1" applyFont="1" applyFill="1" applyBorder="1" applyAlignment="1" applyProtection="1">
      <alignment shrinkToFit="1"/>
    </xf>
    <xf numFmtId="3" fontId="18" fillId="0" borderId="298" xfId="12" applyNumberFormat="1" applyFont="1" applyFill="1" applyBorder="1" applyAlignment="1" applyProtection="1">
      <alignment shrinkToFit="1"/>
    </xf>
    <xf numFmtId="3" fontId="18" fillId="0" borderId="133" xfId="12" applyNumberFormat="1" applyFont="1" applyFill="1" applyBorder="1" applyAlignment="1" applyProtection="1">
      <alignment shrinkToFit="1"/>
    </xf>
    <xf numFmtId="183" fontId="18" fillId="0" borderId="299" xfId="2" applyNumberFormat="1" applyFont="1" applyFill="1" applyBorder="1" applyAlignment="1" applyProtection="1">
      <alignment horizontal="right" shrinkToFit="1"/>
    </xf>
    <xf numFmtId="2" fontId="18" fillId="0" borderId="224" xfId="2" applyNumberFormat="1" applyFont="1" applyFill="1" applyBorder="1" applyAlignment="1" applyProtection="1">
      <alignment horizontal="right" shrinkToFit="1"/>
    </xf>
    <xf numFmtId="183" fontId="18" fillId="0" borderId="228" xfId="2" applyNumberFormat="1" applyFont="1" applyFill="1" applyBorder="1" applyAlignment="1" applyProtection="1">
      <alignment horizontal="right" shrinkToFit="1"/>
    </xf>
    <xf numFmtId="3" fontId="18" fillId="0" borderId="229" xfId="12" applyNumberFormat="1" applyFont="1" applyFill="1" applyBorder="1" applyAlignment="1" applyProtection="1">
      <alignment horizontal="right" shrinkToFit="1"/>
    </xf>
    <xf numFmtId="183" fontId="18" fillId="0" borderId="224"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center" shrinkToFit="1"/>
    </xf>
    <xf numFmtId="3" fontId="18" fillId="0" borderId="226" xfId="1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shrinkToFit="1"/>
    </xf>
    <xf numFmtId="0" fontId="5" fillId="18" borderId="300" xfId="2" applyFont="1" applyFill="1" applyBorder="1" applyAlignment="1" applyProtection="1">
      <alignment horizontal="center" vertical="center" textRotation="255" wrapText="1"/>
    </xf>
    <xf numFmtId="0" fontId="5" fillId="3" borderId="2" xfId="2" applyFont="1" applyFill="1" applyBorder="1" applyAlignment="1" applyProtection="1">
      <alignment horizontal="left" vertical="center"/>
    </xf>
    <xf numFmtId="3" fontId="5" fillId="3" borderId="3" xfId="12" applyNumberFormat="1" applyFont="1" applyFill="1" applyBorder="1" applyAlignment="1" applyProtection="1">
      <alignment horizontal="center" vertical="center" shrinkToFit="1"/>
    </xf>
    <xf numFmtId="3" fontId="5" fillId="3" borderId="301" xfId="12" applyNumberFormat="1" applyFont="1" applyFill="1" applyBorder="1" applyAlignment="1" applyProtection="1">
      <alignment vertical="center" shrinkToFit="1"/>
    </xf>
    <xf numFmtId="177" fontId="5" fillId="3" borderId="3" xfId="2" applyNumberFormat="1" applyFont="1" applyFill="1" applyBorder="1" applyAlignment="1" applyProtection="1">
      <alignment horizontal="center" vertical="center" shrinkToFit="1"/>
    </xf>
    <xf numFmtId="3" fontId="5" fillId="3" borderId="302" xfId="12" applyNumberFormat="1" applyFont="1" applyFill="1" applyBorder="1" applyAlignment="1" applyProtection="1">
      <alignment vertical="center" shrinkToFit="1"/>
    </xf>
    <xf numFmtId="183" fontId="5" fillId="3" borderId="248" xfId="2" applyNumberFormat="1" applyFont="1" applyFill="1" applyBorder="1" applyAlignment="1" applyProtection="1">
      <alignment horizontal="center" vertical="center" shrinkToFit="1"/>
    </xf>
    <xf numFmtId="3" fontId="5" fillId="3" borderId="236" xfId="12" applyNumberFormat="1" applyFont="1" applyFill="1" applyBorder="1" applyAlignment="1" applyProtection="1">
      <alignment horizontal="center" vertical="center" shrinkToFit="1"/>
    </xf>
    <xf numFmtId="183" fontId="5" fillId="3" borderId="232" xfId="2" applyNumberFormat="1" applyFont="1" applyFill="1" applyBorder="1" applyAlignment="1" applyProtection="1">
      <alignment horizontal="center" vertical="center" shrinkToFit="1"/>
    </xf>
    <xf numFmtId="3" fontId="5" fillId="3" borderId="4" xfId="12" applyNumberFormat="1" applyFont="1" applyFill="1" applyBorder="1" applyAlignment="1" applyProtection="1">
      <alignment horizontal="center" vertical="center" shrinkToFit="1"/>
    </xf>
    <xf numFmtId="0" fontId="5" fillId="18" borderId="36" xfId="2" applyFont="1" applyFill="1" applyBorder="1" applyAlignment="1" applyProtection="1">
      <alignment horizontal="center" vertical="center" textRotation="255" wrapText="1"/>
    </xf>
    <xf numFmtId="0" fontId="5" fillId="0" borderId="189" xfId="2" applyNumberFormat="1" applyFont="1" applyFill="1" applyBorder="1" applyAlignment="1" applyProtection="1">
      <alignment horizontal="left" shrinkToFit="1"/>
      <protection locked="0"/>
    </xf>
    <xf numFmtId="0" fontId="5" fillId="0" borderId="189" xfId="2" applyFont="1" applyFill="1" applyBorder="1" applyAlignment="1" applyProtection="1">
      <alignment horizontal="left" shrinkToFit="1"/>
    </xf>
    <xf numFmtId="0" fontId="5" fillId="0" borderId="192" xfId="2" applyNumberFormat="1" applyFont="1" applyFill="1" applyBorder="1" applyAlignment="1" applyProtection="1">
      <alignment shrinkToFit="1"/>
      <protection locked="0"/>
    </xf>
    <xf numFmtId="193" fontId="5" fillId="0" borderId="303" xfId="12" applyNumberFormat="1" applyFont="1" applyFill="1" applyBorder="1" applyAlignment="1" applyProtection="1">
      <alignment shrinkToFit="1"/>
    </xf>
    <xf numFmtId="0" fontId="5" fillId="0" borderId="128" xfId="2" applyNumberFormat="1" applyFont="1" applyFill="1" applyBorder="1" applyAlignment="1" applyProtection="1">
      <alignment shrinkToFit="1"/>
      <protection locked="0"/>
    </xf>
    <xf numFmtId="193" fontId="5" fillId="0" borderId="129" xfId="12" applyNumberFormat="1" applyFont="1" applyFill="1" applyBorder="1" applyAlignment="1" applyProtection="1">
      <alignment shrinkToFit="1"/>
    </xf>
    <xf numFmtId="183" fontId="5" fillId="13" borderId="304" xfId="2" applyNumberFormat="1" applyFont="1" applyFill="1" applyBorder="1" applyAlignment="1" applyProtection="1">
      <alignment horizontal="center" wrapText="1" shrinkToFit="1"/>
      <protection locked="0"/>
    </xf>
    <xf numFmtId="183" fontId="5" fillId="13" borderId="305" xfId="2" applyNumberFormat="1" applyFont="1" applyFill="1" applyBorder="1" applyAlignment="1" applyProtection="1">
      <alignment horizontal="center" wrapText="1" shrinkToFit="1"/>
      <protection locked="0"/>
    </xf>
    <xf numFmtId="183" fontId="5" fillId="14" borderId="198" xfId="2" applyNumberFormat="1" applyFont="1" applyFill="1" applyBorder="1" applyAlignment="1" applyProtection="1">
      <alignment horizontal="center" wrapText="1" shrinkToFit="1"/>
      <protection locked="0"/>
    </xf>
    <xf numFmtId="183" fontId="5" fillId="14" borderId="305" xfId="2" applyNumberFormat="1" applyFont="1" applyFill="1" applyBorder="1" applyAlignment="1" applyProtection="1">
      <alignment horizontal="center" wrapText="1" shrinkToFit="1"/>
      <protection locked="0"/>
    </xf>
    <xf numFmtId="183" fontId="5" fillId="15" borderId="198" xfId="2" applyNumberFormat="1" applyFont="1" applyFill="1" applyBorder="1" applyAlignment="1" applyProtection="1">
      <alignment horizontal="center" wrapText="1" shrinkToFit="1"/>
      <protection locked="0"/>
    </xf>
    <xf numFmtId="183" fontId="5" fillId="15" borderId="305" xfId="2" applyNumberFormat="1" applyFont="1" applyFill="1" applyBorder="1" applyAlignment="1" applyProtection="1">
      <alignment horizontal="center" wrapText="1" shrinkToFit="1"/>
      <protection locked="0"/>
    </xf>
    <xf numFmtId="183" fontId="18" fillId="19" borderId="198" xfId="2" applyNumberFormat="1" applyFont="1" applyFill="1" applyBorder="1" applyAlignment="1" applyProtection="1">
      <alignment horizontal="center" wrapText="1" shrinkToFit="1"/>
      <protection locked="0"/>
    </xf>
    <xf numFmtId="183" fontId="18" fillId="19" borderId="305" xfId="2" applyNumberFormat="1" applyFont="1" applyFill="1" applyBorder="1" applyAlignment="1" applyProtection="1">
      <alignment horizontal="center" wrapText="1" shrinkToFit="1"/>
      <protection locked="0"/>
    </xf>
    <xf numFmtId="183" fontId="18" fillId="19" borderId="125" xfId="2" applyNumberFormat="1" applyFont="1" applyFill="1" applyBorder="1" applyAlignment="1" applyProtection="1">
      <alignment horizontal="center" wrapText="1" shrinkToFit="1"/>
      <protection locked="0"/>
    </xf>
    <xf numFmtId="207" fontId="5" fillId="0" borderId="133" xfId="2" applyNumberFormat="1" applyFont="1" applyFill="1" applyBorder="1" applyAlignment="1" applyProtection="1">
      <alignment horizontal="right" shrinkToFit="1"/>
    </xf>
    <xf numFmtId="0" fontId="5" fillId="0" borderId="79" xfId="2" applyFont="1" applyFill="1" applyBorder="1" applyAlignment="1" applyProtection="1">
      <alignment shrinkToFit="1"/>
    </xf>
    <xf numFmtId="200" fontId="5" fillId="0" borderId="79" xfId="2" applyNumberFormat="1" applyFont="1" applyFill="1" applyBorder="1" applyProtection="1"/>
    <xf numFmtId="231" fontId="5" fillId="0" borderId="79" xfId="2" applyNumberFormat="1" applyFont="1" applyFill="1" applyBorder="1" applyAlignment="1" applyProtection="1">
      <alignment horizontal="center" shrinkToFit="1"/>
    </xf>
    <xf numFmtId="0" fontId="5" fillId="0" borderId="79" xfId="2" applyFont="1" applyFill="1" applyBorder="1" applyAlignment="1" applyProtection="1">
      <alignment horizontal="left" shrinkToFit="1"/>
      <protection locked="0"/>
    </xf>
    <xf numFmtId="232" fontId="5" fillId="0" borderId="201"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shrinkToFit="1"/>
      <protection locked="0"/>
    </xf>
    <xf numFmtId="193" fontId="5" fillId="0" borderId="306" xfId="12" applyNumberFormat="1" applyFont="1" applyFill="1" applyBorder="1" applyAlignment="1" applyProtection="1">
      <alignment shrinkToFit="1"/>
    </xf>
    <xf numFmtId="232" fontId="5" fillId="0" borderId="68" xfId="2" applyNumberFormat="1" applyFont="1" applyFill="1" applyBorder="1" applyAlignment="1" applyProtection="1">
      <alignment shrinkToFit="1"/>
      <protection locked="0"/>
    </xf>
    <xf numFmtId="193" fontId="5" fillId="0" borderId="204" xfId="12" applyNumberFormat="1" applyFont="1" applyFill="1" applyBorder="1" applyAlignment="1" applyProtection="1">
      <alignment shrinkToFit="1"/>
    </xf>
    <xf numFmtId="233" fontId="5" fillId="0" borderId="68" xfId="2" applyNumberFormat="1" applyFont="1" applyFill="1" applyBorder="1" applyAlignment="1" applyProtection="1">
      <alignment horizontal="right" shrinkToFit="1"/>
      <protection locked="0"/>
    </xf>
    <xf numFmtId="183" fontId="5" fillId="13" borderId="179" xfId="2" applyNumberFormat="1" applyFont="1" applyFill="1" applyBorder="1" applyAlignment="1" applyProtection="1">
      <alignment horizontal="center" wrapText="1" shrinkToFit="1"/>
      <protection locked="0"/>
    </xf>
    <xf numFmtId="183" fontId="5" fillId="13" borderId="206" xfId="2" applyNumberFormat="1" applyFont="1" applyFill="1" applyBorder="1" applyAlignment="1" applyProtection="1">
      <alignment horizontal="center" wrapText="1" shrinkToFit="1"/>
      <protection locked="0"/>
    </xf>
    <xf numFmtId="183" fontId="5" fillId="14" borderId="157" xfId="2" applyNumberFormat="1" applyFont="1" applyFill="1" applyBorder="1" applyAlignment="1" applyProtection="1">
      <alignment horizontal="center" wrapText="1" shrinkToFit="1"/>
      <protection locked="0"/>
    </xf>
    <xf numFmtId="183" fontId="5" fillId="14" borderId="206" xfId="2" applyNumberFormat="1" applyFont="1" applyFill="1" applyBorder="1" applyAlignment="1" applyProtection="1">
      <alignment horizontal="center" wrapText="1" shrinkToFit="1"/>
      <protection locked="0"/>
    </xf>
    <xf numFmtId="183" fontId="5" fillId="15" borderId="157" xfId="2" applyNumberFormat="1" applyFont="1" applyFill="1" applyBorder="1" applyAlignment="1" applyProtection="1">
      <alignment horizontal="center" wrapText="1" shrinkToFit="1"/>
      <protection locked="0"/>
    </xf>
    <xf numFmtId="183" fontId="5" fillId="15" borderId="206" xfId="2" applyNumberFormat="1" applyFont="1" applyFill="1" applyBorder="1" applyAlignment="1" applyProtection="1">
      <alignment horizontal="center" wrapText="1" shrinkToFit="1"/>
      <protection locked="0"/>
    </xf>
    <xf numFmtId="183" fontId="18" fillId="19" borderId="157" xfId="2" applyNumberFormat="1" applyFont="1" applyFill="1" applyBorder="1" applyAlignment="1" applyProtection="1">
      <alignment horizontal="center" wrapText="1" shrinkToFit="1"/>
      <protection locked="0"/>
    </xf>
    <xf numFmtId="183" fontId="18" fillId="19" borderId="206" xfId="2" applyNumberFormat="1" applyFont="1" applyFill="1" applyBorder="1" applyAlignment="1" applyProtection="1">
      <alignment horizontal="center" wrapText="1" shrinkToFit="1"/>
      <protection locked="0"/>
    </xf>
    <xf numFmtId="183" fontId="18" fillId="19" borderId="38" xfId="2" applyNumberFormat="1" applyFont="1" applyFill="1" applyBorder="1" applyAlignment="1" applyProtection="1">
      <alignment horizontal="center" wrapText="1" shrinkToFit="1"/>
      <protection locked="0"/>
    </xf>
    <xf numFmtId="202" fontId="5" fillId="0" borderId="133" xfId="2" applyNumberFormat="1" applyFont="1" applyFill="1" applyBorder="1" applyAlignment="1" applyProtection="1"/>
    <xf numFmtId="0" fontId="5" fillId="18" borderId="116" xfId="2" applyFont="1" applyFill="1" applyBorder="1" applyAlignment="1" applyProtection="1">
      <alignment horizontal="center" vertical="center" textRotation="255" wrapText="1"/>
    </xf>
    <xf numFmtId="0" fontId="5" fillId="0" borderId="0" xfId="2" applyFont="1" applyFill="1" applyBorder="1" applyAlignment="1" applyProtection="1">
      <alignment shrinkToFit="1"/>
      <protection locked="0"/>
    </xf>
    <xf numFmtId="0" fontId="5" fillId="0" borderId="0" xfId="2" applyFont="1" applyFill="1" applyBorder="1" applyAlignment="1" applyProtection="1">
      <alignment horizontal="left" shrinkToFit="1"/>
    </xf>
    <xf numFmtId="0" fontId="5" fillId="0" borderId="255" xfId="2" applyNumberFormat="1" applyFont="1" applyFill="1" applyBorder="1" applyAlignment="1" applyProtection="1">
      <alignment shrinkToFit="1"/>
      <protection locked="0"/>
    </xf>
    <xf numFmtId="193" fontId="5" fillId="0" borderId="307" xfId="12" applyNumberFormat="1" applyFont="1" applyFill="1" applyBorder="1" applyAlignment="1" applyProtection="1">
      <alignment shrinkToFit="1"/>
    </xf>
    <xf numFmtId="0" fontId="5" fillId="0" borderId="40" xfId="2" applyNumberFormat="1" applyFont="1" applyFill="1" applyBorder="1" applyAlignment="1" applyProtection="1">
      <alignment shrinkToFit="1"/>
      <protection locked="0"/>
    </xf>
    <xf numFmtId="193" fontId="5" fillId="0" borderId="38" xfId="12" applyNumberFormat="1" applyFont="1" applyFill="1" applyBorder="1" applyAlignment="1" applyProtection="1">
      <alignment shrinkToFit="1"/>
    </xf>
    <xf numFmtId="2" fontId="5" fillId="3" borderId="8" xfId="2" applyNumberFormat="1" applyFont="1" applyFill="1" applyBorder="1" applyAlignment="1" applyProtection="1">
      <alignment horizontal="center" vertical="center"/>
    </xf>
    <xf numFmtId="2" fontId="5" fillId="3" borderId="9" xfId="2" applyNumberFormat="1" applyFont="1" applyFill="1" applyBorder="1" applyAlignment="1" applyProtection="1">
      <alignment horizontal="center" vertical="center" wrapText="1"/>
    </xf>
    <xf numFmtId="2" fontId="5" fillId="3" borderId="9" xfId="2" applyNumberFormat="1" applyFont="1" applyFill="1" applyBorder="1" applyAlignment="1" applyProtection="1">
      <alignment horizontal="center" vertical="center"/>
    </xf>
    <xf numFmtId="2" fontId="5" fillId="3" borderId="6" xfId="2" applyNumberFormat="1" applyFont="1" applyFill="1" applyBorder="1" applyAlignment="1" applyProtection="1">
      <alignment horizontal="center" vertical="center" wrapText="1"/>
    </xf>
    <xf numFmtId="2" fontId="5" fillId="3" borderId="7" xfId="2" applyNumberFormat="1" applyFont="1" applyFill="1" applyBorder="1" applyAlignment="1" applyProtection="1">
      <alignment horizontal="center" vertical="center" wrapText="1"/>
    </xf>
    <xf numFmtId="0" fontId="18" fillId="0" borderId="0" xfId="2" applyFont="1" applyFill="1" applyBorder="1" applyAlignment="1" applyProtection="1">
      <alignment vertical="center"/>
    </xf>
    <xf numFmtId="3" fontId="5" fillId="0" borderId="133" xfId="12" applyNumberFormat="1" applyFont="1" applyFill="1" applyBorder="1" applyAlignment="1" applyProtection="1">
      <alignment horizontal="center" shrinkToFit="1"/>
    </xf>
    <xf numFmtId="0" fontId="18" fillId="0" borderId="308" xfId="2" applyFont="1" applyFill="1" applyBorder="1" applyAlignment="1" applyProtection="1">
      <alignment horizontal="left" indent="1"/>
    </xf>
    <xf numFmtId="0" fontId="18" fillId="0" borderId="309" xfId="2" applyFont="1" applyFill="1" applyBorder="1" applyProtection="1"/>
    <xf numFmtId="0" fontId="18" fillId="0" borderId="310" xfId="2" applyFont="1" applyFill="1" applyBorder="1" applyProtection="1"/>
    <xf numFmtId="0" fontId="18" fillId="0" borderId="310" xfId="2" applyFont="1" applyFill="1" applyBorder="1" applyAlignment="1" applyProtection="1"/>
    <xf numFmtId="0" fontId="18" fillId="0" borderId="311" xfId="2" applyFont="1" applyFill="1" applyBorder="1" applyAlignment="1" applyProtection="1">
      <alignment horizontal="right" shrinkToFit="1"/>
    </xf>
    <xf numFmtId="3" fontId="18" fillId="0" borderId="310" xfId="12" applyNumberFormat="1" applyFont="1" applyFill="1" applyBorder="1" applyAlignment="1" applyProtection="1">
      <alignment horizontal="right" shrinkToFit="1"/>
    </xf>
    <xf numFmtId="0" fontId="18" fillId="0" borderId="312" xfId="2" applyFont="1" applyFill="1" applyBorder="1" applyAlignment="1" applyProtection="1">
      <alignment horizontal="right" shrinkToFit="1"/>
    </xf>
    <xf numFmtId="0" fontId="18" fillId="0" borderId="312" xfId="2" applyFont="1" applyFill="1" applyBorder="1" applyAlignment="1" applyProtection="1">
      <alignment shrinkToFit="1"/>
    </xf>
    <xf numFmtId="3" fontId="18" fillId="0" borderId="313" xfId="12" applyNumberFormat="1" applyFont="1" applyFill="1" applyBorder="1" applyAlignment="1" applyProtection="1">
      <alignment shrinkToFit="1"/>
    </xf>
    <xf numFmtId="0" fontId="18" fillId="0" borderId="314" xfId="2" applyFont="1" applyFill="1" applyBorder="1" applyAlignment="1" applyProtection="1">
      <alignment shrinkToFit="1"/>
    </xf>
    <xf numFmtId="3" fontId="18" fillId="0" borderId="315" xfId="12" applyNumberFormat="1" applyFont="1" applyFill="1" applyBorder="1" applyAlignment="1" applyProtection="1">
      <alignment shrinkToFit="1"/>
    </xf>
    <xf numFmtId="183" fontId="18" fillId="0" borderId="311" xfId="2" applyNumberFormat="1" applyFont="1" applyFill="1" applyBorder="1" applyAlignment="1" applyProtection="1">
      <alignment horizontal="right" shrinkToFit="1"/>
    </xf>
    <xf numFmtId="0" fontId="18" fillId="0" borderId="314" xfId="2" applyFont="1" applyFill="1" applyBorder="1" applyAlignment="1" applyProtection="1">
      <alignment horizontal="right" shrinkToFit="1"/>
    </xf>
    <xf numFmtId="183" fontId="18" fillId="0" borderId="312" xfId="2" applyNumberFormat="1" applyFont="1" applyFill="1" applyBorder="1" applyAlignment="1" applyProtection="1">
      <alignment horizontal="right" shrinkToFit="1"/>
    </xf>
    <xf numFmtId="3" fontId="18" fillId="0" borderId="316" xfId="12" applyNumberFormat="1" applyFont="1" applyFill="1" applyBorder="1" applyAlignment="1" applyProtection="1">
      <alignment horizontal="right" shrinkToFit="1"/>
    </xf>
    <xf numFmtId="183" fontId="5" fillId="0" borderId="311" xfId="2" applyNumberFormat="1" applyFont="1" applyFill="1" applyBorder="1" applyAlignment="1" applyProtection="1">
      <alignment horizontal="center" wrapText="1" shrinkToFit="1"/>
      <protection locked="0"/>
    </xf>
    <xf numFmtId="3" fontId="5" fillId="0" borderId="317" xfId="2" applyNumberFormat="1" applyFont="1" applyFill="1" applyBorder="1" applyAlignment="1" applyProtection="1">
      <alignment wrapText="1" shrinkToFit="1"/>
      <protection locked="0"/>
    </xf>
    <xf numFmtId="183" fontId="5" fillId="0" borderId="312" xfId="2" applyNumberFormat="1" applyFont="1" applyFill="1" applyBorder="1" applyAlignment="1" applyProtection="1">
      <alignment horizontal="center" wrapText="1" shrinkToFit="1"/>
      <protection locked="0"/>
    </xf>
    <xf numFmtId="183" fontId="18" fillId="0" borderId="312" xfId="2" applyNumberFormat="1" applyFont="1" applyFill="1" applyBorder="1" applyAlignment="1" applyProtection="1">
      <alignment horizontal="center" shrinkToFit="1"/>
      <protection locked="0"/>
    </xf>
    <xf numFmtId="3" fontId="18" fillId="0" borderId="317" xfId="2" applyNumberFormat="1" applyFont="1" applyFill="1" applyBorder="1" applyAlignment="1" applyProtection="1">
      <alignment wrapText="1" shrinkToFit="1"/>
      <protection locked="0"/>
    </xf>
    <xf numFmtId="3" fontId="18" fillId="0" borderId="315" xfId="2" applyNumberFormat="1" applyFont="1" applyFill="1" applyBorder="1" applyAlignment="1" applyProtection="1">
      <alignment wrapText="1" shrinkToFit="1"/>
      <protection locked="0"/>
    </xf>
    <xf numFmtId="2" fontId="5" fillId="3" borderId="318" xfId="2" applyNumberFormat="1" applyFont="1" applyFill="1" applyBorder="1" applyAlignment="1" applyProtection="1">
      <alignment horizontal="center" vertical="center"/>
    </xf>
    <xf numFmtId="2" fontId="5" fillId="3" borderId="50" xfId="2" applyNumberFormat="1" applyFont="1" applyFill="1" applyBorder="1" applyAlignment="1" applyProtection="1">
      <alignment horizontal="center" vertical="center"/>
    </xf>
    <xf numFmtId="2" fontId="5" fillId="3" borderId="15" xfId="2" applyNumberFormat="1" applyFont="1" applyFill="1" applyBorder="1" applyAlignment="1" applyProtection="1">
      <alignment horizontal="center" vertical="center" wrapText="1"/>
    </xf>
    <xf numFmtId="2" fontId="5" fillId="3" borderId="16" xfId="2" applyNumberFormat="1" applyFont="1" applyFill="1" applyBorder="1" applyAlignment="1" applyProtection="1">
      <alignment horizontal="center" vertical="center" wrapText="1"/>
    </xf>
    <xf numFmtId="1" fontId="18" fillId="0" borderId="0" xfId="2" applyNumberFormat="1" applyFont="1" applyFill="1" applyBorder="1" applyAlignment="1" applyProtection="1">
      <alignment vertical="center"/>
    </xf>
    <xf numFmtId="0" fontId="18" fillId="20" borderId="319" xfId="2" applyFont="1" applyFill="1" applyBorder="1" applyAlignment="1" applyProtection="1">
      <alignment horizontal="left" indent="1"/>
    </xf>
    <xf numFmtId="0" fontId="18" fillId="20" borderId="320" xfId="2" applyFont="1" applyFill="1" applyBorder="1" applyProtection="1"/>
    <xf numFmtId="0" fontId="18" fillId="20" borderId="321" xfId="2" applyFont="1" applyFill="1" applyBorder="1" applyProtection="1"/>
    <xf numFmtId="0" fontId="18" fillId="20" borderId="321" xfId="2" applyFont="1" applyFill="1" applyBorder="1" applyAlignment="1" applyProtection="1"/>
    <xf numFmtId="0" fontId="18" fillId="20" borderId="321" xfId="2" applyFont="1" applyFill="1" applyBorder="1" applyAlignment="1" applyProtection="1">
      <alignment horizontal="right"/>
    </xf>
    <xf numFmtId="1" fontId="18" fillId="20" borderId="322"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horizontal="right" shrinkToFit="1"/>
    </xf>
    <xf numFmtId="1" fontId="18" fillId="20" borderId="323" xfId="2" applyNumberFormat="1" applyFont="1" applyFill="1" applyBorder="1" applyAlignment="1" applyProtection="1">
      <alignment horizontal="right" shrinkToFit="1"/>
    </xf>
    <xf numFmtId="1" fontId="18" fillId="20" borderId="323" xfId="2" applyNumberFormat="1" applyFont="1" applyFill="1" applyBorder="1" applyAlignment="1" applyProtection="1">
      <alignment shrinkToFit="1"/>
    </xf>
    <xf numFmtId="3" fontId="18" fillId="20" borderId="324" xfId="12" applyNumberFormat="1" applyFont="1" applyFill="1" applyBorder="1" applyAlignment="1" applyProtection="1">
      <alignment shrinkToFit="1"/>
    </xf>
    <xf numFmtId="1" fontId="18" fillId="20" borderId="325" xfId="2" applyNumberFormat="1" applyFont="1" applyFill="1" applyBorder="1" applyAlignment="1" applyProtection="1">
      <alignment shrinkToFit="1"/>
    </xf>
    <xf numFmtId="3" fontId="18" fillId="20" borderId="326" xfId="12" applyNumberFormat="1" applyFont="1" applyFill="1" applyBorder="1" applyAlignment="1" applyProtection="1">
      <alignment shrinkToFit="1"/>
    </xf>
    <xf numFmtId="183" fontId="18" fillId="20" borderId="322" xfId="2" applyNumberFormat="1" applyFont="1" applyFill="1" applyBorder="1" applyAlignment="1" applyProtection="1">
      <alignment horizontal="right" shrinkToFit="1"/>
    </xf>
    <xf numFmtId="1" fontId="18" fillId="20" borderId="325" xfId="2" applyNumberFormat="1" applyFont="1" applyFill="1" applyBorder="1" applyAlignment="1" applyProtection="1">
      <alignment horizontal="right" shrinkToFit="1"/>
    </xf>
    <xf numFmtId="183" fontId="18" fillId="20" borderId="281" xfId="2" applyNumberFormat="1" applyFont="1" applyFill="1" applyBorder="1" applyAlignment="1" applyProtection="1">
      <alignment horizontal="right" shrinkToFit="1"/>
    </xf>
    <xf numFmtId="3" fontId="18" fillId="20" borderId="327" xfId="12" applyNumberFormat="1" applyFont="1" applyFill="1" applyBorder="1" applyAlignment="1" applyProtection="1">
      <alignment horizontal="right" shrinkToFit="1"/>
    </xf>
    <xf numFmtId="183" fontId="18" fillId="20" borderId="325"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wrapText="1" shrinkToFit="1"/>
    </xf>
    <xf numFmtId="183" fontId="18" fillId="20" borderId="323" xfId="2" applyNumberFormat="1" applyFont="1" applyFill="1" applyBorder="1" applyAlignment="1" applyProtection="1">
      <alignment horizontal="right" shrinkToFit="1"/>
    </xf>
    <xf numFmtId="183" fontId="18" fillId="20" borderId="323" xfId="2" applyNumberFormat="1" applyFont="1" applyFill="1" applyBorder="1" applyAlignment="1" applyProtection="1">
      <alignment horizontal="center" shrinkToFit="1"/>
    </xf>
    <xf numFmtId="3" fontId="18" fillId="20" borderId="326" xfId="12" applyNumberFormat="1" applyFont="1" applyFill="1" applyBorder="1" applyAlignment="1" applyProtection="1">
      <alignment wrapText="1" shrinkToFit="1"/>
    </xf>
    <xf numFmtId="202" fontId="5" fillId="0" borderId="11" xfId="2" applyNumberFormat="1" applyFont="1" applyFill="1" applyBorder="1" applyAlignment="1" applyProtection="1">
      <alignment vertical="center"/>
    </xf>
    <xf numFmtId="0" fontId="5" fillId="0" borderId="12" xfId="2" applyNumberFormat="1" applyFont="1" applyFill="1" applyBorder="1" applyAlignment="1" applyProtection="1">
      <alignment vertical="center"/>
      <protection locked="0"/>
    </xf>
    <xf numFmtId="234" fontId="5" fillId="0" borderId="12" xfId="12" applyNumberFormat="1" applyFont="1" applyFill="1" applyBorder="1" applyAlignment="1" applyProtection="1">
      <alignment vertical="center"/>
    </xf>
    <xf numFmtId="226" fontId="5" fillId="0" borderId="12" xfId="12" applyNumberFormat="1" applyFont="1" applyFill="1" applyBorder="1" applyAlignment="1" applyProtection="1">
      <alignment vertical="center"/>
    </xf>
    <xf numFmtId="226" fontId="5" fillId="0" borderId="13" xfId="2" applyNumberFormat="1" applyFont="1" applyFill="1" applyBorder="1" applyAlignment="1" applyProtection="1">
      <alignment vertical="center"/>
    </xf>
    <xf numFmtId="0" fontId="5" fillId="20" borderId="328" xfId="2" applyFont="1" applyFill="1" applyBorder="1" applyAlignment="1" applyProtection="1">
      <alignment horizontal="left" indent="1"/>
    </xf>
    <xf numFmtId="0" fontId="5" fillId="20" borderId="329" xfId="2" applyFont="1" applyFill="1" applyBorder="1" applyProtection="1"/>
    <xf numFmtId="0" fontId="5" fillId="20" borderId="182" xfId="2" applyFont="1" applyFill="1" applyBorder="1" applyProtection="1"/>
    <xf numFmtId="0" fontId="5" fillId="20" borderId="182" xfId="2" applyFont="1" applyFill="1" applyBorder="1" applyAlignment="1" applyProtection="1">
      <alignment horizontal="right"/>
    </xf>
    <xf numFmtId="0" fontId="5" fillId="20" borderId="182" xfId="2" applyFont="1" applyFill="1" applyBorder="1" applyAlignment="1" applyProtection="1"/>
    <xf numFmtId="38" fontId="5" fillId="20" borderId="182" xfId="12" applyFont="1" applyFill="1" applyBorder="1" applyAlignment="1" applyProtection="1">
      <alignment horizontal="centerContinuous"/>
    </xf>
    <xf numFmtId="3" fontId="5" fillId="20" borderId="330" xfId="2" applyNumberFormat="1" applyFont="1" applyFill="1" applyBorder="1" applyAlignment="1" applyProtection="1">
      <alignment horizontal="right" shrinkToFit="1"/>
    </xf>
    <xf numFmtId="207" fontId="5" fillId="20" borderId="331" xfId="2" applyNumberFormat="1" applyFont="1" applyFill="1" applyBorder="1" applyAlignment="1" applyProtection="1">
      <alignment horizontal="right" shrinkToFit="1"/>
    </xf>
    <xf numFmtId="0" fontId="5" fillId="20" borderId="162" xfId="2" applyFont="1" applyFill="1" applyBorder="1" applyAlignment="1" applyProtection="1">
      <alignment horizontal="right" shrinkToFit="1"/>
    </xf>
    <xf numFmtId="207" fontId="5" fillId="20" borderId="332" xfId="2" applyNumberFormat="1" applyFont="1" applyFill="1" applyBorder="1" applyAlignment="1" applyProtection="1">
      <alignment horizontal="right" shrinkToFit="1"/>
    </xf>
    <xf numFmtId="183" fontId="5" fillId="20" borderId="330" xfId="2" applyNumberFormat="1" applyFont="1" applyFill="1" applyBorder="1" applyAlignment="1" applyProtection="1">
      <alignment horizontal="right" shrinkToFit="1"/>
    </xf>
    <xf numFmtId="183" fontId="5" fillId="20" borderId="162" xfId="2" applyNumberFormat="1" applyFont="1" applyFill="1" applyBorder="1" applyAlignment="1" applyProtection="1">
      <alignment horizontal="right" shrinkToFit="1"/>
    </xf>
    <xf numFmtId="207" fontId="5" fillId="20" borderId="333" xfId="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xf>
    <xf numFmtId="202" fontId="18" fillId="0" borderId="0" xfId="2" applyNumberFormat="1" applyFont="1" applyFill="1" applyBorder="1" applyAlignment="1" applyProtection="1">
      <alignment vertical="center"/>
      <protection locked="0"/>
    </xf>
    <xf numFmtId="207" fontId="18" fillId="0" borderId="0" xfId="2" applyNumberFormat="1" applyFont="1" applyFill="1" applyBorder="1" applyAlignment="1" applyProtection="1">
      <alignment vertical="center"/>
      <protection locked="0"/>
    </xf>
    <xf numFmtId="0" fontId="18" fillId="0" borderId="0" xfId="2" applyNumberFormat="1" applyFont="1" applyFill="1" applyBorder="1" applyAlignment="1" applyProtection="1">
      <alignment vertical="center"/>
      <protection locked="0"/>
    </xf>
    <xf numFmtId="0" fontId="5" fillId="0" borderId="0" xfId="2" applyFont="1" applyFill="1" applyAlignment="1" applyProtection="1">
      <alignment horizontal="right"/>
      <protection locked="0"/>
    </xf>
    <xf numFmtId="0" fontId="5" fillId="0" borderId="38" xfId="2" applyFont="1" applyFill="1" applyBorder="1" applyProtection="1">
      <protection locked="0"/>
    </xf>
    <xf numFmtId="202" fontId="5" fillId="0" borderId="11" xfId="2" applyNumberFormat="1" applyFont="1" applyFill="1" applyBorder="1" applyAlignment="1" applyProtection="1">
      <alignment vertical="center"/>
      <protection locked="0"/>
    </xf>
    <xf numFmtId="0" fontId="5" fillId="0" borderId="12" xfId="2" applyFont="1" applyFill="1" applyBorder="1" applyAlignment="1" applyProtection="1">
      <alignment vertical="center"/>
      <protection locked="0"/>
    </xf>
    <xf numFmtId="2" fontId="18" fillId="0" borderId="0" xfId="2" applyNumberFormat="1" applyFont="1" applyFill="1" applyBorder="1" applyAlignment="1" applyProtection="1">
      <alignment vertical="center" shrinkToFit="1"/>
    </xf>
    <xf numFmtId="193" fontId="18" fillId="0" borderId="0" xfId="12" applyNumberFormat="1" applyFont="1" applyFill="1" applyBorder="1" applyAlignment="1" applyProtection="1">
      <alignment vertical="center"/>
    </xf>
    <xf numFmtId="0" fontId="5" fillId="3" borderId="75" xfId="2" applyFont="1" applyFill="1" applyBorder="1" applyAlignment="1" applyProtection="1">
      <alignment horizontal="left" vertical="center" wrapText="1" indent="1"/>
      <protection locked="0"/>
    </xf>
    <xf numFmtId="0" fontId="5" fillId="3" borderId="34" xfId="2" applyFont="1" applyFill="1" applyBorder="1" applyAlignment="1" applyProtection="1">
      <alignment horizontal="left" vertical="center" indent="1"/>
      <protection locked="0"/>
    </xf>
    <xf numFmtId="0" fontId="5" fillId="3" borderId="34" xfId="2" applyFont="1" applyFill="1" applyBorder="1" applyAlignment="1" applyProtection="1">
      <alignment vertical="center"/>
      <protection locked="0"/>
    </xf>
    <xf numFmtId="0" fontId="5" fillId="3" borderId="334" xfId="2" applyFont="1" applyFill="1" applyBorder="1" applyAlignment="1" applyProtection="1">
      <alignment vertical="center"/>
      <protection locked="0"/>
    </xf>
    <xf numFmtId="183" fontId="5" fillId="3" borderId="335" xfId="2" applyNumberFormat="1" applyFont="1" applyFill="1" applyBorder="1" applyAlignment="1" applyProtection="1">
      <alignment horizontal="centerContinuous"/>
      <protection locked="0"/>
    </xf>
    <xf numFmtId="202" fontId="5" fillId="3" borderId="336" xfId="2" applyNumberFormat="1" applyFont="1" applyFill="1" applyBorder="1" applyAlignment="1" applyProtection="1">
      <alignment horizontal="centerContinuous"/>
    </xf>
    <xf numFmtId="183" fontId="5" fillId="3" borderId="337" xfId="2" applyNumberFormat="1" applyFont="1" applyFill="1" applyBorder="1" applyAlignment="1" applyProtection="1">
      <alignment horizontal="centerContinuous"/>
      <protection locked="0"/>
    </xf>
    <xf numFmtId="202" fontId="5" fillId="3" borderId="338" xfId="2" applyNumberFormat="1" applyFont="1" applyFill="1" applyBorder="1" applyAlignment="1" applyProtection="1">
      <alignment horizontal="centerContinuous"/>
    </xf>
    <xf numFmtId="202" fontId="5" fillId="16" borderId="339" xfId="2" applyNumberFormat="1" applyFont="1" applyFill="1" applyBorder="1" applyAlignment="1" applyProtection="1">
      <alignment horizontal="centerContinuous"/>
      <protection locked="0"/>
    </xf>
    <xf numFmtId="202" fontId="5" fillId="16" borderId="22" xfId="2" applyNumberFormat="1" applyFont="1" applyFill="1" applyBorder="1" applyAlignment="1" applyProtection="1">
      <alignment horizontal="centerContinuous"/>
      <protection locked="0"/>
    </xf>
    <xf numFmtId="202" fontId="5" fillId="16" borderId="340" xfId="2" applyNumberFormat="1" applyFont="1" applyFill="1" applyBorder="1" applyAlignment="1" applyProtection="1">
      <alignment horizontal="centerContinuous"/>
      <protection locked="0"/>
    </xf>
    <xf numFmtId="202" fontId="5" fillId="17" borderId="341" xfId="2" applyNumberFormat="1" applyFont="1" applyFill="1" applyBorder="1" applyAlignment="1" applyProtection="1">
      <alignment horizontal="centerContinuous"/>
      <protection locked="0"/>
    </xf>
    <xf numFmtId="202" fontId="5" fillId="17" borderId="22" xfId="2" applyNumberFormat="1" applyFont="1" applyFill="1" applyBorder="1" applyAlignment="1" applyProtection="1">
      <alignment horizontal="centerContinuous"/>
      <protection locked="0"/>
    </xf>
    <xf numFmtId="202" fontId="5" fillId="17" borderId="342"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xf>
    <xf numFmtId="202" fontId="5" fillId="14" borderId="337" xfId="2" applyNumberFormat="1" applyFont="1" applyFill="1" applyBorder="1" applyAlignment="1" applyProtection="1">
      <alignment horizontal="centerContinuous"/>
      <protection locked="0"/>
    </xf>
    <xf numFmtId="202" fontId="5" fillId="14" borderId="336" xfId="2" applyNumberFormat="1" applyFont="1" applyFill="1" applyBorder="1" applyAlignment="1" applyProtection="1">
      <alignment horizontal="centerContinuous"/>
    </xf>
    <xf numFmtId="202" fontId="5" fillId="15" borderId="337" xfId="2" applyNumberFormat="1" applyFont="1" applyFill="1" applyBorder="1" applyAlignment="1" applyProtection="1">
      <alignment horizontal="centerContinuous"/>
      <protection locked="0"/>
    </xf>
    <xf numFmtId="202" fontId="5" fillId="15" borderId="336" xfId="2" applyNumberFormat="1" applyFont="1" applyFill="1" applyBorder="1" applyAlignment="1" applyProtection="1">
      <alignment horizontal="centerContinuous"/>
    </xf>
    <xf numFmtId="202" fontId="5" fillId="3" borderId="337" xfId="2" applyNumberFormat="1" applyFont="1" applyFill="1" applyBorder="1" applyAlignment="1" applyProtection="1">
      <alignment horizontal="centerContinuous"/>
      <protection locked="0"/>
    </xf>
    <xf numFmtId="0" fontId="5" fillId="3" borderId="96" xfId="2" applyFont="1" applyFill="1" applyBorder="1" applyAlignment="1" applyProtection="1">
      <alignment horizontal="left" vertical="center" indent="1"/>
      <protection locked="0"/>
    </xf>
    <xf numFmtId="0" fontId="5" fillId="3" borderId="0" xfId="2" applyFont="1" applyFill="1" applyBorder="1" applyAlignment="1" applyProtection="1">
      <alignment horizontal="left" vertical="center" indent="1"/>
      <protection locked="0"/>
    </xf>
    <xf numFmtId="0" fontId="5" fillId="3" borderId="0" xfId="2" applyFont="1" applyFill="1" applyBorder="1" applyAlignment="1" applyProtection="1">
      <alignment vertical="center"/>
      <protection locked="0"/>
    </xf>
    <xf numFmtId="0" fontId="5" fillId="3" borderId="257" xfId="2" applyFont="1" applyFill="1" applyBorder="1" applyAlignment="1" applyProtection="1">
      <alignment vertical="center"/>
      <protection locked="0"/>
    </xf>
    <xf numFmtId="177" fontId="5" fillId="3" borderId="254" xfId="2" applyNumberFormat="1" applyFont="1" applyFill="1" applyBorder="1" applyAlignment="1" applyProtection="1">
      <alignment horizontal="center" vertical="center" shrinkToFit="1"/>
    </xf>
    <xf numFmtId="3" fontId="5" fillId="3" borderId="206" xfId="12" applyNumberFormat="1" applyFont="1" applyFill="1" applyBorder="1" applyAlignment="1" applyProtection="1">
      <alignment horizontal="center" vertical="center" shrinkToFit="1"/>
    </xf>
    <xf numFmtId="177" fontId="5" fillId="3" borderId="343" xfId="2" applyNumberFormat="1" applyFont="1" applyFill="1" applyBorder="1" applyAlignment="1" applyProtection="1">
      <alignment horizontal="center" vertical="center" shrinkToFit="1"/>
    </xf>
    <xf numFmtId="177" fontId="5" fillId="3" borderId="40" xfId="2" applyNumberFormat="1" applyFont="1" applyFill="1" applyBorder="1" applyAlignment="1" applyProtection="1">
      <alignment horizontal="center" vertical="center" shrinkToFit="1"/>
    </xf>
    <xf numFmtId="3" fontId="5" fillId="3" borderId="38" xfId="12" applyNumberFormat="1" applyFont="1" applyFill="1" applyBorder="1" applyAlignment="1" applyProtection="1">
      <alignment horizontal="center" vertical="center" shrinkToFit="1"/>
    </xf>
    <xf numFmtId="183" fontId="5" fillId="3" borderId="254" xfId="2" applyNumberFormat="1" applyFont="1" applyFill="1" applyBorder="1" applyAlignment="1" applyProtection="1">
      <alignment horizontal="center" vertical="center" shrinkToFit="1"/>
    </xf>
    <xf numFmtId="183" fontId="5" fillId="3" borderId="343" xfId="2" applyNumberFormat="1" applyFont="1" applyFill="1" applyBorder="1" applyAlignment="1" applyProtection="1">
      <alignment horizontal="center" vertical="center" shrinkToFit="1"/>
    </xf>
    <xf numFmtId="3" fontId="5" fillId="3" borderId="257" xfId="12" applyNumberFormat="1" applyFont="1" applyFill="1" applyBorder="1" applyAlignment="1" applyProtection="1">
      <alignment horizontal="center" vertical="center" shrinkToFit="1"/>
    </xf>
    <xf numFmtId="183" fontId="5" fillId="3" borderId="40" xfId="2" applyNumberFormat="1" applyFont="1" applyFill="1" applyBorder="1" applyAlignment="1" applyProtection="1">
      <alignment horizontal="center" vertical="center" shrinkToFit="1"/>
    </xf>
    <xf numFmtId="0" fontId="5" fillId="0" borderId="76" xfId="2" applyFont="1" applyFill="1" applyBorder="1" applyAlignment="1" applyProtection="1">
      <alignment horizontal="left" indent="2"/>
    </xf>
    <xf numFmtId="0" fontId="5" fillId="0" borderId="77" xfId="2" applyFont="1" applyFill="1" applyBorder="1" applyAlignment="1" applyProtection="1"/>
    <xf numFmtId="235" fontId="5" fillId="0" borderId="77" xfId="2" applyNumberFormat="1" applyFont="1" applyFill="1" applyBorder="1" applyAlignment="1" applyProtection="1">
      <alignment horizontal="center" shrinkToFit="1"/>
    </xf>
    <xf numFmtId="0" fontId="5" fillId="0" borderId="265" xfId="2" applyFont="1" applyFill="1" applyBorder="1" applyAlignment="1" applyProtection="1">
      <alignment shrinkToFit="1"/>
    </xf>
    <xf numFmtId="207" fontId="5" fillId="0" borderId="344" xfId="2" applyNumberFormat="1" applyFont="1" applyFill="1" applyBorder="1" applyAlignment="1" applyProtection="1">
      <alignment horizontal="right" shrinkToFit="1"/>
    </xf>
    <xf numFmtId="193" fontId="5" fillId="0" borderId="345" xfId="12" applyNumberFormat="1" applyFont="1" applyFill="1" applyBorder="1" applyAlignment="1" applyProtection="1">
      <alignment horizontal="right" shrinkToFit="1"/>
    </xf>
    <xf numFmtId="207" fontId="5" fillId="0" borderId="346" xfId="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right" shrinkToFit="1"/>
    </xf>
    <xf numFmtId="207" fontId="5" fillId="0" borderId="64" xfId="2" applyNumberFormat="1" applyFont="1" applyFill="1" applyBorder="1" applyAlignment="1" applyProtection="1">
      <alignment horizontal="right" shrinkToFit="1"/>
    </xf>
    <xf numFmtId="183" fontId="5" fillId="0" borderId="346" xfId="2" applyNumberFormat="1" applyFont="1" applyFill="1" applyBorder="1" applyAlignment="1" applyProtection="1">
      <alignment horizontal="right" shrinkToFit="1"/>
    </xf>
    <xf numFmtId="193" fontId="5" fillId="0" borderId="265" xfId="1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center" shrinkToFit="1"/>
    </xf>
    <xf numFmtId="3" fontId="5" fillId="0" borderId="347" xfId="2" applyNumberFormat="1" applyFont="1" applyFill="1" applyBorder="1" applyAlignment="1" applyProtection="1">
      <alignment shrinkToFit="1"/>
    </xf>
    <xf numFmtId="183" fontId="5" fillId="0" borderId="346" xfId="2" applyNumberFormat="1" applyFont="1" applyFill="1" applyBorder="1" applyAlignment="1" applyProtection="1">
      <alignment horizontal="center" shrinkToFit="1"/>
    </xf>
    <xf numFmtId="3" fontId="5" fillId="0" borderId="66" xfId="2" applyNumberFormat="1" applyFont="1" applyFill="1" applyBorder="1" applyAlignment="1" applyProtection="1">
      <alignment shrinkToFit="1"/>
    </xf>
    <xf numFmtId="1" fontId="5" fillId="0" borderId="0" xfId="2" applyNumberFormat="1" applyFont="1" applyFill="1" applyBorder="1" applyAlignment="1" applyProtection="1">
      <alignment vertical="center"/>
    </xf>
    <xf numFmtId="204" fontId="5" fillId="0" borderId="34" xfId="2" applyNumberFormat="1" applyFont="1" applyFill="1" applyBorder="1" applyAlignment="1" applyProtection="1">
      <alignment horizontal="center" shrinkToFit="1"/>
    </xf>
    <xf numFmtId="0" fontId="5" fillId="0" borderId="348" xfId="2" applyFont="1" applyFill="1" applyBorder="1" applyAlignment="1" applyProtection="1">
      <alignment horizontal="left" indent="2"/>
    </xf>
    <xf numFmtId="0" fontId="5" fillId="0" borderId="79" xfId="2" applyFont="1" applyFill="1" applyBorder="1" applyAlignment="1" applyProtection="1"/>
    <xf numFmtId="0" fontId="5" fillId="0" borderId="79" xfId="2" applyNumberFormat="1" applyFont="1" applyFill="1" applyBorder="1" applyAlignment="1" applyProtection="1"/>
    <xf numFmtId="236" fontId="5" fillId="0" borderId="79" xfId="2" applyNumberFormat="1" applyFont="1" applyFill="1" applyBorder="1" applyAlignment="1" applyProtection="1">
      <alignment horizontal="center" shrinkToFit="1"/>
    </xf>
    <xf numFmtId="232" fontId="5" fillId="0" borderId="201" xfId="2" applyNumberFormat="1" applyFont="1" applyFill="1" applyBorder="1" applyAlignment="1" applyProtection="1">
      <alignment horizontal="right" shrinkToFit="1"/>
    </xf>
    <xf numFmtId="232" fontId="5" fillId="0" borderId="203" xfId="2" applyNumberFormat="1" applyFont="1" applyFill="1" applyBorder="1" applyAlignment="1" applyProtection="1">
      <alignment horizontal="right" shrinkToFit="1"/>
    </xf>
    <xf numFmtId="233" fontId="5" fillId="0" borderId="217" xfId="2" applyNumberFormat="1" applyFont="1" applyFill="1" applyBorder="1" applyAlignment="1" applyProtection="1">
      <alignment horizontal="right" shrinkToFit="1"/>
    </xf>
    <xf numFmtId="3" fontId="5" fillId="0" borderId="216" xfId="12" applyNumberFormat="1" applyFont="1" applyFill="1" applyBorder="1" applyAlignment="1" applyProtection="1">
      <alignment horizontal="right" shrinkToFit="1"/>
    </xf>
    <xf numFmtId="183" fontId="5" fillId="0" borderId="218" xfId="2" applyNumberFormat="1" applyFont="1" applyFill="1" applyBorder="1" applyAlignment="1" applyProtection="1">
      <alignment horizontal="right" shrinkToFit="1"/>
    </xf>
    <xf numFmtId="3" fontId="5" fillId="0" borderId="220"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center" shrinkToFit="1"/>
    </xf>
    <xf numFmtId="3" fontId="5" fillId="0" borderId="306" xfId="2" applyNumberFormat="1" applyFont="1" applyFill="1" applyBorder="1" applyAlignment="1" applyProtection="1">
      <alignment shrinkToFit="1"/>
    </xf>
    <xf numFmtId="183" fontId="5" fillId="0" borderId="203" xfId="2" applyNumberFormat="1" applyFont="1" applyFill="1" applyBorder="1" applyAlignment="1" applyProtection="1">
      <alignment horizontal="center" shrinkToFit="1"/>
    </xf>
    <xf numFmtId="3" fontId="5" fillId="0" borderId="70" xfId="2" applyNumberFormat="1" applyFont="1" applyFill="1" applyBorder="1" applyAlignment="1" applyProtection="1">
      <alignment shrinkToFit="1"/>
    </xf>
    <xf numFmtId="204" fontId="5" fillId="0" borderId="0" xfId="2" applyNumberFormat="1" applyFont="1" applyFill="1" applyBorder="1" applyAlignment="1" applyProtection="1">
      <alignment vertical="center" shrinkToFit="1"/>
    </xf>
    <xf numFmtId="0" fontId="5" fillId="0" borderId="158" xfId="2" applyFont="1" applyFill="1" applyBorder="1" applyProtection="1">
      <protection locked="0"/>
    </xf>
    <xf numFmtId="0" fontId="5" fillId="0" borderId="79" xfId="2" applyNumberFormat="1" applyFont="1" applyFill="1" applyBorder="1" applyAlignment="1" applyProtection="1">
      <alignment horizontal="left"/>
    </xf>
    <xf numFmtId="176" fontId="5" fillId="0" borderId="205" xfId="2" applyNumberFormat="1" applyFont="1" applyFill="1" applyBorder="1" applyAlignment="1" applyProtection="1">
      <alignment horizontal="left"/>
    </xf>
    <xf numFmtId="0" fontId="5" fillId="0" borderId="79" xfId="2" applyFont="1" applyFill="1" applyBorder="1" applyProtection="1"/>
    <xf numFmtId="235" fontId="5" fillId="0" borderId="79" xfId="2" applyNumberFormat="1" applyFont="1" applyFill="1" applyBorder="1" applyAlignment="1" applyProtection="1">
      <alignment horizontal="center" shrinkToFit="1"/>
    </xf>
    <xf numFmtId="193" fontId="5" fillId="0" borderId="158" xfId="12" applyNumberFormat="1" applyFont="1" applyFill="1" applyBorder="1" applyAlignment="1" applyProtection="1">
      <alignment horizontal="right" shrinkToFit="1"/>
    </xf>
    <xf numFmtId="0" fontId="5" fillId="0" borderId="97" xfId="2" applyFont="1" applyFill="1" applyBorder="1" applyAlignment="1" applyProtection="1">
      <alignment horizontal="left" indent="2"/>
    </xf>
    <xf numFmtId="0" fontId="5" fillId="0" borderId="56" xfId="2" applyFont="1" applyFill="1" applyBorder="1" applyAlignment="1" applyProtection="1"/>
    <xf numFmtId="0" fontId="5" fillId="0" borderId="178" xfId="2" applyFont="1" applyFill="1" applyBorder="1" applyAlignment="1" applyProtection="1"/>
    <xf numFmtId="204" fontId="5" fillId="0" borderId="349" xfId="2" applyNumberFormat="1" applyFont="1" applyFill="1" applyBorder="1" applyAlignment="1" applyProtection="1">
      <alignment horizontal="right" shrinkToFit="1"/>
    </xf>
    <xf numFmtId="193" fontId="5" fillId="0" borderId="160" xfId="12" applyNumberFormat="1" applyFont="1" applyFill="1" applyBorder="1" applyAlignment="1" applyProtection="1">
      <alignment horizontal="right" shrinkToFit="1"/>
    </xf>
    <xf numFmtId="204" fontId="5" fillId="0" borderId="350" xfId="2" applyNumberFormat="1" applyFont="1" applyFill="1" applyBorder="1" applyAlignment="1" applyProtection="1">
      <alignment horizontal="right" shrinkToFit="1"/>
    </xf>
    <xf numFmtId="193" fontId="5" fillId="0" borderId="56" xfId="12" applyNumberFormat="1" applyFont="1" applyFill="1" applyBorder="1" applyAlignment="1" applyProtection="1">
      <alignment horizontal="right" shrinkToFit="1"/>
    </xf>
    <xf numFmtId="193" fontId="5" fillId="0" borderId="57" xfId="12" applyNumberFormat="1" applyFont="1" applyFill="1" applyBorder="1" applyAlignment="1" applyProtection="1">
      <alignment horizontal="right" shrinkToFit="1"/>
    </xf>
    <xf numFmtId="183" fontId="5" fillId="0" borderId="351" xfId="2" applyNumberFormat="1" applyFont="1" applyFill="1" applyBorder="1" applyAlignment="1" applyProtection="1">
      <alignment horizontal="right" shrinkToFit="1"/>
    </xf>
    <xf numFmtId="204" fontId="5" fillId="0" borderId="72" xfId="2" applyNumberFormat="1" applyFont="1" applyFill="1" applyBorder="1" applyAlignment="1" applyProtection="1">
      <alignment horizontal="right" shrinkToFit="1"/>
    </xf>
    <xf numFmtId="3" fontId="5" fillId="0" borderId="352" xfId="12" applyNumberFormat="1" applyFont="1" applyFill="1" applyBorder="1" applyAlignment="1" applyProtection="1">
      <alignment horizontal="right" shrinkToFit="1"/>
    </xf>
    <xf numFmtId="183" fontId="5" fillId="0" borderId="353" xfId="2" applyNumberFormat="1" applyFont="1" applyFill="1" applyBorder="1" applyAlignment="1" applyProtection="1">
      <alignment horizontal="right" shrinkToFit="1"/>
    </xf>
    <xf numFmtId="3" fontId="5" fillId="0" borderId="354" xfId="12" applyNumberFormat="1" applyFont="1" applyFill="1" applyBorder="1" applyAlignment="1" applyProtection="1">
      <alignment horizontal="right" shrinkToFit="1"/>
    </xf>
    <xf numFmtId="0" fontId="5" fillId="0" borderId="12" xfId="2" applyFont="1" applyFill="1" applyBorder="1" applyAlignment="1" applyProtection="1">
      <alignment vertical="center"/>
    </xf>
    <xf numFmtId="0" fontId="5" fillId="0" borderId="133" xfId="2" applyFont="1" applyFill="1" applyBorder="1" applyProtection="1">
      <protection locked="0"/>
    </xf>
    <xf numFmtId="0" fontId="5" fillId="0" borderId="0" xfId="2" applyFont="1" applyBorder="1" applyProtection="1">
      <protection locked="0"/>
    </xf>
    <xf numFmtId="0" fontId="5" fillId="0" borderId="38" xfId="2" applyFont="1" applyBorder="1" applyProtection="1">
      <protection locked="0"/>
    </xf>
    <xf numFmtId="0" fontId="5" fillId="3" borderId="75" xfId="2" applyFont="1" applyFill="1" applyBorder="1" applyAlignment="1" applyProtection="1">
      <alignment vertical="center"/>
      <protection locked="0"/>
    </xf>
    <xf numFmtId="0" fontId="5" fillId="3" borderId="75" xfId="2" applyFont="1" applyFill="1" applyBorder="1" applyAlignment="1" applyProtection="1">
      <alignment horizontal="left" vertical="center" indent="2"/>
      <protection locked="0"/>
    </xf>
    <xf numFmtId="0" fontId="5" fillId="3" borderId="34" xfId="2" applyFont="1" applyFill="1" applyBorder="1" applyAlignment="1" applyProtection="1">
      <alignment horizontal="left" vertical="center" indent="2"/>
      <protection locked="0"/>
    </xf>
    <xf numFmtId="0" fontId="5" fillId="3" borderId="96" xfId="2" applyFont="1" applyFill="1" applyBorder="1" applyAlignment="1" applyProtection="1">
      <alignment vertical="center"/>
      <protection locked="0"/>
    </xf>
    <xf numFmtId="0" fontId="5" fillId="3" borderId="96" xfId="2" applyFont="1" applyFill="1" applyBorder="1" applyAlignment="1" applyProtection="1">
      <alignment horizontal="left" vertical="center" indent="2"/>
      <protection locked="0"/>
    </xf>
    <xf numFmtId="0" fontId="5" fillId="3" borderId="0" xfId="2" applyFont="1" applyFill="1" applyBorder="1" applyAlignment="1" applyProtection="1">
      <alignment horizontal="left" vertical="center" indent="2"/>
      <protection locked="0"/>
    </xf>
    <xf numFmtId="0" fontId="5" fillId="0" borderId="77" xfId="2" applyFont="1" applyFill="1" applyBorder="1" applyAlignment="1" applyProtection="1">
      <alignment horizontal="right"/>
    </xf>
    <xf numFmtId="237" fontId="5" fillId="0" borderId="77" xfId="2" applyNumberFormat="1" applyFont="1" applyFill="1" applyBorder="1" applyAlignment="1" applyProtection="1">
      <alignment horizontal="center" shrinkToFit="1"/>
    </xf>
    <xf numFmtId="0" fontId="5" fillId="0" borderId="265" xfId="2" applyFont="1" applyFill="1" applyBorder="1" applyAlignment="1" applyProtection="1"/>
    <xf numFmtId="204" fontId="5" fillId="0" borderId="344" xfId="2" applyNumberFormat="1" applyFont="1" applyFill="1" applyBorder="1" applyAlignment="1" applyProtection="1">
      <alignment horizontal="right" shrinkToFit="1"/>
    </xf>
    <xf numFmtId="204"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horizontal="right" shrinkToFit="1"/>
    </xf>
    <xf numFmtId="204" fontId="5" fillId="0" borderId="346" xfId="2" applyNumberFormat="1" applyFont="1" applyFill="1" applyBorder="1" applyAlignment="1" applyProtection="1">
      <alignment horizontal="right" shrinkToFit="1"/>
    </xf>
    <xf numFmtId="0" fontId="5" fillId="0" borderId="285" xfId="2" applyFont="1" applyFill="1" applyBorder="1" applyAlignment="1" applyProtection="1"/>
    <xf numFmtId="183"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shrinkToFit="1"/>
    </xf>
    <xf numFmtId="183" fontId="5" fillId="0" borderId="355" xfId="2" applyNumberFormat="1" applyFont="1" applyFill="1" applyBorder="1" applyAlignment="1" applyProtection="1">
      <alignment horizontal="center" shrinkToFit="1"/>
    </xf>
    <xf numFmtId="183" fontId="5" fillId="0" borderId="356" xfId="2" applyNumberFormat="1" applyFont="1" applyFill="1" applyBorder="1" applyAlignment="1" applyProtection="1">
      <alignment horizontal="center" shrinkToFit="1"/>
    </xf>
    <xf numFmtId="204" fontId="5" fillId="0" borderId="351" xfId="2" applyNumberFormat="1" applyFont="1" applyFill="1" applyBorder="1" applyAlignment="1" applyProtection="1">
      <alignment horizontal="right" shrinkToFit="1"/>
    </xf>
    <xf numFmtId="227" fontId="5" fillId="0" borderId="352" xfId="12" applyNumberFormat="1" applyFont="1" applyFill="1" applyBorder="1" applyAlignment="1" applyProtection="1">
      <alignment horizontal="right" shrinkToFit="1"/>
    </xf>
    <xf numFmtId="227" fontId="5" fillId="0" borderId="81" xfId="12" applyNumberFormat="1" applyFont="1" applyFill="1" applyBorder="1" applyAlignment="1" applyProtection="1">
      <alignment horizontal="right" shrinkToFit="1"/>
    </xf>
    <xf numFmtId="204" fontId="5" fillId="0" borderId="353" xfId="2" applyNumberFormat="1" applyFont="1" applyFill="1" applyBorder="1" applyAlignment="1" applyProtection="1">
      <alignment horizontal="right" shrinkToFit="1"/>
    </xf>
    <xf numFmtId="227" fontId="5" fillId="0" borderId="130" xfId="12" applyNumberFormat="1" applyFont="1" applyFill="1" applyBorder="1" applyAlignment="1" applyProtection="1">
      <alignment horizontal="right" shrinkToFit="1"/>
    </xf>
    <xf numFmtId="0" fontId="5" fillId="0" borderId="81" xfId="2" applyFont="1" applyFill="1" applyBorder="1" applyAlignment="1" applyProtection="1"/>
    <xf numFmtId="200" fontId="5" fillId="0" borderId="81" xfId="2" applyNumberFormat="1" applyFont="1" applyFill="1" applyBorder="1" applyProtection="1"/>
    <xf numFmtId="238" fontId="5" fillId="0" borderId="81" xfId="2" applyNumberFormat="1" applyFont="1" applyFill="1" applyBorder="1" applyAlignment="1" applyProtection="1"/>
    <xf numFmtId="207" fontId="5" fillId="0" borderId="72" xfId="2" applyNumberFormat="1" applyFont="1" applyFill="1" applyBorder="1" applyAlignment="1" applyProtection="1">
      <alignment horizontal="right" shrinkToFit="1"/>
    </xf>
    <xf numFmtId="239" fontId="5" fillId="0" borderId="81" xfId="12" applyNumberFormat="1" applyFont="1" applyFill="1" applyBorder="1" applyAlignment="1" applyProtection="1">
      <alignment horizontal="right" shrinkToFit="1"/>
    </xf>
    <xf numFmtId="239" fontId="5" fillId="0" borderId="354" xfId="12" applyNumberFormat="1" applyFont="1" applyFill="1" applyBorder="1" applyAlignment="1" applyProtection="1">
      <alignment horizontal="right" shrinkToFit="1"/>
    </xf>
    <xf numFmtId="183" fontId="5" fillId="0" borderId="357" xfId="2" applyNumberFormat="1" applyFont="1" applyFill="1" applyBorder="1" applyAlignment="1" applyProtection="1">
      <alignment horizontal="center" shrinkToFit="1"/>
    </xf>
    <xf numFmtId="183" fontId="5" fillId="0" borderId="358" xfId="2" applyNumberFormat="1" applyFont="1" applyFill="1" applyBorder="1" applyAlignment="1" applyProtection="1">
      <alignment horizontal="center" shrinkToFit="1"/>
    </xf>
    <xf numFmtId="183" fontId="5" fillId="0" borderId="359" xfId="2" applyNumberFormat="1" applyFont="1" applyFill="1" applyBorder="1" applyAlignment="1" applyProtection="1">
      <alignment horizontal="center" shrinkToFit="1"/>
    </xf>
    <xf numFmtId="239" fontId="5" fillId="0" borderId="130" xfId="12" applyNumberFormat="1" applyFont="1" applyFill="1" applyBorder="1" applyAlignment="1" applyProtection="1">
      <alignment horizontal="right" shrinkToFit="1"/>
    </xf>
    <xf numFmtId="0" fontId="5" fillId="0" borderId="0" xfId="2" applyFont="1" applyAlignment="1" applyProtection="1">
      <alignment vertical="center"/>
      <protection locked="0"/>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xf>
    <xf numFmtId="204" fontId="5" fillId="0" borderId="21" xfId="2" applyNumberFormat="1" applyFont="1" applyFill="1" applyBorder="1" applyAlignment="1" applyProtection="1">
      <alignment horizontal="center" vertical="center" shrinkToFit="1"/>
    </xf>
    <xf numFmtId="204" fontId="5" fillId="0" borderId="22" xfId="2" applyNumberFormat="1" applyFont="1" applyFill="1" applyBorder="1" applyAlignment="1" applyProtection="1">
      <alignment horizontal="center" vertical="center" shrinkToFit="1"/>
    </xf>
    <xf numFmtId="204" fontId="5" fillId="0" borderId="23" xfId="2" applyNumberFormat="1" applyFont="1" applyFill="1" applyBorder="1" applyAlignment="1" applyProtection="1">
      <alignment horizontal="center" vertical="center" shrinkToFit="1"/>
    </xf>
    <xf numFmtId="204" fontId="5" fillId="0" borderId="34" xfId="2" applyNumberFormat="1" applyFont="1" applyFill="1" applyBorder="1" applyAlignment="1" applyProtection="1">
      <alignment horizontal="center" vertical="center" shrinkToFit="1"/>
    </xf>
    <xf numFmtId="189" fontId="5" fillId="0" borderId="21" xfId="2" applyNumberFormat="1" applyFont="1" applyFill="1" applyBorder="1" applyAlignment="1" applyProtection="1">
      <alignment horizontal="center" vertical="center" shrinkToFit="1"/>
    </xf>
    <xf numFmtId="189" fontId="5" fillId="0" borderId="22" xfId="2" applyNumberFormat="1" applyFont="1" applyFill="1" applyBorder="1" applyAlignment="1" applyProtection="1">
      <alignment horizontal="center" vertical="center" shrinkToFit="1"/>
    </xf>
    <xf numFmtId="189" fontId="5" fillId="0" borderId="23" xfId="2" applyNumberFormat="1" applyFont="1" applyFill="1" applyBorder="1" applyAlignment="1" applyProtection="1">
      <alignment horizontal="center" vertical="center" shrinkToFit="1"/>
    </xf>
    <xf numFmtId="204" fontId="5" fillId="0" borderId="342" xfId="2" applyNumberFormat="1" applyFont="1" applyFill="1" applyBorder="1" applyAlignment="1" applyProtection="1">
      <alignment horizontal="center" vertical="center" shrinkToFit="1"/>
    </xf>
    <xf numFmtId="204" fontId="5" fillId="0" borderId="360" xfId="2" applyNumberFormat="1" applyFont="1" applyFill="1" applyBorder="1" applyAlignment="1" applyProtection="1">
      <alignment horizontal="center" vertical="center" shrinkToFit="1"/>
    </xf>
    <xf numFmtId="204" fontId="5" fillId="0" borderId="361" xfId="2" applyNumberFormat="1" applyFont="1" applyFill="1" applyBorder="1" applyAlignment="1" applyProtection="1">
      <alignment horizontal="center" vertical="center" shrinkToFit="1"/>
    </xf>
    <xf numFmtId="2" fontId="5" fillId="0" borderId="0" xfId="2" applyNumberFormat="1" applyFont="1" applyFill="1" applyBorder="1" applyAlignment="1" applyProtection="1">
      <alignment vertical="center" shrinkToFit="1"/>
    </xf>
    <xf numFmtId="0" fontId="18" fillId="0" borderId="0" xfId="1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protection locked="0"/>
    </xf>
    <xf numFmtId="183" fontId="5" fillId="0" borderId="362" xfId="2" applyNumberFormat="1" applyFont="1" applyFill="1" applyBorder="1" applyAlignment="1" applyProtection="1">
      <alignment horizontal="center" shrinkToFit="1"/>
    </xf>
    <xf numFmtId="0" fontId="0" fillId="0" borderId="202" xfId="0" applyBorder="1" applyAlignment="1">
      <alignment horizontal="center" shrinkToFit="1"/>
    </xf>
    <xf numFmtId="183" fontId="5" fillId="0" borderId="363" xfId="2" applyNumberFormat="1" applyFont="1" applyFill="1" applyBorder="1" applyAlignment="1" applyProtection="1">
      <alignment horizontal="center" shrinkToFit="1"/>
    </xf>
    <xf numFmtId="183" fontId="5" fillId="0" borderId="364" xfId="2" applyNumberFormat="1" applyFont="1" applyFill="1" applyBorder="1" applyAlignment="1" applyProtection="1">
      <alignment horizontal="center" shrinkToFit="1"/>
    </xf>
    <xf numFmtId="0" fontId="0" fillId="0" borderId="352" xfId="0" applyBorder="1" applyAlignment="1">
      <alignment horizontal="center" shrinkToFit="1"/>
    </xf>
    <xf numFmtId="183" fontId="5" fillId="0" borderId="365" xfId="2" applyNumberFormat="1" applyFont="1" applyFill="1" applyBorder="1" applyAlignment="1" applyProtection="1">
      <alignment horizontal="center" shrinkToFit="1"/>
    </xf>
    <xf numFmtId="0" fontId="0" fillId="0" borderId="204" xfId="0" applyBorder="1" applyAlignment="1">
      <alignment horizontal="center" shrinkToFit="1"/>
    </xf>
    <xf numFmtId="0" fontId="0" fillId="0" borderId="130" xfId="0" applyBorder="1" applyAlignment="1">
      <alignment horizontal="center" shrinkToFit="1"/>
    </xf>
    <xf numFmtId="202" fontId="5" fillId="13" borderId="258" xfId="2" applyNumberFormat="1" applyFont="1" applyFill="1" applyBorder="1" applyAlignment="1" applyProtection="1">
      <alignment horizontal="center" vertical="center" wrapText="1"/>
      <protection locked="0"/>
    </xf>
    <xf numFmtId="202" fontId="5" fillId="14" borderId="245" xfId="2" applyNumberFormat="1" applyFont="1" applyFill="1" applyBorder="1" applyAlignment="1" applyProtection="1">
      <alignment horizontal="center" vertical="center" wrapText="1"/>
      <protection locked="0"/>
    </xf>
    <xf numFmtId="202" fontId="5" fillId="14" borderId="258" xfId="2" applyNumberFormat="1" applyFont="1" applyFill="1" applyBorder="1" applyAlignment="1" applyProtection="1">
      <alignment horizontal="center" vertical="center" wrapText="1"/>
      <protection locked="0"/>
    </xf>
    <xf numFmtId="202" fontId="5" fillId="15" borderId="245" xfId="2" applyNumberFormat="1" applyFont="1" applyFill="1" applyBorder="1" applyAlignment="1" applyProtection="1">
      <alignment horizontal="center" vertical="center" wrapText="1"/>
      <protection locked="0"/>
    </xf>
    <xf numFmtId="202" fontId="5" fillId="15" borderId="258" xfId="2" applyNumberFormat="1" applyFont="1" applyFill="1" applyBorder="1" applyAlignment="1" applyProtection="1">
      <alignment horizontal="center" vertical="center" wrapText="1"/>
      <protection locked="0"/>
    </xf>
    <xf numFmtId="202" fontId="18" fillId="19" borderId="245" xfId="2" applyNumberFormat="1" applyFont="1" applyFill="1" applyBorder="1" applyAlignment="1" applyProtection="1">
      <alignment horizontal="center" vertical="center" wrapText="1"/>
      <protection locked="0"/>
    </xf>
    <xf numFmtId="202" fontId="18" fillId="19" borderId="258" xfId="2" applyNumberFormat="1" applyFont="1" applyFill="1" applyBorder="1" applyAlignment="1" applyProtection="1">
      <alignment horizontal="center" vertical="center" wrapText="1"/>
      <protection locked="0"/>
    </xf>
    <xf numFmtId="0" fontId="37" fillId="0" borderId="0" xfId="13" applyFont="1">
      <alignment vertical="center"/>
    </xf>
    <xf numFmtId="2" fontId="38" fillId="0" borderId="0" xfId="13" applyNumberFormat="1" applyFont="1">
      <alignment vertical="center"/>
    </xf>
    <xf numFmtId="0" fontId="38" fillId="0" borderId="0" xfId="13" applyFont="1">
      <alignment vertical="center"/>
    </xf>
    <xf numFmtId="0" fontId="38" fillId="0" borderId="0" xfId="13" applyFont="1" applyBorder="1">
      <alignment vertical="center"/>
    </xf>
    <xf numFmtId="0" fontId="5" fillId="0" borderId="0" xfId="14" applyFont="1"/>
    <xf numFmtId="2" fontId="40" fillId="0" borderId="0" xfId="14" applyNumberFormat="1" applyFont="1"/>
    <xf numFmtId="0" fontId="40" fillId="0" borderId="0" xfId="14" applyFont="1"/>
    <xf numFmtId="0" fontId="40" fillId="0" borderId="0" xfId="14" applyFont="1" applyBorder="1"/>
    <xf numFmtId="0" fontId="5" fillId="0" borderId="0" xfId="14" applyFont="1" applyAlignment="1" applyProtection="1">
      <alignment shrinkToFit="1"/>
    </xf>
    <xf numFmtId="0" fontId="5" fillId="0" borderId="0" xfId="14" applyFont="1" applyProtection="1"/>
    <xf numFmtId="0" fontId="5" fillId="0" borderId="0" xfId="14" applyFont="1" applyFill="1" applyBorder="1" applyAlignment="1" applyProtection="1">
      <alignment horizontal="center"/>
    </xf>
    <xf numFmtId="0" fontId="5" fillId="0" borderId="0" xfId="15" applyFont="1">
      <alignment vertical="center"/>
    </xf>
    <xf numFmtId="0" fontId="5" fillId="0" borderId="0" xfId="14" applyFont="1" applyFill="1" applyBorder="1" applyProtection="1"/>
    <xf numFmtId="3" fontId="5" fillId="0" borderId="45" xfId="14" applyNumberFormat="1" applyFont="1" applyBorder="1" applyAlignment="1" applyProtection="1">
      <alignment shrinkToFit="1"/>
      <protection locked="0"/>
    </xf>
    <xf numFmtId="3" fontId="5" fillId="0" borderId="350" xfId="14" applyNumberFormat="1" applyFont="1" applyBorder="1" applyAlignment="1" applyProtection="1">
      <alignment shrinkToFit="1"/>
      <protection locked="0"/>
    </xf>
    <xf numFmtId="3" fontId="18" fillId="0" borderId="368" xfId="14" applyNumberFormat="1" applyFont="1" applyBorder="1" applyAlignment="1" applyProtection="1">
      <alignment shrinkToFit="1"/>
      <protection locked="0"/>
    </xf>
    <xf numFmtId="0" fontId="5" fillId="0" borderId="73" xfId="14" applyNumberFormat="1" applyFont="1" applyBorder="1" applyAlignment="1" applyProtection="1">
      <alignment shrinkToFit="1"/>
      <protection locked="0"/>
    </xf>
    <xf numFmtId="0" fontId="5" fillId="0" borderId="366" xfId="14" applyNumberFormat="1" applyFont="1" applyBorder="1" applyAlignment="1" applyProtection="1">
      <alignment horizontal="center" shrinkToFit="1"/>
      <protection locked="0"/>
    </xf>
    <xf numFmtId="0" fontId="5" fillId="0" borderId="159" xfId="14" applyNumberFormat="1" applyFont="1" applyBorder="1" applyAlignment="1" applyProtection="1">
      <alignment horizontal="center" shrinkToFit="1"/>
      <protection locked="0"/>
    </xf>
    <xf numFmtId="228" fontId="5" fillId="0" borderId="129" xfId="14" applyNumberFormat="1" applyFont="1" applyBorder="1" applyAlignment="1" applyProtection="1">
      <alignment shrinkToFit="1"/>
      <protection locked="0"/>
    </xf>
    <xf numFmtId="3" fontId="18" fillId="0" borderId="128" xfId="14" applyNumberFormat="1" applyFont="1" applyBorder="1" applyAlignment="1" applyProtection="1">
      <alignment shrinkToFit="1"/>
      <protection locked="0"/>
    </xf>
    <xf numFmtId="3" fontId="5" fillId="0" borderId="128" xfId="14" applyNumberFormat="1" applyFont="1" applyFill="1" applyBorder="1" applyAlignment="1" applyProtection="1">
      <alignment shrinkToFit="1"/>
      <protection locked="0"/>
    </xf>
    <xf numFmtId="3" fontId="5" fillId="0" borderId="128" xfId="14" applyNumberFormat="1" applyFont="1" applyBorder="1" applyAlignment="1" applyProtection="1">
      <alignment shrinkToFit="1"/>
      <protection locked="0"/>
    </xf>
    <xf numFmtId="3" fontId="5" fillId="0" borderId="192" xfId="14" applyNumberFormat="1" applyFont="1" applyBorder="1" applyAlignment="1" applyProtection="1">
      <alignment shrinkToFit="1"/>
      <protection locked="0"/>
    </xf>
    <xf numFmtId="2" fontId="5" fillId="0" borderId="149" xfId="14" applyNumberFormat="1" applyFont="1" applyBorder="1" applyAlignment="1" applyProtection="1">
      <alignment shrinkToFit="1"/>
      <protection locked="0"/>
    </xf>
    <xf numFmtId="2" fontId="5" fillId="0" borderId="192" xfId="14" applyNumberFormat="1" applyFont="1" applyBorder="1" applyAlignment="1" applyProtection="1">
      <alignment shrinkToFit="1"/>
      <protection locked="0"/>
    </xf>
    <xf numFmtId="3" fontId="18" fillId="0" borderId="189" xfId="14" applyNumberFormat="1" applyFont="1" applyBorder="1" applyAlignment="1" applyProtection="1">
      <alignment shrinkToFit="1"/>
      <protection locked="0"/>
    </xf>
    <xf numFmtId="3" fontId="5" fillId="0" borderId="369" xfId="14" applyNumberFormat="1" applyFont="1" applyBorder="1" applyAlignment="1" applyProtection="1">
      <alignment shrinkToFit="1"/>
      <protection locked="0"/>
    </xf>
    <xf numFmtId="3" fontId="5" fillId="0" borderId="370" xfId="14" applyNumberFormat="1" applyFont="1" applyBorder="1" applyAlignment="1" applyProtection="1">
      <alignment shrinkToFit="1"/>
      <protection locked="0"/>
    </xf>
    <xf numFmtId="3" fontId="18" fillId="0" borderId="303" xfId="14" applyNumberFormat="1" applyFont="1" applyBorder="1" applyAlignment="1" applyProtection="1">
      <alignment shrinkToFit="1"/>
      <protection locked="0"/>
    </xf>
    <xf numFmtId="0" fontId="5" fillId="0" borderId="370" xfId="14" applyNumberFormat="1" applyFont="1" applyBorder="1" applyAlignment="1" applyProtection="1">
      <alignment horizontal="center" shrinkToFit="1"/>
      <protection locked="0"/>
    </xf>
    <xf numFmtId="240" fontId="5" fillId="0" borderId="189" xfId="14" applyNumberFormat="1" applyFont="1" applyBorder="1" applyAlignment="1" applyProtection="1">
      <alignment shrinkToFit="1"/>
      <protection locked="0"/>
    </xf>
    <xf numFmtId="240" fontId="5" fillId="0" borderId="128" xfId="14" applyNumberFormat="1" applyFont="1" applyBorder="1" applyAlignment="1" applyProtection="1">
      <alignment shrinkToFit="1"/>
      <protection locked="0"/>
    </xf>
    <xf numFmtId="241" fontId="5" fillId="0" borderId="128" xfId="14" applyNumberFormat="1" applyFont="1" applyBorder="1" applyAlignment="1" applyProtection="1">
      <alignment shrinkToFit="1"/>
      <protection locked="0"/>
    </xf>
    <xf numFmtId="0" fontId="5" fillId="0" borderId="69" xfId="14" applyNumberFormat="1" applyFont="1" applyBorder="1" applyAlignment="1" applyProtection="1">
      <alignment shrinkToFit="1"/>
      <protection locked="0"/>
    </xf>
    <xf numFmtId="0" fontId="5" fillId="0" borderId="369" xfId="14" applyNumberFormat="1" applyFont="1" applyBorder="1" applyAlignment="1" applyProtection="1">
      <alignment horizontal="center" shrinkToFit="1"/>
      <protection locked="0"/>
    </xf>
    <xf numFmtId="0" fontId="5" fillId="0" borderId="371" xfId="14" applyNumberFormat="1" applyFont="1" applyBorder="1" applyAlignment="1" applyProtection="1">
      <alignment horizontal="center" shrinkToFit="1"/>
      <protection locked="0"/>
    </xf>
    <xf numFmtId="228" fontId="5" fillId="0" borderId="193" xfId="14" applyNumberFormat="1" applyFont="1" applyBorder="1" applyAlignment="1" applyProtection="1">
      <alignment shrinkToFit="1"/>
      <protection locked="0"/>
    </xf>
    <xf numFmtId="3" fontId="18" fillId="0" borderId="64" xfId="14" applyNumberFormat="1" applyFont="1" applyBorder="1" applyAlignment="1" applyProtection="1">
      <alignment shrinkToFit="1"/>
      <protection locked="0"/>
    </xf>
    <xf numFmtId="3" fontId="5" fillId="0" borderId="64" xfId="14" applyNumberFormat="1" applyFont="1" applyFill="1" applyBorder="1" applyAlignment="1" applyProtection="1">
      <alignment shrinkToFit="1"/>
      <protection locked="0"/>
    </xf>
    <xf numFmtId="3" fontId="5" fillId="0" borderId="64" xfId="14" applyNumberFormat="1" applyFont="1" applyBorder="1" applyAlignment="1" applyProtection="1">
      <alignment shrinkToFit="1"/>
      <protection locked="0"/>
    </xf>
    <xf numFmtId="3" fontId="5" fillId="0" borderId="346" xfId="14" applyNumberFormat="1" applyFont="1" applyBorder="1" applyAlignment="1" applyProtection="1">
      <alignment shrinkToFit="1"/>
      <protection locked="0"/>
    </xf>
    <xf numFmtId="2" fontId="5" fillId="0" borderId="345" xfId="14" applyNumberFormat="1" applyFont="1" applyBorder="1" applyAlignment="1" applyProtection="1">
      <alignment shrinkToFit="1"/>
      <protection locked="0"/>
    </xf>
    <xf numFmtId="2" fontId="5" fillId="0" borderId="346" xfId="14" applyNumberFormat="1" applyFont="1" applyBorder="1" applyAlignment="1" applyProtection="1">
      <alignment shrinkToFit="1"/>
      <protection locked="0"/>
    </xf>
    <xf numFmtId="3" fontId="18" fillId="0" borderId="77" xfId="14" applyNumberFormat="1" applyFont="1" applyBorder="1" applyAlignment="1" applyProtection="1">
      <alignment shrinkToFit="1"/>
      <protection locked="0"/>
    </xf>
    <xf numFmtId="3" fontId="5" fillId="0" borderId="65" xfId="14" applyNumberFormat="1" applyFont="1" applyBorder="1" applyAlignment="1" applyProtection="1">
      <alignment shrinkToFit="1"/>
      <protection locked="0"/>
    </xf>
    <xf numFmtId="3" fontId="5" fillId="0" borderId="372" xfId="14" applyNumberFormat="1" applyFont="1" applyBorder="1" applyAlignment="1" applyProtection="1">
      <alignment shrinkToFit="1"/>
      <protection locked="0"/>
    </xf>
    <xf numFmtId="3" fontId="18" fillId="0" borderId="347" xfId="14" applyNumberFormat="1" applyFont="1" applyBorder="1" applyAlignment="1" applyProtection="1">
      <alignment shrinkToFit="1"/>
      <protection locked="0"/>
    </xf>
    <xf numFmtId="0" fontId="5" fillId="0" borderId="372" xfId="14" applyNumberFormat="1" applyFont="1" applyBorder="1" applyAlignment="1" applyProtection="1">
      <alignment horizontal="center" shrinkToFit="1"/>
      <protection locked="0"/>
    </xf>
    <xf numFmtId="240" fontId="5" fillId="0" borderId="77" xfId="14" applyNumberFormat="1" applyFont="1" applyBorder="1" applyAlignment="1" applyProtection="1">
      <alignment shrinkToFit="1"/>
      <protection locked="0"/>
    </xf>
    <xf numFmtId="240" fontId="5" fillId="0" borderId="64" xfId="14" applyNumberFormat="1" applyFont="1" applyBorder="1" applyAlignment="1" applyProtection="1">
      <alignment shrinkToFit="1"/>
      <protection locked="0"/>
    </xf>
    <xf numFmtId="241" fontId="5" fillId="0" borderId="64" xfId="14" applyNumberFormat="1" applyFont="1" applyBorder="1" applyAlignment="1" applyProtection="1">
      <alignment shrinkToFit="1"/>
      <protection locked="0"/>
    </xf>
    <xf numFmtId="0" fontId="5" fillId="0" borderId="65" xfId="14" applyNumberFormat="1" applyFont="1" applyBorder="1" applyAlignment="1" applyProtection="1">
      <alignment shrinkToFit="1"/>
      <protection locked="0"/>
    </xf>
    <xf numFmtId="0" fontId="5" fillId="0" borderId="65" xfId="14" applyNumberFormat="1" applyFont="1" applyBorder="1" applyAlignment="1" applyProtection="1">
      <alignment horizontal="center" shrinkToFit="1"/>
      <protection locked="0"/>
    </xf>
    <xf numFmtId="0" fontId="5" fillId="0" borderId="373" xfId="14" applyNumberFormat="1" applyFont="1" applyBorder="1" applyAlignment="1" applyProtection="1">
      <alignment horizontal="center" shrinkToFit="1"/>
      <protection locked="0"/>
    </xf>
    <xf numFmtId="2" fontId="5" fillId="12" borderId="16" xfId="14" applyNumberFormat="1" applyFont="1" applyFill="1" applyBorder="1" applyAlignment="1" applyProtection="1">
      <alignment horizontal="center" vertical="center" wrapText="1" shrinkToFit="1"/>
      <protection locked="0"/>
    </xf>
    <xf numFmtId="2" fontId="5" fillId="12" borderId="14" xfId="14" applyNumberFormat="1" applyFont="1" applyFill="1" applyBorder="1" applyAlignment="1" applyProtection="1">
      <alignment horizontal="center" vertical="center" wrapText="1" shrinkToFit="1"/>
      <protection locked="0"/>
    </xf>
    <xf numFmtId="0" fontId="38" fillId="7" borderId="16" xfId="13" applyFont="1" applyFill="1" applyBorder="1" applyAlignment="1">
      <alignment horizontal="center" vertical="center" shrinkToFit="1"/>
    </xf>
    <xf numFmtId="0" fontId="38" fillId="7" borderId="15" xfId="13" applyFont="1" applyFill="1" applyBorder="1" applyAlignment="1">
      <alignment horizontal="center" vertical="center" shrinkToFit="1"/>
    </xf>
    <xf numFmtId="0" fontId="38" fillId="7" borderId="14" xfId="13" applyFont="1" applyFill="1" applyBorder="1" applyAlignment="1">
      <alignment horizontal="center" vertical="center" shrinkToFit="1"/>
    </xf>
    <xf numFmtId="0" fontId="38" fillId="7" borderId="374" xfId="13" applyFont="1" applyFill="1" applyBorder="1" applyAlignment="1">
      <alignment horizontal="center" vertical="center" shrinkToFit="1"/>
    </xf>
    <xf numFmtId="0" fontId="38" fillId="7" borderId="49" xfId="13" applyFont="1" applyFill="1" applyBorder="1" applyAlignment="1">
      <alignment horizontal="center" vertical="center" shrinkToFit="1"/>
    </xf>
    <xf numFmtId="0" fontId="5" fillId="3" borderId="46" xfId="14" applyNumberFormat="1" applyFont="1" applyFill="1" applyBorder="1" applyAlignment="1" applyProtection="1">
      <alignment horizontal="center" vertical="center" wrapText="1" shrinkToFit="1"/>
      <protection locked="0"/>
    </xf>
    <xf numFmtId="0" fontId="5" fillId="3" borderId="62" xfId="14" applyNumberFormat="1" applyFont="1" applyFill="1" applyBorder="1" applyAlignment="1" applyProtection="1">
      <alignment horizontal="center" vertical="center" shrinkToFit="1"/>
      <protection locked="0"/>
    </xf>
    <xf numFmtId="0" fontId="5" fillId="3" borderId="62"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protection locked="0"/>
    </xf>
    <xf numFmtId="0" fontId="5" fillId="3" borderId="206" xfId="14" applyNumberFormat="1" applyFont="1" applyFill="1" applyBorder="1" applyAlignment="1" applyProtection="1">
      <alignment horizontal="center" vertical="center" shrinkToFit="1"/>
      <protection locked="0"/>
    </xf>
    <xf numFmtId="0" fontId="5" fillId="3" borderId="366" xfId="14" applyNumberFormat="1" applyFont="1" applyFill="1" applyBorder="1" applyAlignment="1" applyProtection="1">
      <alignment horizontal="center" vertical="center"/>
      <protection locked="0"/>
    </xf>
    <xf numFmtId="0" fontId="5" fillId="3" borderId="40" xfId="14" applyNumberFormat="1" applyFont="1" applyFill="1" applyBorder="1" applyAlignment="1" applyProtection="1">
      <alignment horizontal="center" vertical="center" shrinkToFit="1"/>
      <protection locked="0"/>
    </xf>
    <xf numFmtId="0" fontId="5" fillId="3" borderId="40" xfId="14"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protection locked="0"/>
    </xf>
    <xf numFmtId="0" fontId="5" fillId="3" borderId="307" xfId="14" applyNumberFormat="1"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shrinkToFit="1"/>
      <protection locked="0"/>
    </xf>
    <xf numFmtId="0" fontId="5" fillId="3" borderId="307" xfId="14" applyNumberFormat="1"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shrinkToFit="1"/>
      <protection locked="0"/>
    </xf>
    <xf numFmtId="0" fontId="5" fillId="3" borderId="100" xfId="14" applyFont="1" applyFill="1" applyBorder="1" applyAlignment="1" applyProtection="1">
      <alignment horizontal="center" vertical="center"/>
      <protection locked="0"/>
    </xf>
    <xf numFmtId="2" fontId="5" fillId="12" borderId="275" xfId="14" applyNumberFormat="1" applyFont="1" applyFill="1" applyBorder="1" applyAlignment="1" applyProtection="1">
      <alignment horizontal="center" vertical="center" wrapText="1" shrinkToFit="1"/>
      <protection locked="0"/>
    </xf>
    <xf numFmtId="2" fontId="5" fillId="12" borderId="318" xfId="14" applyNumberFormat="1" applyFont="1" applyFill="1" applyBorder="1" applyAlignment="1" applyProtection="1">
      <alignment horizontal="center" vertical="center" wrapText="1" shrinkToFit="1"/>
      <protection locked="0"/>
    </xf>
    <xf numFmtId="0" fontId="38" fillId="7" borderId="375" xfId="13" applyFont="1" applyFill="1" applyBorder="1" applyAlignment="1">
      <alignment horizontal="center" vertical="center" shrinkToFit="1"/>
    </xf>
    <xf numFmtId="0" fontId="38" fillId="7" borderId="376" xfId="13" applyFont="1" applyFill="1" applyBorder="1" applyAlignment="1">
      <alignment horizontal="center" vertical="center" shrinkToFit="1"/>
    </xf>
    <xf numFmtId="0" fontId="38" fillId="7" borderId="377" xfId="13" applyFont="1" applyFill="1" applyBorder="1" applyAlignment="1">
      <alignment horizontal="center" vertical="center" shrinkToFit="1"/>
    </xf>
    <xf numFmtId="0" fontId="38" fillId="7" borderId="378" xfId="13" applyFont="1" applyFill="1" applyBorder="1" applyAlignment="1">
      <alignment horizontal="center" vertical="center" shrinkToFit="1"/>
    </xf>
    <xf numFmtId="0" fontId="38" fillId="7" borderId="379" xfId="13" applyFont="1" applyFill="1" applyBorder="1" applyAlignment="1">
      <alignment horizontal="center" vertical="center" shrinkToFit="1"/>
    </xf>
    <xf numFmtId="0" fontId="5" fillId="3" borderId="380"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protection locked="0"/>
    </xf>
    <xf numFmtId="0" fontId="5" fillId="3" borderId="148" xfId="14" applyNumberFormat="1" applyFont="1" applyFill="1" applyBorder="1" applyAlignment="1" applyProtection="1">
      <alignment horizontal="center" vertical="center" wrapText="1"/>
      <protection locked="0"/>
    </xf>
    <xf numFmtId="0" fontId="5" fillId="3" borderId="216" xfId="14" applyNumberFormat="1" applyFont="1" applyFill="1" applyBorder="1" applyAlignment="1" applyProtection="1">
      <alignment horizontal="center" vertical="center" wrapText="1" shrinkToFit="1"/>
      <protection locked="0"/>
    </xf>
    <xf numFmtId="0" fontId="5" fillId="3" borderId="380" xfId="14" applyNumberFormat="1" applyFont="1" applyFill="1" applyBorder="1" applyAlignment="1" applyProtection="1">
      <alignment horizontal="center" vertical="center" wrapText="1"/>
      <protection locked="0"/>
    </xf>
    <xf numFmtId="0" fontId="5" fillId="3" borderId="381" xfId="14" applyNumberFormat="1" applyFont="1" applyFill="1" applyBorder="1" applyAlignment="1" applyProtection="1">
      <alignment horizontal="center" vertical="center" wrapText="1"/>
      <protection locked="0"/>
    </xf>
    <xf numFmtId="0" fontId="5" fillId="3" borderId="382" xfId="14" applyNumberFormat="1" applyFont="1" applyFill="1" applyBorder="1" applyAlignment="1" applyProtection="1">
      <alignment horizontal="center" vertical="center" wrapText="1" shrinkToFit="1"/>
      <protection locked="0"/>
    </xf>
    <xf numFmtId="0" fontId="5" fillId="3" borderId="381" xfId="14" applyNumberFormat="1" applyFont="1" applyFill="1" applyBorder="1" applyAlignment="1" applyProtection="1">
      <alignment horizontal="center" vertical="center" wrapText="1" shrinkToFit="1"/>
      <protection locked="0"/>
    </xf>
    <xf numFmtId="2" fontId="38" fillId="7" borderId="57" xfId="13" applyNumberFormat="1" applyFont="1" applyFill="1" applyBorder="1" applyAlignment="1">
      <alignment horizontal="center" vertical="center" wrapText="1"/>
    </xf>
    <xf numFmtId="2" fontId="38" fillId="7" borderId="97" xfId="13" applyNumberFormat="1" applyFont="1" applyFill="1" applyBorder="1" applyAlignment="1">
      <alignment horizontal="center" vertical="center" wrapText="1"/>
    </xf>
    <xf numFmtId="0" fontId="38" fillId="21" borderId="0" xfId="13" applyFont="1" applyFill="1" applyBorder="1" applyAlignment="1">
      <alignment horizontal="center" vertical="center" shrinkToFit="1"/>
    </xf>
    <xf numFmtId="0" fontId="38" fillId="22" borderId="0" xfId="13" applyFont="1" applyFill="1" applyBorder="1" applyAlignment="1">
      <alignment horizontal="center" vertical="center" shrinkToFit="1"/>
    </xf>
    <xf numFmtId="0" fontId="5" fillId="3" borderId="27" xfId="14" applyNumberFormat="1" applyFont="1" applyFill="1" applyBorder="1" applyAlignment="1" applyProtection="1">
      <alignment horizontal="center" vertical="center" wrapText="1" shrinkToFit="1"/>
      <protection locked="0"/>
    </xf>
    <xf numFmtId="0" fontId="5" fillId="3" borderId="99" xfId="14" applyNumberFormat="1" applyFont="1" applyFill="1" applyBorder="1" applyAlignment="1" applyProtection="1">
      <alignment horizontal="center"/>
      <protection locked="0"/>
    </xf>
    <xf numFmtId="0" fontId="5" fillId="3" borderId="84" xfId="14" applyNumberFormat="1" applyFont="1" applyFill="1" applyBorder="1" applyAlignment="1" applyProtection="1">
      <alignment horizontal="center"/>
      <protection locked="0"/>
    </xf>
    <xf numFmtId="0" fontId="5" fillId="3" borderId="143" xfId="14" applyNumberFormat="1" applyFont="1" applyFill="1" applyBorder="1" applyAlignment="1" applyProtection="1">
      <alignment horizontal="center"/>
      <protection locked="0"/>
    </xf>
    <xf numFmtId="0" fontId="5" fillId="3" borderId="138" xfId="14" applyNumberFormat="1" applyFont="1" applyFill="1" applyBorder="1" applyAlignment="1" applyProtection="1">
      <alignment horizontal="center" vertical="center" wrapText="1"/>
      <protection locked="0"/>
    </xf>
    <xf numFmtId="0" fontId="5" fillId="3" borderId="139" xfId="14" applyNumberFormat="1" applyFont="1" applyFill="1" applyBorder="1" applyAlignment="1" applyProtection="1">
      <alignment horizontal="center" vertical="center" wrapText="1"/>
      <protection locked="0"/>
    </xf>
    <xf numFmtId="0" fontId="5" fillId="3" borderId="383" xfId="14" applyNumberFormat="1" applyFont="1" applyFill="1" applyBorder="1" applyAlignment="1" applyProtection="1">
      <alignment horizontal="center"/>
      <protection locked="0"/>
    </xf>
    <xf numFmtId="0" fontId="5" fillId="3" borderId="384" xfId="14" applyNumberFormat="1" applyFont="1" applyFill="1" applyBorder="1" applyAlignment="1" applyProtection="1">
      <alignment horizontal="center" vertical="center" wrapText="1"/>
      <protection locked="0"/>
    </xf>
    <xf numFmtId="0" fontId="5" fillId="3" borderId="384" xfId="14" applyNumberFormat="1" applyFont="1" applyFill="1" applyBorder="1" applyAlignment="1" applyProtection="1">
      <alignment horizontal="center" vertical="center" wrapText="1" shrinkToFit="1"/>
      <protection locked="0"/>
    </xf>
    <xf numFmtId="0" fontId="5" fillId="3" borderId="136" xfId="14" applyNumberFormat="1"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shrinkToFit="1"/>
      <protection locked="0"/>
    </xf>
    <xf numFmtId="0" fontId="5" fillId="3" borderId="135" xfId="14" applyFont="1" applyFill="1" applyBorder="1" applyAlignment="1" applyProtection="1">
      <alignment horizontal="center" vertical="center"/>
      <protection locked="0"/>
    </xf>
    <xf numFmtId="2" fontId="38" fillId="7" borderId="38" xfId="13" applyNumberFormat="1" applyFont="1" applyFill="1" applyBorder="1" applyAlignment="1">
      <alignment horizontal="center" vertical="center" wrapText="1"/>
    </xf>
    <xf numFmtId="2" fontId="38" fillId="7" borderId="96" xfId="13" applyNumberFormat="1" applyFont="1" applyFill="1" applyBorder="1" applyAlignment="1">
      <alignment horizontal="center" vertical="center" wrapText="1"/>
    </xf>
    <xf numFmtId="0" fontId="38" fillId="7" borderId="57" xfId="13" applyFont="1" applyFill="1" applyBorder="1" applyAlignment="1">
      <alignment horizontal="center" vertical="center" shrinkToFit="1"/>
    </xf>
    <xf numFmtId="0" fontId="38" fillId="7" borderId="56" xfId="13" applyFont="1" applyFill="1" applyBorder="1" applyAlignment="1">
      <alignment horizontal="center" vertical="center" shrinkToFit="1"/>
    </xf>
    <xf numFmtId="0" fontId="38" fillId="7" borderId="13" xfId="13" applyFont="1" applyFill="1" applyBorder="1" applyAlignment="1">
      <alignment horizontal="center" vertical="center" shrinkToFit="1"/>
    </xf>
    <xf numFmtId="0" fontId="38" fillId="7" borderId="12" xfId="13" applyFont="1" applyFill="1" applyBorder="1" applyAlignment="1">
      <alignment horizontal="center" vertical="center" shrinkToFit="1"/>
    </xf>
    <xf numFmtId="0" fontId="38" fillId="7" borderId="11" xfId="13" applyFont="1" applyFill="1" applyBorder="1" applyAlignment="1">
      <alignment horizontal="center" vertical="center" shrinkToFit="1"/>
    </xf>
    <xf numFmtId="0" fontId="5" fillId="0" borderId="0" xfId="14" applyFont="1" applyAlignment="1">
      <alignment horizontal="right" vertical="center"/>
    </xf>
    <xf numFmtId="2" fontId="38" fillId="7" borderId="177" xfId="13" applyNumberFormat="1" applyFont="1" applyFill="1" applyBorder="1" applyAlignment="1">
      <alignment horizontal="center" vertical="center" wrapText="1"/>
    </xf>
    <xf numFmtId="2" fontId="38" fillId="7" borderId="170" xfId="13" applyNumberFormat="1" applyFont="1" applyFill="1" applyBorder="1" applyAlignment="1">
      <alignment horizontal="center" vertical="center" wrapText="1"/>
    </xf>
    <xf numFmtId="0" fontId="38" fillId="7" borderId="177" xfId="13" applyFont="1" applyFill="1" applyBorder="1" applyAlignment="1">
      <alignment horizontal="center" vertical="center" shrinkToFit="1"/>
    </xf>
    <xf numFmtId="0" fontId="38" fillId="7" borderId="171" xfId="13" applyFont="1" applyFill="1" applyBorder="1" applyAlignment="1">
      <alignment horizontal="center" vertical="center" shrinkToFit="1"/>
    </xf>
    <xf numFmtId="0" fontId="38" fillId="7" borderId="251" xfId="13" applyFont="1" applyFill="1" applyBorder="1" applyAlignment="1">
      <alignment horizontal="center" vertical="center" shrinkToFit="1"/>
    </xf>
    <xf numFmtId="0" fontId="38" fillId="7" borderId="385" xfId="13" applyFont="1" applyFill="1" applyBorder="1" applyAlignment="1">
      <alignment horizontal="center" vertical="center" shrinkToFit="1"/>
    </xf>
    <xf numFmtId="0" fontId="38" fillId="7" borderId="386" xfId="13" applyFont="1" applyFill="1" applyBorder="1" applyAlignment="1">
      <alignment horizontal="center" vertical="center" shrinkToFit="1"/>
    </xf>
    <xf numFmtId="0" fontId="41" fillId="0" borderId="0" xfId="13" applyFont="1">
      <alignment vertical="center"/>
    </xf>
    <xf numFmtId="2" fontId="42" fillId="0" borderId="0" xfId="13" applyNumberFormat="1" applyFont="1">
      <alignment vertical="center"/>
    </xf>
    <xf numFmtId="0" fontId="42" fillId="0" borderId="0" xfId="13" applyFont="1">
      <alignment vertical="center"/>
    </xf>
    <xf numFmtId="0" fontId="42" fillId="0" borderId="0" xfId="13" applyFont="1" applyBorder="1">
      <alignment vertical="center"/>
    </xf>
    <xf numFmtId="0" fontId="43" fillId="0" borderId="0" xfId="13" applyFont="1" applyBorder="1">
      <alignment vertical="center"/>
    </xf>
    <xf numFmtId="0" fontId="11" fillId="2" borderId="4" xfId="14" applyFont="1" applyFill="1" applyBorder="1"/>
    <xf numFmtId="0" fontId="11" fillId="2" borderId="3" xfId="14" applyFont="1" applyFill="1" applyBorder="1"/>
    <xf numFmtId="0" fontId="11" fillId="2" borderId="3" xfId="14" applyNumberFormat="1" applyFont="1" applyFill="1" applyBorder="1" applyProtection="1">
      <protection locked="0"/>
    </xf>
    <xf numFmtId="242" fontId="11" fillId="2" borderId="3" xfId="14" applyNumberFormat="1" applyFont="1" applyFill="1" applyBorder="1" applyAlignment="1" applyProtection="1">
      <alignment horizontal="left"/>
      <protection locked="0"/>
    </xf>
    <xf numFmtId="0" fontId="11" fillId="2" borderId="3" xfId="14" applyFont="1" applyFill="1" applyBorder="1" applyProtection="1">
      <protection locked="0"/>
    </xf>
    <xf numFmtId="193" fontId="6" fillId="2" borderId="3" xfId="14" applyNumberFormat="1" applyFont="1" applyFill="1" applyBorder="1" applyProtection="1">
      <protection locked="0"/>
    </xf>
    <xf numFmtId="193" fontId="11" fillId="2" borderId="3" xfId="14" applyNumberFormat="1" applyFont="1" applyFill="1" applyBorder="1" applyProtection="1">
      <protection locked="0"/>
    </xf>
    <xf numFmtId="0" fontId="6" fillId="2" borderId="2" xfId="14" applyNumberFormat="1" applyFont="1" applyFill="1" applyBorder="1" applyAlignment="1" applyProtection="1">
      <alignment horizontal="left" vertical="center" indent="1"/>
      <protection locked="0"/>
    </xf>
    <xf numFmtId="0" fontId="5" fillId="0" borderId="100" xfId="14" applyNumberFormat="1" applyFont="1" applyBorder="1" applyAlignment="1" applyProtection="1">
      <alignment horizontal="center" shrinkToFit="1"/>
      <protection locked="0"/>
    </xf>
    <xf numFmtId="0" fontId="5" fillId="0" borderId="62" xfId="14" applyNumberFormat="1" applyFont="1" applyBorder="1" applyAlignment="1" applyProtection="1">
      <alignment horizontal="center" shrinkToFit="1"/>
      <protection locked="0"/>
    </xf>
    <xf numFmtId="0" fontId="5" fillId="0" borderId="380" xfId="14" applyNumberFormat="1" applyFont="1" applyBorder="1" applyAlignment="1" applyProtection="1">
      <alignment shrinkToFit="1"/>
      <protection locked="0"/>
    </xf>
    <xf numFmtId="241" fontId="5" fillId="0" borderId="40" xfId="14" applyNumberFormat="1" applyFont="1" applyBorder="1" applyAlignment="1" applyProtection="1">
      <alignment shrinkToFit="1"/>
      <protection locked="0"/>
    </xf>
    <xf numFmtId="240" fontId="5" fillId="0" borderId="40" xfId="14" applyNumberFormat="1" applyFont="1" applyBorder="1" applyAlignment="1" applyProtection="1">
      <alignment shrinkToFit="1"/>
      <protection locked="0"/>
    </xf>
    <xf numFmtId="240" fontId="5" fillId="0" borderId="0" xfId="14" applyNumberFormat="1" applyFont="1" applyBorder="1" applyAlignment="1" applyProtection="1">
      <alignment shrinkToFit="1"/>
      <protection locked="0"/>
    </xf>
    <xf numFmtId="0" fontId="5" fillId="0" borderId="381" xfId="14" applyNumberFormat="1" applyFont="1" applyBorder="1" applyAlignment="1" applyProtection="1">
      <alignment horizontal="center" shrinkToFit="1"/>
      <protection locked="0"/>
    </xf>
    <xf numFmtId="3" fontId="5" fillId="0" borderId="255" xfId="14" applyNumberFormat="1" applyFont="1" applyBorder="1" applyAlignment="1" applyProtection="1">
      <alignment shrinkToFit="1"/>
      <protection locked="0"/>
    </xf>
    <xf numFmtId="3" fontId="5" fillId="0" borderId="40" xfId="14" applyNumberFormat="1" applyFont="1" applyBorder="1" applyAlignment="1" applyProtection="1">
      <alignment shrinkToFit="1"/>
      <protection locked="0"/>
    </xf>
    <xf numFmtId="3" fontId="18" fillId="0" borderId="40" xfId="14" applyNumberFormat="1" applyFont="1" applyBorder="1" applyAlignment="1" applyProtection="1">
      <alignment shrinkToFit="1"/>
      <protection locked="0"/>
    </xf>
    <xf numFmtId="3" fontId="18" fillId="0" borderId="307" xfId="14" applyNumberFormat="1" applyFont="1" applyBorder="1" applyAlignment="1" applyProtection="1">
      <alignment shrinkToFit="1"/>
      <protection locked="0"/>
    </xf>
    <xf numFmtId="3" fontId="5" fillId="0" borderId="381" xfId="14" applyNumberFormat="1" applyFont="1" applyBorder="1" applyAlignment="1" applyProtection="1">
      <alignment shrinkToFit="1"/>
      <protection locked="0"/>
    </xf>
    <xf numFmtId="3" fontId="5" fillId="0" borderId="62" xfId="14" applyNumberFormat="1" applyFont="1" applyBorder="1" applyAlignment="1" applyProtection="1">
      <alignment shrinkToFit="1"/>
      <protection locked="0"/>
    </xf>
    <xf numFmtId="3" fontId="18" fillId="0" borderId="0" xfId="14" applyNumberFormat="1" applyFont="1" applyBorder="1" applyAlignment="1" applyProtection="1">
      <alignment shrinkToFit="1"/>
      <protection locked="0"/>
    </xf>
    <xf numFmtId="2" fontId="5" fillId="0" borderId="255" xfId="14" applyNumberFormat="1" applyFont="1" applyBorder="1" applyAlignment="1" applyProtection="1">
      <alignment shrinkToFit="1"/>
      <protection locked="0"/>
    </xf>
    <xf numFmtId="2" fontId="5" fillId="0" borderId="206" xfId="14" applyNumberFormat="1" applyFont="1" applyBorder="1" applyAlignment="1" applyProtection="1">
      <alignment shrinkToFit="1"/>
      <protection locked="0"/>
    </xf>
    <xf numFmtId="3" fontId="5" fillId="0" borderId="40" xfId="14" applyNumberFormat="1" applyFont="1" applyFill="1" applyBorder="1" applyAlignment="1" applyProtection="1">
      <alignment shrinkToFit="1"/>
      <protection locked="0"/>
    </xf>
    <xf numFmtId="228" fontId="5" fillId="0" borderId="38" xfId="14" applyNumberFormat="1" applyFont="1" applyBorder="1" applyAlignment="1" applyProtection="1">
      <alignment shrinkToFit="1"/>
      <protection locked="0"/>
    </xf>
    <xf numFmtId="241" fontId="18" fillId="23" borderId="389" xfId="14" applyNumberFormat="1" applyFont="1" applyFill="1" applyBorder="1" applyAlignment="1">
      <alignment vertical="center" shrinkToFit="1"/>
    </xf>
    <xf numFmtId="240" fontId="18" fillId="23" borderId="389" xfId="14" applyNumberFormat="1" applyFont="1" applyFill="1" applyBorder="1" applyAlignment="1">
      <alignment vertical="center" shrinkToFit="1"/>
    </xf>
    <xf numFmtId="0" fontId="18" fillId="23" borderId="390" xfId="14" applyNumberFormat="1" applyFont="1" applyFill="1" applyBorder="1" applyAlignment="1">
      <alignment vertical="center" shrinkToFit="1"/>
    </xf>
    <xf numFmtId="3" fontId="18" fillId="23" borderId="390" xfId="14" applyNumberFormat="1" applyFont="1" applyFill="1" applyBorder="1" applyAlignment="1">
      <alignment vertical="center" shrinkToFit="1"/>
    </xf>
    <xf numFmtId="3" fontId="18" fillId="23" borderId="389" xfId="14" applyNumberFormat="1" applyFont="1" applyFill="1" applyBorder="1" applyAlignment="1">
      <alignment vertical="center" shrinkToFit="1"/>
    </xf>
    <xf numFmtId="2" fontId="18" fillId="23" borderId="390" xfId="14" applyNumberFormat="1" applyFont="1" applyFill="1" applyBorder="1" applyAlignment="1">
      <alignment vertical="center" shrinkToFit="1"/>
    </xf>
    <xf numFmtId="2" fontId="18" fillId="23" borderId="389" xfId="14" applyNumberFormat="1" applyFont="1" applyFill="1" applyBorder="1" applyAlignment="1">
      <alignment vertical="center" shrinkToFit="1"/>
    </xf>
    <xf numFmtId="228" fontId="18" fillId="23" borderId="391" xfId="14" applyNumberFormat="1" applyFont="1" applyFill="1" applyBorder="1" applyAlignment="1">
      <alignment vertical="center" shrinkToFit="1"/>
    </xf>
    <xf numFmtId="0" fontId="18" fillId="23" borderId="388" xfId="14" applyNumberFormat="1" applyFont="1" applyFill="1" applyBorder="1" applyAlignment="1">
      <alignment horizontal="center" vertical="center" shrinkToFit="1"/>
    </xf>
    <xf numFmtId="0" fontId="0" fillId="0" borderId="387" xfId="0" applyBorder="1" applyAlignment="1">
      <alignment horizontal="center" vertical="center" shrinkToFit="1"/>
    </xf>
    <xf numFmtId="0" fontId="0" fillId="0" borderId="392" xfId="0" applyBorder="1" applyAlignment="1">
      <alignment horizontal="center" vertical="center" shrinkToFit="1"/>
    </xf>
    <xf numFmtId="0" fontId="5" fillId="3" borderId="79"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protection locked="0"/>
    </xf>
    <xf numFmtId="0" fontId="5" fillId="3" borderId="393" xfId="14" applyNumberFormat="1" applyFont="1" applyFill="1" applyBorder="1" applyAlignment="1" applyProtection="1">
      <alignment horizontal="center" vertical="center"/>
      <protection locked="0"/>
    </xf>
    <xf numFmtId="0" fontId="0" fillId="0" borderId="166" xfId="0" applyBorder="1" applyAlignment="1">
      <alignment horizontal="center" vertical="center"/>
    </xf>
    <xf numFmtId="0" fontId="5" fillId="3" borderId="393" xfId="14" applyNumberFormat="1" applyFont="1" applyFill="1" applyBorder="1" applyAlignment="1" applyProtection="1">
      <alignment horizontal="center" vertical="center" wrapText="1"/>
      <protection locked="0"/>
    </xf>
    <xf numFmtId="194" fontId="5" fillId="12" borderId="166" xfId="2" applyNumberFormat="1" applyFont="1" applyFill="1" applyBorder="1" applyAlignment="1" applyProtection="1">
      <alignment horizontal="center" vertical="center" wrapText="1" shrinkToFit="1"/>
      <protection locked="0"/>
    </xf>
    <xf numFmtId="195" fontId="5" fillId="12" borderId="165" xfId="2" applyNumberFormat="1" applyFont="1" applyFill="1" applyBorder="1" applyAlignment="1" applyProtection="1">
      <alignment horizontal="center" vertical="center" wrapText="1" shrinkToFit="1"/>
      <protection locked="0"/>
    </xf>
    <xf numFmtId="196" fontId="5" fillId="12" borderId="56" xfId="2" applyNumberFormat="1" applyFont="1" applyFill="1" applyBorder="1" applyAlignment="1" applyProtection="1">
      <alignment horizontal="center" vertical="center" wrapText="1" shrinkToFit="1"/>
      <protection locked="0"/>
    </xf>
    <xf numFmtId="197" fontId="5" fillId="12" borderId="42" xfId="2" applyNumberFormat="1" applyFont="1" applyFill="1" applyBorder="1" applyAlignment="1" applyProtection="1">
      <alignment horizontal="center" vertical="center" wrapText="1" shrinkToFit="1"/>
      <protection locked="0"/>
    </xf>
    <xf numFmtId="0" fontId="18" fillId="0" borderId="0" xfId="2" applyFont="1" applyFill="1" applyBorder="1" applyAlignment="1" applyProtection="1">
      <alignment horizontal="left" vertical="center" indent="1"/>
      <protection locked="0"/>
    </xf>
    <xf numFmtId="0" fontId="5" fillId="0" borderId="0" xfId="2" applyFont="1" applyFill="1" applyBorder="1" applyAlignment="1" applyProtection="1">
      <alignment horizontal="center"/>
      <protection locked="0"/>
    </xf>
    <xf numFmtId="176" fontId="33" fillId="0" borderId="134" xfId="2" applyNumberFormat="1" applyFont="1" applyFill="1" applyBorder="1" applyAlignment="1" applyProtection="1">
      <alignment horizontal="left" vertical="center" indent="1"/>
      <protection locked="0"/>
    </xf>
    <xf numFmtId="0" fontId="5" fillId="0" borderId="394" xfId="2" applyFont="1" applyFill="1" applyBorder="1" applyAlignment="1" applyProtection="1">
      <alignment horizontal="right"/>
    </xf>
    <xf numFmtId="3" fontId="5" fillId="0" borderId="158" xfId="12" applyNumberFormat="1" applyFont="1" applyFill="1" applyBorder="1" applyAlignment="1" applyProtection="1">
      <alignment horizontal="right" shrinkToFit="1"/>
    </xf>
    <xf numFmtId="0" fontId="5" fillId="0" borderId="0" xfId="2" applyFont="1" applyFill="1" applyBorder="1" applyAlignment="1" applyProtection="1">
      <protection locked="0"/>
    </xf>
    <xf numFmtId="0" fontId="5" fillId="0" borderId="0" xfId="14" applyFont="1" applyAlignment="1"/>
    <xf numFmtId="0" fontId="5" fillId="0" borderId="57" xfId="3" applyFont="1" applyFill="1" applyBorder="1" applyAlignment="1">
      <alignment horizontal="left" vertical="center" indent="1" shrinkToFit="1"/>
    </xf>
    <xf numFmtId="0" fontId="5" fillId="0" borderId="56" xfId="3" applyFont="1" applyFill="1" applyBorder="1" applyAlignment="1">
      <alignment horizontal="left" vertical="center" indent="1" shrinkToFit="1"/>
    </xf>
    <xf numFmtId="0" fontId="5" fillId="0" borderId="97" xfId="3" applyFont="1" applyFill="1" applyBorder="1" applyAlignment="1">
      <alignment horizontal="left" vertical="center" indent="1" shrinkToFit="1"/>
    </xf>
    <xf numFmtId="0" fontId="5" fillId="0" borderId="0" xfId="14" applyFont="1" applyAlignment="1">
      <alignment horizontal="left" indent="1" shrinkToFit="1"/>
    </xf>
    <xf numFmtId="0" fontId="5" fillId="0" borderId="38" xfId="3" applyFont="1" applyFill="1" applyBorder="1" applyAlignment="1">
      <alignment horizontal="left" vertical="center" indent="1" shrinkToFit="1"/>
    </xf>
    <xf numFmtId="0" fontId="5" fillId="0" borderId="0" xfId="3" applyFont="1" applyFill="1" applyBorder="1" applyAlignment="1">
      <alignment horizontal="left" vertical="center" indent="1" shrinkToFit="1"/>
    </xf>
    <xf numFmtId="0" fontId="5" fillId="0" borderId="96" xfId="3" applyFont="1" applyFill="1" applyBorder="1" applyAlignment="1">
      <alignment horizontal="left" vertical="center" indent="1" shrinkToFit="1"/>
    </xf>
    <xf numFmtId="0" fontId="5" fillId="0" borderId="0" xfId="14" applyFont="1" applyBorder="1" applyAlignment="1"/>
    <xf numFmtId="0" fontId="5" fillId="0" borderId="395" xfId="14" applyFont="1" applyBorder="1" applyAlignment="1">
      <alignment horizontal="left" indent="1" shrinkToFit="1"/>
    </xf>
    <xf numFmtId="0" fontId="5" fillId="0" borderId="396" xfId="14" applyFont="1" applyBorder="1" applyAlignment="1"/>
    <xf numFmtId="0" fontId="5" fillId="0" borderId="0" xfId="16" applyFont="1" applyAlignment="1"/>
    <xf numFmtId="0" fontId="5" fillId="0" borderId="0" xfId="14" applyNumberFormat="1" applyFont="1" applyBorder="1" applyAlignment="1" applyProtection="1">
      <protection locked="0"/>
    </xf>
    <xf numFmtId="0" fontId="5" fillId="0" borderId="0" xfId="14" applyNumberFormat="1" applyFont="1" applyBorder="1" applyAlignment="1" applyProtection="1">
      <alignment horizontal="left" indent="1"/>
      <protection locked="0"/>
    </xf>
    <xf numFmtId="0" fontId="5" fillId="0" borderId="0" xfId="16" applyFont="1" applyBorder="1" applyAlignment="1"/>
    <xf numFmtId="0" fontId="5" fillId="0" borderId="0" xfId="14" applyNumberFormat="1" applyFont="1" applyBorder="1" applyAlignment="1"/>
    <xf numFmtId="0" fontId="5" fillId="0" borderId="0" xfId="17" applyFont="1" applyFill="1" applyAlignment="1"/>
    <xf numFmtId="0" fontId="5" fillId="0" borderId="0" xfId="17" applyNumberFormat="1" applyFont="1" applyFill="1" applyBorder="1" applyAlignment="1"/>
    <xf numFmtId="193" fontId="5" fillId="0" borderId="0" xfId="17" applyNumberFormat="1" applyFont="1" applyFill="1" applyBorder="1" applyAlignment="1"/>
    <xf numFmtId="0" fontId="5" fillId="0" borderId="397" xfId="17" applyFont="1" applyFill="1" applyBorder="1" applyAlignment="1">
      <alignment horizontal="center" vertical="center" wrapText="1"/>
    </xf>
    <xf numFmtId="0" fontId="5" fillId="0" borderId="398" xfId="17" applyFont="1" applyFill="1" applyBorder="1" applyAlignment="1">
      <alignment horizontal="center" vertical="center" wrapText="1"/>
    </xf>
    <xf numFmtId="0" fontId="5" fillId="0" borderId="399" xfId="17" applyFont="1" applyFill="1" applyBorder="1" applyAlignment="1">
      <alignment horizontal="center" vertical="center" wrapText="1"/>
    </xf>
    <xf numFmtId="0" fontId="5" fillId="0" borderId="400" xfId="17" applyFont="1" applyFill="1" applyBorder="1" applyAlignment="1">
      <alignment horizontal="center" vertical="center" wrapText="1"/>
    </xf>
    <xf numFmtId="193" fontId="45" fillId="0" borderId="0" xfId="17" applyNumberFormat="1" applyFont="1" applyFill="1" applyBorder="1" applyAlignment="1"/>
    <xf numFmtId="0" fontId="5" fillId="0" borderId="177" xfId="3" applyFont="1" applyFill="1" applyBorder="1" applyAlignment="1">
      <alignment horizontal="left" vertical="center" indent="1" shrinkToFit="1"/>
    </xf>
    <xf numFmtId="0" fontId="5" fillId="0" borderId="171" xfId="3" applyFont="1" applyFill="1" applyBorder="1" applyAlignment="1">
      <alignment horizontal="left" vertical="center" indent="1" shrinkToFit="1"/>
    </xf>
    <xf numFmtId="0" fontId="5" fillId="0" borderId="170" xfId="3" applyFont="1" applyFill="1" applyBorder="1" applyAlignment="1">
      <alignment horizontal="left" vertical="center" indent="1" shrinkToFit="1"/>
    </xf>
    <xf numFmtId="0" fontId="46" fillId="0" borderId="0" xfId="17" applyFont="1" applyFill="1" applyAlignment="1">
      <alignment horizontal="right"/>
    </xf>
    <xf numFmtId="193" fontId="5" fillId="0" borderId="285" xfId="14" applyNumberFormat="1" applyFont="1" applyFill="1" applyBorder="1" applyAlignment="1"/>
    <xf numFmtId="193" fontId="5" fillId="0" borderId="0" xfId="14" applyNumberFormat="1" applyFont="1" applyBorder="1" applyAlignment="1"/>
    <xf numFmtId="0" fontId="10" fillId="0" borderId="0" xfId="14" applyFont="1" applyAlignment="1"/>
    <xf numFmtId="0" fontId="10" fillId="2" borderId="4" xfId="14" applyFont="1" applyFill="1" applyBorder="1" applyAlignment="1"/>
    <xf numFmtId="0" fontId="10" fillId="2" borderId="3" xfId="14" applyFont="1" applyFill="1" applyBorder="1" applyAlignment="1"/>
    <xf numFmtId="0" fontId="10" fillId="2" borderId="3" xfId="14" applyFont="1" applyFill="1" applyBorder="1" applyAlignment="1">
      <alignment vertical="center"/>
    </xf>
    <xf numFmtId="0" fontId="31" fillId="2" borderId="2" xfId="14" applyFont="1" applyFill="1" applyBorder="1" applyAlignment="1">
      <alignment horizontal="left" vertical="center"/>
    </xf>
    <xf numFmtId="0" fontId="10" fillId="2" borderId="35" xfId="14" applyFont="1" applyFill="1" applyBorder="1" applyAlignment="1"/>
    <xf numFmtId="0" fontId="10" fillId="2" borderId="34" xfId="14" applyFont="1" applyFill="1" applyBorder="1" applyAlignment="1"/>
    <xf numFmtId="0" fontId="31" fillId="2" borderId="2" xfId="14" applyFont="1" applyFill="1" applyBorder="1" applyAlignment="1">
      <alignment horizontal="left" vertical="center" indent="1"/>
    </xf>
    <xf numFmtId="0" fontId="5" fillId="0" borderId="0" xfId="14" applyFont="1" applyAlignment="1">
      <alignment shrinkToFit="1"/>
    </xf>
    <xf numFmtId="0" fontId="0" fillId="0" borderId="0" xfId="0" applyAlignment="1">
      <alignment shrinkToFit="1"/>
    </xf>
    <xf numFmtId="0" fontId="5" fillId="0" borderId="396" xfId="14" applyFont="1" applyBorder="1" applyAlignment="1">
      <alignment shrinkToFit="1"/>
    </xf>
    <xf numFmtId="0" fontId="0" fillId="0" borderId="396" xfId="0" applyBorder="1" applyAlignment="1">
      <alignment shrinkToFit="1"/>
    </xf>
    <xf numFmtId="0" fontId="5" fillId="0" borderId="395" xfId="14" applyFont="1" applyBorder="1" applyAlignment="1">
      <alignment shrinkToFit="1"/>
    </xf>
    <xf numFmtId="0" fontId="0" fillId="0" borderId="395" xfId="0" applyBorder="1" applyAlignment="1">
      <alignment shrinkToFit="1"/>
    </xf>
    <xf numFmtId="0" fontId="5" fillId="0" borderId="0" xfId="14" applyNumberFormat="1" applyFont="1" applyBorder="1" applyAlignment="1" applyProtection="1">
      <alignment shrinkToFit="1"/>
      <protection locked="0"/>
    </xf>
    <xf numFmtId="0" fontId="5" fillId="0" borderId="0" xfId="14" applyFont="1" applyBorder="1" applyAlignment="1">
      <alignment shrinkToFit="1"/>
    </xf>
    <xf numFmtId="0" fontId="5" fillId="0" borderId="0" xfId="14" applyNumberFormat="1" applyFont="1" applyBorder="1" applyAlignment="1">
      <alignment shrinkToFit="1"/>
    </xf>
    <xf numFmtId="0" fontId="5" fillId="0" borderId="0" xfId="16" applyFont="1" applyBorder="1" applyAlignment="1">
      <alignment shrinkToFit="1"/>
    </xf>
    <xf numFmtId="0" fontId="5" fillId="0" borderId="0" xfId="16" applyFont="1" applyAlignment="1">
      <alignment shrinkToFit="1"/>
    </xf>
    <xf numFmtId="0" fontId="5" fillId="0" borderId="57" xfId="14" applyNumberFormat="1" applyFont="1" applyBorder="1" applyAlignment="1" applyProtection="1">
      <alignment shrinkToFit="1"/>
      <protection locked="0"/>
    </xf>
    <xf numFmtId="228" fontId="5" fillId="0" borderId="160" xfId="14" applyNumberFormat="1" applyFont="1" applyBorder="1" applyAlignment="1" applyProtection="1">
      <alignment shrinkToFit="1"/>
      <protection locked="0"/>
    </xf>
    <xf numFmtId="4" fontId="18" fillId="0" borderId="45" xfId="14" applyNumberFormat="1" applyFont="1" applyBorder="1" applyAlignment="1" applyProtection="1">
      <alignment shrinkToFit="1"/>
      <protection locked="0"/>
    </xf>
    <xf numFmtId="4" fontId="5" fillId="0" borderId="45" xfId="14" applyNumberFormat="1" applyFont="1" applyBorder="1" applyAlignment="1" applyProtection="1">
      <alignment shrinkToFit="1"/>
      <protection locked="0"/>
    </xf>
    <xf numFmtId="4" fontId="5" fillId="0" borderId="350" xfId="14" applyNumberFormat="1" applyFont="1" applyBorder="1" applyAlignment="1" applyProtection="1">
      <alignment shrinkToFit="1"/>
      <protection locked="0"/>
    </xf>
    <xf numFmtId="3" fontId="18" fillId="0" borderId="366" xfId="14" applyNumberFormat="1" applyFont="1" applyBorder="1" applyAlignment="1" applyProtection="1">
      <alignment shrinkToFit="1"/>
      <protection locked="0"/>
    </xf>
    <xf numFmtId="4" fontId="5" fillId="0" borderId="366" xfId="14" applyNumberFormat="1" applyFont="1" applyBorder="1" applyAlignment="1" applyProtection="1">
      <alignment shrinkToFit="1"/>
      <protection locked="0"/>
    </xf>
    <xf numFmtId="0" fontId="5" fillId="0" borderId="129" xfId="14" applyNumberFormat="1" applyFont="1" applyBorder="1" applyAlignment="1" applyProtection="1">
      <alignment shrinkToFit="1"/>
      <protection locked="0"/>
    </xf>
    <xf numFmtId="228" fontId="5" fillId="0" borderId="149" xfId="14" applyNumberFormat="1" applyFont="1" applyBorder="1" applyAlignment="1" applyProtection="1">
      <alignment shrinkToFit="1"/>
      <protection locked="0"/>
    </xf>
    <xf numFmtId="4" fontId="18" fillId="0" borderId="128" xfId="14" applyNumberFormat="1" applyFont="1" applyBorder="1" applyAlignment="1" applyProtection="1">
      <alignment shrinkToFit="1"/>
      <protection locked="0"/>
    </xf>
    <xf numFmtId="4" fontId="5" fillId="0" borderId="128" xfId="14" applyNumberFormat="1" applyFont="1" applyBorder="1" applyAlignment="1" applyProtection="1">
      <alignment shrinkToFit="1"/>
      <protection locked="0"/>
    </xf>
    <xf numFmtId="4" fontId="5" fillId="0" borderId="192" xfId="14" applyNumberFormat="1" applyFont="1" applyBorder="1" applyAlignment="1" applyProtection="1">
      <alignment shrinkToFit="1"/>
      <protection locked="0"/>
    </xf>
    <xf numFmtId="3" fontId="18" fillId="0" borderId="369" xfId="14" applyNumberFormat="1" applyFont="1" applyBorder="1" applyAlignment="1" applyProtection="1">
      <alignment shrinkToFit="1"/>
      <protection locked="0"/>
    </xf>
    <xf numFmtId="4" fontId="5" fillId="0" borderId="369" xfId="14" applyNumberFormat="1" applyFont="1" applyBorder="1" applyAlignment="1" applyProtection="1">
      <alignment shrinkToFit="1"/>
      <protection locked="0"/>
    </xf>
    <xf numFmtId="0" fontId="5" fillId="0" borderId="193" xfId="14" applyNumberFormat="1" applyFont="1" applyBorder="1" applyAlignment="1" applyProtection="1">
      <alignment shrinkToFit="1"/>
      <protection locked="0"/>
    </xf>
    <xf numFmtId="228" fontId="5" fillId="0" borderId="345" xfId="14" applyNumberFormat="1" applyFont="1" applyBorder="1" applyAlignment="1" applyProtection="1">
      <alignment shrinkToFit="1"/>
      <protection locked="0"/>
    </xf>
    <xf numFmtId="4" fontId="18" fillId="0" borderId="64" xfId="14" applyNumberFormat="1" applyFont="1" applyBorder="1" applyAlignment="1" applyProtection="1">
      <alignment shrinkToFit="1"/>
      <protection locked="0"/>
    </xf>
    <xf numFmtId="4" fontId="5" fillId="0" borderId="64" xfId="14" applyNumberFormat="1" applyFont="1" applyBorder="1" applyAlignment="1" applyProtection="1">
      <alignment shrinkToFit="1"/>
      <protection locked="0"/>
    </xf>
    <xf numFmtId="4" fontId="5" fillId="0" borderId="346" xfId="14" applyNumberFormat="1" applyFont="1" applyBorder="1" applyAlignment="1" applyProtection="1">
      <alignment shrinkToFit="1"/>
      <protection locked="0"/>
    </xf>
    <xf numFmtId="3" fontId="18" fillId="0" borderId="65" xfId="14" applyNumberFormat="1" applyFont="1" applyBorder="1" applyAlignment="1" applyProtection="1">
      <alignment shrinkToFit="1"/>
      <protection locked="0"/>
    </xf>
    <xf numFmtId="4" fontId="5" fillId="0" borderId="65" xfId="14" applyNumberFormat="1" applyFont="1" applyBorder="1" applyAlignment="1" applyProtection="1">
      <alignment shrinkToFit="1"/>
      <protection locked="0"/>
    </xf>
    <xf numFmtId="0" fontId="5" fillId="3" borderId="57"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shrinkToFit="1"/>
      <protection locked="0"/>
    </xf>
    <xf numFmtId="0" fontId="5" fillId="3" borderId="353" xfId="14" applyNumberFormat="1" applyFont="1" applyFill="1" applyBorder="1" applyAlignment="1" applyProtection="1">
      <alignment horizontal="center" vertical="center" wrapText="1" shrinkToFit="1"/>
      <protection locked="0"/>
    </xf>
    <xf numFmtId="0" fontId="5" fillId="3" borderId="368" xfId="14" applyNumberFormat="1" applyFont="1" applyFill="1" applyBorder="1" applyAlignment="1" applyProtection="1">
      <alignment horizontal="center" vertical="center" wrapText="1" shrinkToFit="1"/>
      <protection locked="0"/>
    </xf>
    <xf numFmtId="0" fontId="5" fillId="3" borderId="40" xfId="14" applyNumberFormat="1" applyFont="1" applyFill="1" applyBorder="1" applyAlignment="1" applyProtection="1">
      <alignment horizontal="center" shrinkToFit="1"/>
      <protection locked="0"/>
    </xf>
    <xf numFmtId="0" fontId="5" fillId="3" borderId="40" xfId="14" applyFont="1" applyFill="1" applyBorder="1" applyAlignment="1" applyProtection="1">
      <alignment horizontal="center" shrinkToFit="1"/>
      <protection locked="0"/>
    </xf>
    <xf numFmtId="0" fontId="5" fillId="3" borderId="255" xfId="14" applyFont="1" applyFill="1" applyBorder="1" applyAlignment="1" applyProtection="1">
      <alignment horizontal="center" shrinkToFit="1"/>
      <protection locked="0"/>
    </xf>
    <xf numFmtId="0" fontId="5" fillId="3" borderId="366" xfId="14" applyNumberFormat="1" applyFont="1" applyFill="1" applyBorder="1" applyAlignment="1" applyProtection="1">
      <alignment horizontal="center" vertical="center" wrapText="1" shrinkToFit="1"/>
      <protection locked="0"/>
    </xf>
    <xf numFmtId="0" fontId="5" fillId="3" borderId="35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shrinkToFit="1"/>
      <protection locked="0"/>
    </xf>
    <xf numFmtId="0" fontId="5" fillId="3" borderId="368" xfId="14" applyFont="1" applyFill="1" applyBorder="1" applyAlignment="1" applyProtection="1">
      <alignment horizontal="center" vertical="center" shrinkToFit="1"/>
      <protection locked="0"/>
    </xf>
    <xf numFmtId="0" fontId="5" fillId="3" borderId="366" xfId="14" applyFont="1" applyFill="1" applyBorder="1" applyAlignment="1" applyProtection="1">
      <alignment horizontal="center" vertical="center" shrinkToFit="1"/>
      <protection locked="0"/>
    </xf>
    <xf numFmtId="0" fontId="5" fillId="3" borderId="159" xfId="14" applyFont="1" applyFill="1" applyBorder="1" applyAlignment="1" applyProtection="1">
      <alignment horizontal="center" vertical="center"/>
      <protection locked="0"/>
    </xf>
    <xf numFmtId="0" fontId="5" fillId="3" borderId="38"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shrinkToFit="1"/>
      <protection locked="0"/>
    </xf>
    <xf numFmtId="0" fontId="5" fillId="3" borderId="148" xfId="14" applyNumberFormat="1" applyFont="1" applyFill="1" applyBorder="1" applyAlignment="1" applyProtection="1">
      <alignment horizontal="center" vertical="center" wrapText="1" shrinkToFit="1"/>
      <protection locked="0"/>
    </xf>
    <xf numFmtId="0" fontId="5" fillId="3" borderId="128" xfId="14" applyNumberFormat="1" applyFont="1" applyFill="1" applyBorder="1" applyAlignment="1" applyProtection="1">
      <alignment horizontal="center" vertical="center"/>
      <protection locked="0"/>
    </xf>
    <xf numFmtId="0" fontId="5" fillId="3" borderId="189" xfId="14" applyNumberFormat="1" applyFont="1" applyFill="1" applyBorder="1" applyAlignment="1" applyProtection="1">
      <alignment horizontal="center" vertical="center"/>
      <protection locked="0"/>
    </xf>
    <xf numFmtId="0" fontId="5" fillId="3" borderId="148"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wrapText="1" shrinkToFit="1"/>
      <protection locked="0"/>
    </xf>
    <xf numFmtId="0" fontId="5" fillId="3" borderId="79" xfId="14" applyNumberFormat="1" applyFont="1" applyFill="1" applyBorder="1" applyAlignment="1" applyProtection="1">
      <alignment horizontal="center" vertical="center" wrapText="1" shrinkToFit="1"/>
      <protection locked="0"/>
    </xf>
    <xf numFmtId="0" fontId="5" fillId="3" borderId="266"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protection locked="0"/>
    </xf>
    <xf numFmtId="0" fontId="5" fillId="3" borderId="307" xfId="14" applyFont="1" applyFill="1" applyBorder="1" applyAlignment="1" applyProtection="1">
      <alignment horizontal="center" vertical="center" shrinkToFit="1"/>
      <protection locked="0"/>
    </xf>
    <xf numFmtId="0" fontId="5" fillId="3" borderId="206" xfId="14" applyNumberFormat="1" applyFont="1" applyFill="1" applyBorder="1" applyAlignment="1" applyProtection="1">
      <alignment horizontal="center" vertical="center" wrapText="1" shrinkToFit="1"/>
      <protection locked="0"/>
    </xf>
    <xf numFmtId="0" fontId="5" fillId="3" borderId="207" xfId="14" applyNumberFormat="1" applyFont="1" applyFill="1" applyBorder="1" applyAlignment="1" applyProtection="1">
      <alignment horizontal="center" vertical="center" wrapText="1" shrinkToFit="1"/>
      <protection locked="0"/>
    </xf>
    <xf numFmtId="0" fontId="5" fillId="3" borderId="217" xfId="14" applyNumberFormat="1" applyFont="1" applyFill="1" applyBorder="1" applyAlignment="1" applyProtection="1">
      <alignment horizontal="center" vertical="center"/>
      <protection locked="0"/>
    </xf>
    <xf numFmtId="0" fontId="5" fillId="3" borderId="213" xfId="14" applyNumberFormat="1" applyFont="1" applyFill="1" applyBorder="1" applyAlignment="1" applyProtection="1">
      <alignment horizontal="center" vertical="center"/>
      <protection locked="0"/>
    </xf>
    <xf numFmtId="0" fontId="5" fillId="3" borderId="128" xfId="14" applyNumberFormat="1" applyFont="1" applyFill="1" applyBorder="1" applyAlignment="1" applyProtection="1">
      <alignment horizontal="center" vertical="center" wrapText="1" shrinkToFit="1"/>
      <protection locked="0"/>
    </xf>
    <xf numFmtId="0" fontId="5" fillId="3" borderId="189" xfId="14" applyNumberFormat="1" applyFont="1" applyFill="1" applyBorder="1" applyAlignment="1" applyProtection="1">
      <alignment horizontal="center" vertical="center" wrapText="1" shrinkToFit="1"/>
      <protection locked="0"/>
    </xf>
    <xf numFmtId="0" fontId="5" fillId="3" borderId="401" xfId="14" applyNumberFormat="1" applyFont="1" applyFill="1" applyBorder="1" applyAlignment="1" applyProtection="1">
      <alignment horizontal="center" vertical="center" wrapText="1" shrinkToFit="1"/>
      <protection locked="0"/>
    </xf>
    <xf numFmtId="0" fontId="5" fillId="3" borderId="218" xfId="14" applyNumberFormat="1" applyFont="1" applyFill="1" applyBorder="1" applyAlignment="1" applyProtection="1">
      <alignment horizontal="center" vertical="center" wrapText="1" shrinkToFit="1"/>
      <protection locked="0"/>
    </xf>
    <xf numFmtId="0" fontId="5" fillId="3" borderId="35"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wrapText="1" shrinkToFit="1"/>
      <protection locked="0"/>
    </xf>
    <xf numFmtId="0" fontId="5" fillId="3" borderId="139"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protection locked="0"/>
    </xf>
    <xf numFmtId="0" fontId="5" fillId="3" borderId="34" xfId="14" applyNumberFormat="1" applyFont="1" applyFill="1" applyBorder="1" applyAlignment="1" applyProtection="1">
      <alignment horizontal="center" vertical="center"/>
      <protection locked="0"/>
    </xf>
    <xf numFmtId="0" fontId="5" fillId="3" borderId="139" xfId="14" applyNumberFormat="1" applyFont="1" applyFill="1" applyBorder="1" applyAlignment="1" applyProtection="1">
      <alignment horizontal="center" vertical="center"/>
      <protection locked="0"/>
    </xf>
    <xf numFmtId="0" fontId="5" fillId="3" borderId="383" xfId="14" applyNumberFormat="1" applyFont="1" applyFill="1" applyBorder="1" applyAlignment="1" applyProtection="1">
      <alignment horizontal="center" vertical="center" wrapText="1"/>
      <protection locked="0"/>
    </xf>
    <xf numFmtId="0" fontId="5" fillId="3" borderId="84" xfId="14" applyNumberFormat="1" applyFont="1" applyFill="1" applyBorder="1" applyAlignment="1" applyProtection="1">
      <alignment horizontal="center" vertical="center" wrapText="1"/>
      <protection locked="0"/>
    </xf>
    <xf numFmtId="0" fontId="5" fillId="3" borderId="143" xfId="14" applyNumberFormat="1" applyFont="1" applyFill="1" applyBorder="1" applyAlignment="1" applyProtection="1">
      <alignment horizontal="center" vertical="center" wrapText="1"/>
      <protection locked="0"/>
    </xf>
    <xf numFmtId="0" fontId="5" fillId="3" borderId="136" xfId="14" applyFont="1" applyFill="1" applyBorder="1" applyAlignment="1" applyProtection="1">
      <alignment horizontal="center" vertical="center" shrinkToFit="1"/>
      <protection locked="0"/>
    </xf>
    <xf numFmtId="0" fontId="2" fillId="2" borderId="4" xfId="14" applyFont="1" applyFill="1" applyBorder="1"/>
    <xf numFmtId="0" fontId="2" fillId="2" borderId="3" xfId="14" applyFont="1" applyFill="1" applyBorder="1"/>
    <xf numFmtId="0" fontId="2" fillId="2" borderId="3" xfId="14" applyNumberFormat="1" applyFont="1" applyFill="1" applyBorder="1" applyProtection="1">
      <protection locked="0"/>
    </xf>
    <xf numFmtId="242" fontId="2" fillId="2" borderId="3" xfId="14" applyNumberFormat="1" applyFont="1" applyFill="1" applyBorder="1" applyAlignment="1" applyProtection="1">
      <alignment horizontal="left"/>
      <protection locked="0"/>
    </xf>
    <xf numFmtId="193" fontId="48" fillId="2" borderId="3" xfId="14" applyNumberFormat="1" applyFont="1" applyFill="1" applyBorder="1" applyProtection="1">
      <protection locked="0"/>
    </xf>
    <xf numFmtId="193" fontId="2" fillId="2" borderId="3" xfId="14" applyNumberFormat="1" applyFont="1" applyFill="1" applyBorder="1" applyProtection="1">
      <protection locked="0"/>
    </xf>
    <xf numFmtId="0" fontId="48" fillId="2" borderId="2" xfId="14" applyNumberFormat="1" applyFont="1" applyFill="1" applyBorder="1" applyAlignment="1" applyProtection="1">
      <alignment horizontal="left" vertical="center" indent="1"/>
      <protection locked="0"/>
    </xf>
    <xf numFmtId="4" fontId="5" fillId="0" borderId="40" xfId="14" applyNumberFormat="1" applyFont="1" applyBorder="1" applyAlignment="1" applyProtection="1">
      <alignment shrinkToFit="1"/>
      <protection locked="0"/>
    </xf>
    <xf numFmtId="4" fontId="5" fillId="0" borderId="62" xfId="14" applyNumberFormat="1" applyFont="1" applyBorder="1" applyAlignment="1" applyProtection="1">
      <alignment shrinkToFit="1"/>
      <protection locked="0"/>
    </xf>
    <xf numFmtId="3" fontId="18" fillId="0" borderId="62" xfId="14" applyNumberFormat="1" applyFont="1" applyBorder="1" applyAlignment="1" applyProtection="1">
      <alignment shrinkToFit="1"/>
      <protection locked="0"/>
    </xf>
    <xf numFmtId="4" fontId="5" fillId="0" borderId="255" xfId="14" applyNumberFormat="1" applyFont="1" applyBorder="1" applyAlignment="1" applyProtection="1">
      <alignment shrinkToFit="1"/>
      <protection locked="0"/>
    </xf>
    <xf numFmtId="4" fontId="18" fillId="0" borderId="40" xfId="14" applyNumberFormat="1" applyFont="1" applyBorder="1" applyAlignment="1" applyProtection="1">
      <alignment shrinkToFit="1"/>
      <protection locked="0"/>
    </xf>
    <xf numFmtId="228" fontId="5" fillId="0" borderId="206" xfId="14" applyNumberFormat="1" applyFont="1" applyBorder="1" applyAlignment="1" applyProtection="1">
      <alignment shrinkToFit="1"/>
      <protection locked="0"/>
    </xf>
    <xf numFmtId="0" fontId="5" fillId="0" borderId="38" xfId="14" applyNumberFormat="1" applyFont="1" applyBorder="1" applyAlignment="1" applyProtection="1">
      <alignment shrinkToFit="1"/>
      <protection locked="0"/>
    </xf>
    <xf numFmtId="0" fontId="5" fillId="0" borderId="369" xfId="14" applyNumberFormat="1" applyFont="1" applyBorder="1" applyAlignment="1" applyProtection="1">
      <alignment shrinkToFit="1"/>
      <protection locked="0"/>
    </xf>
    <xf numFmtId="3" fontId="18" fillId="23" borderId="404" xfId="14" applyNumberFormat="1" applyFont="1" applyFill="1" applyBorder="1" applyAlignment="1" applyProtection="1">
      <alignment vertical="center" shrinkToFit="1"/>
      <protection locked="0"/>
    </xf>
    <xf numFmtId="3" fontId="18" fillId="23" borderId="403" xfId="14" applyNumberFormat="1" applyFont="1" applyFill="1" applyBorder="1" applyAlignment="1" applyProtection="1">
      <alignment vertical="center" shrinkToFit="1"/>
      <protection locked="0"/>
    </xf>
    <xf numFmtId="4" fontId="18" fillId="23" borderId="403" xfId="14" applyNumberFormat="1" applyFont="1" applyFill="1" applyBorder="1" applyAlignment="1" applyProtection="1">
      <alignment vertical="center" shrinkToFit="1"/>
      <protection locked="0"/>
    </xf>
    <xf numFmtId="4" fontId="18" fillId="23" borderId="404" xfId="14" applyNumberFormat="1" applyFont="1" applyFill="1" applyBorder="1" applyAlignment="1" applyProtection="1">
      <alignment vertical="center" shrinkToFit="1"/>
      <protection locked="0"/>
    </xf>
    <xf numFmtId="0" fontId="18" fillId="23" borderId="405" xfId="14" applyNumberFormat="1" applyFont="1" applyFill="1" applyBorder="1" applyAlignment="1" applyProtection="1">
      <alignment vertical="center" shrinkToFit="1"/>
      <protection locked="0"/>
    </xf>
    <xf numFmtId="228" fontId="18" fillId="23" borderId="403" xfId="14" applyNumberFormat="1" applyFont="1" applyFill="1" applyBorder="1" applyAlignment="1" applyProtection="1">
      <alignment vertical="center" shrinkToFit="1"/>
      <protection locked="0"/>
    </xf>
    <xf numFmtId="0" fontId="18" fillId="23" borderId="402" xfId="14" applyNumberFormat="1" applyFont="1" applyFill="1" applyBorder="1" applyAlignment="1" applyProtection="1">
      <alignment horizontal="center" vertical="center" shrinkToFit="1"/>
      <protection locked="0"/>
    </xf>
    <xf numFmtId="0" fontId="0" fillId="0" borderId="406" xfId="0" applyBorder="1" applyAlignment="1">
      <alignment horizontal="center" vertical="center" shrinkToFit="1"/>
    </xf>
    <xf numFmtId="0" fontId="0" fillId="0" borderId="407" xfId="0" applyBorder="1" applyAlignment="1">
      <alignment horizontal="center" vertical="center" shrinkToFit="1"/>
    </xf>
    <xf numFmtId="3" fontId="5" fillId="0" borderId="129" xfId="14" applyNumberFormat="1" applyFont="1" applyBorder="1" applyAlignment="1" applyProtection="1">
      <alignment shrinkToFit="1"/>
      <protection locked="0"/>
    </xf>
    <xf numFmtId="3" fontId="5" fillId="0" borderId="149" xfId="14" applyNumberFormat="1" applyFont="1" applyBorder="1" applyAlignment="1" applyProtection="1">
      <alignment shrinkToFit="1"/>
      <protection locked="0"/>
    </xf>
    <xf numFmtId="0" fontId="5" fillId="0" borderId="306" xfId="14" applyNumberFormat="1" applyFont="1" applyBorder="1" applyAlignment="1" applyProtection="1">
      <alignment shrinkToFit="1"/>
      <protection locked="0"/>
    </xf>
    <xf numFmtId="183" fontId="5" fillId="3" borderId="307" xfId="14" applyNumberFormat="1" applyFont="1" applyFill="1" applyBorder="1" applyAlignment="1" applyProtection="1">
      <alignment horizontal="center" vertical="center" shrinkToFit="1"/>
      <protection locked="0"/>
    </xf>
    <xf numFmtId="183" fontId="5" fillId="3" borderId="40" xfId="14" applyNumberFormat="1" applyFont="1" applyFill="1" applyBorder="1" applyAlignment="1" applyProtection="1">
      <alignment horizontal="center" vertical="center" shrinkToFit="1"/>
      <protection locked="0"/>
    </xf>
    <xf numFmtId="183" fontId="5" fillId="3" borderId="255" xfId="14" applyNumberFormat="1" applyFont="1" applyFill="1" applyBorder="1" applyAlignment="1" applyProtection="1">
      <alignment horizontal="center" vertical="center" shrinkToFit="1"/>
      <protection locked="0"/>
    </xf>
    <xf numFmtId="0" fontId="5" fillId="3" borderId="408" xfId="14" applyNumberFormat="1" applyFont="1" applyFill="1" applyBorder="1" applyAlignment="1" applyProtection="1">
      <alignment horizontal="center" vertical="center" wrapText="1" shrinkToFit="1"/>
      <protection locked="0"/>
    </xf>
    <xf numFmtId="0" fontId="5" fillId="3" borderId="138" xfId="14" applyFont="1" applyFill="1" applyBorder="1" applyAlignment="1" applyProtection="1">
      <alignment horizontal="center" vertical="center" wrapText="1" shrinkToFit="1"/>
      <protection locked="0"/>
    </xf>
    <xf numFmtId="0" fontId="49" fillId="0" borderId="0" xfId="13" applyFont="1">
      <alignment vertical="center"/>
    </xf>
    <xf numFmtId="0" fontId="50" fillId="2" borderId="4" xfId="14" applyFont="1" applyFill="1" applyBorder="1"/>
    <xf numFmtId="0" fontId="50" fillId="2" borderId="3" xfId="14" applyFont="1" applyFill="1" applyBorder="1"/>
    <xf numFmtId="0" fontId="50" fillId="2" borderId="3" xfId="14" applyNumberFormat="1" applyFont="1" applyFill="1" applyBorder="1" applyProtection="1">
      <protection locked="0"/>
    </xf>
    <xf numFmtId="242" fontId="50" fillId="2" borderId="3" xfId="14" applyNumberFormat="1" applyFont="1" applyFill="1" applyBorder="1" applyAlignment="1" applyProtection="1">
      <alignment horizontal="left"/>
      <protection locked="0"/>
    </xf>
    <xf numFmtId="0" fontId="50" fillId="2" borderId="3" xfId="14" applyFont="1" applyFill="1" applyBorder="1" applyProtection="1">
      <protection locked="0"/>
    </xf>
    <xf numFmtId="193" fontId="8" fillId="2" borderId="3" xfId="14" applyNumberFormat="1" applyFont="1" applyFill="1" applyBorder="1" applyProtection="1">
      <protection locked="0"/>
    </xf>
    <xf numFmtId="193" fontId="50" fillId="2" borderId="3" xfId="14" applyNumberFormat="1" applyFont="1" applyFill="1" applyBorder="1" applyProtection="1">
      <protection locked="0"/>
    </xf>
    <xf numFmtId="0" fontId="8" fillId="2" borderId="2" xfId="14" applyNumberFormat="1" applyFont="1" applyFill="1" applyBorder="1" applyAlignment="1" applyProtection="1">
      <alignment horizontal="left" vertical="center" indent="1"/>
      <protection locked="0"/>
    </xf>
    <xf numFmtId="0" fontId="5" fillId="3" borderId="206" xfId="14" applyFont="1" applyFill="1" applyBorder="1" applyAlignment="1" applyProtection="1">
      <alignment horizontal="center" vertical="center" wrapText="1" shrinkToFit="1"/>
      <protection locked="0"/>
    </xf>
    <xf numFmtId="0" fontId="5" fillId="3" borderId="409" xfId="14" applyNumberFormat="1" applyFont="1" applyFill="1" applyBorder="1" applyAlignment="1" applyProtection="1">
      <alignment horizontal="center" vertical="center" wrapText="1" shrinkToFit="1"/>
      <protection locked="0"/>
    </xf>
    <xf numFmtId="0" fontId="5" fillId="0" borderId="303" xfId="14" applyNumberFormat="1" applyFont="1" applyBorder="1" applyAlignment="1" applyProtection="1">
      <alignment shrinkToFit="1"/>
      <protection locked="0"/>
    </xf>
    <xf numFmtId="0" fontId="0" fillId="0" borderId="416" xfId="0" applyBorder="1" applyAlignment="1">
      <alignment horizontal="center" vertical="center" shrinkToFit="1"/>
    </xf>
    <xf numFmtId="0" fontId="5" fillId="0" borderId="382" xfId="14" applyNumberFormat="1" applyFont="1" applyBorder="1" applyAlignment="1" applyProtection="1">
      <alignment shrinkToFit="1"/>
      <protection locked="0"/>
    </xf>
    <xf numFmtId="3" fontId="5" fillId="0" borderId="206" xfId="14" applyNumberFormat="1" applyFont="1" applyBorder="1" applyAlignment="1" applyProtection="1">
      <alignment shrinkToFit="1"/>
      <protection locked="0"/>
    </xf>
    <xf numFmtId="3" fontId="5" fillId="0" borderId="38" xfId="14" applyNumberFormat="1" applyFont="1" applyBorder="1" applyAlignment="1" applyProtection="1">
      <alignment shrinkToFit="1"/>
      <protection locked="0"/>
    </xf>
    <xf numFmtId="0" fontId="18" fillId="24" borderId="417" xfId="14" applyNumberFormat="1" applyFont="1" applyFill="1" applyBorder="1" applyAlignment="1" applyProtection="1">
      <alignment horizontal="center" vertical="center" shrinkToFit="1"/>
      <protection locked="0"/>
    </xf>
    <xf numFmtId="0" fontId="0" fillId="0" borderId="418" xfId="0" applyBorder="1" applyAlignment="1">
      <alignment horizontal="center" vertical="center" shrinkToFit="1"/>
    </xf>
    <xf numFmtId="0" fontId="0" fillId="0" borderId="419" xfId="0" applyBorder="1" applyAlignment="1">
      <alignment horizontal="center" vertical="center" shrinkToFit="1"/>
    </xf>
    <xf numFmtId="0" fontId="18" fillId="0" borderId="410" xfId="14" applyNumberFormat="1" applyFont="1" applyBorder="1" applyAlignment="1" applyProtection="1">
      <alignment vertical="center" shrinkToFit="1"/>
      <protection locked="0"/>
    </xf>
    <xf numFmtId="241" fontId="18" fillId="0" borderId="411" xfId="14" applyNumberFormat="1" applyFont="1" applyBorder="1" applyAlignment="1" applyProtection="1">
      <alignment vertical="center" shrinkToFit="1"/>
      <protection locked="0"/>
    </xf>
    <xf numFmtId="3" fontId="18" fillId="0" borderId="412" xfId="14" applyNumberFormat="1" applyFont="1" applyBorder="1" applyAlignment="1" applyProtection="1">
      <alignment vertical="center" shrinkToFit="1"/>
      <protection locked="0"/>
    </xf>
    <xf numFmtId="3" fontId="18" fillId="0" borderId="411" xfId="14" applyNumberFormat="1" applyFont="1" applyBorder="1" applyAlignment="1" applyProtection="1">
      <alignment vertical="center" shrinkToFit="1"/>
      <protection locked="0"/>
    </xf>
    <xf numFmtId="3" fontId="18" fillId="0" borderId="413" xfId="14" applyNumberFormat="1" applyFont="1" applyBorder="1" applyAlignment="1" applyProtection="1">
      <alignment vertical="center" shrinkToFit="1"/>
      <protection locked="0"/>
    </xf>
    <xf numFmtId="3" fontId="18" fillId="0" borderId="414" xfId="14" applyNumberFormat="1" applyFont="1" applyBorder="1" applyAlignment="1" applyProtection="1">
      <alignment vertical="center" shrinkToFit="1"/>
      <protection locked="0"/>
    </xf>
    <xf numFmtId="0" fontId="18" fillId="0" borderId="415" xfId="14" applyNumberFormat="1" applyFont="1" applyBorder="1" applyAlignment="1" applyProtection="1">
      <alignment horizontal="left" vertical="center" indent="1" shrinkToFit="1"/>
      <protection locked="0"/>
    </xf>
    <xf numFmtId="0" fontId="0" fillId="0" borderId="416" xfId="0" applyBorder="1" applyAlignment="1">
      <alignment horizontal="left" vertical="center" indent="1" shrinkToFit="1"/>
    </xf>
    <xf numFmtId="0" fontId="0" fillId="0" borderId="413" xfId="0" applyBorder="1" applyAlignment="1">
      <alignment horizontal="left" vertical="center" indent="1" shrinkToFit="1"/>
    </xf>
    <xf numFmtId="0" fontId="18" fillId="25" borderId="417" xfId="14" applyNumberFormat="1" applyFont="1" applyFill="1" applyBorder="1" applyAlignment="1" applyProtection="1">
      <alignment horizontal="center" vertical="center" shrinkToFit="1"/>
      <protection locked="0"/>
    </xf>
    <xf numFmtId="0" fontId="18" fillId="26" borderId="417" xfId="14" applyNumberFormat="1" applyFont="1" applyFill="1" applyBorder="1" applyAlignment="1" applyProtection="1">
      <alignment horizontal="center" vertical="center" shrinkToFit="1"/>
      <protection locked="0"/>
    </xf>
    <xf numFmtId="0" fontId="5" fillId="0" borderId="420" xfId="14" applyNumberFormat="1" applyFont="1" applyBorder="1" applyAlignment="1" applyProtection="1">
      <alignment horizontal="center" vertical="center" shrinkToFit="1"/>
      <protection locked="0"/>
    </xf>
    <xf numFmtId="0" fontId="5" fillId="0" borderId="421" xfId="14" applyNumberFormat="1" applyFont="1" applyBorder="1" applyAlignment="1" applyProtection="1">
      <alignment horizontal="center" vertical="center" shrinkToFit="1"/>
      <protection locked="0"/>
    </xf>
    <xf numFmtId="0" fontId="5" fillId="0" borderId="421" xfId="14" applyNumberFormat="1" applyFont="1" applyBorder="1" applyAlignment="1" applyProtection="1">
      <alignment horizontal="left" vertical="center" shrinkToFit="1"/>
      <protection locked="0"/>
    </xf>
    <xf numFmtId="0" fontId="0" fillId="0" borderId="422" xfId="0" applyBorder="1" applyAlignment="1">
      <alignment horizontal="left" vertical="center" shrinkToFit="1"/>
    </xf>
    <xf numFmtId="3" fontId="5" fillId="0" borderId="423" xfId="14" applyNumberFormat="1" applyFont="1" applyBorder="1" applyAlignment="1" applyProtection="1">
      <alignment vertical="center" shrinkToFit="1"/>
      <protection locked="0"/>
    </xf>
    <xf numFmtId="3" fontId="5" fillId="0" borderId="421" xfId="14" applyNumberFormat="1" applyFont="1" applyBorder="1" applyAlignment="1" applyProtection="1">
      <alignment vertical="center" shrinkToFit="1"/>
      <protection locked="0"/>
    </xf>
    <xf numFmtId="3" fontId="5" fillId="0" borderId="424" xfId="14" applyNumberFormat="1" applyFont="1" applyBorder="1" applyAlignment="1" applyProtection="1">
      <alignment vertical="center" shrinkToFit="1"/>
      <protection locked="0"/>
    </xf>
    <xf numFmtId="0" fontId="18" fillId="0" borderId="403" xfId="14" applyNumberFormat="1" applyFont="1" applyBorder="1" applyAlignment="1" applyProtection="1">
      <alignment vertical="center" shrinkToFit="1"/>
      <protection locked="0"/>
    </xf>
    <xf numFmtId="3" fontId="18" fillId="0" borderId="404" xfId="14" applyNumberFormat="1" applyFont="1" applyBorder="1" applyAlignment="1" applyProtection="1">
      <alignment vertical="center" shrinkToFit="1"/>
      <protection locked="0"/>
    </xf>
    <xf numFmtId="3" fontId="18" fillId="0" borderId="403" xfId="14" applyNumberFormat="1" applyFont="1" applyBorder="1" applyAlignment="1" applyProtection="1">
      <alignment vertical="center" shrinkToFit="1"/>
      <protection locked="0"/>
    </xf>
    <xf numFmtId="3" fontId="18" fillId="0" borderId="405" xfId="14" applyNumberFormat="1" applyFont="1" applyBorder="1" applyAlignment="1" applyProtection="1">
      <alignment vertical="center" shrinkToFit="1"/>
      <protection locked="0"/>
    </xf>
    <xf numFmtId="0" fontId="18" fillId="0" borderId="402" xfId="14" applyNumberFormat="1" applyFont="1" applyBorder="1" applyAlignment="1" applyProtection="1">
      <alignment horizontal="center" vertical="center" shrinkToFit="1"/>
      <protection locked="0"/>
    </xf>
    <xf numFmtId="241" fontId="18" fillId="0" borderId="404" xfId="14" applyNumberFormat="1" applyFont="1" applyBorder="1" applyAlignment="1" applyProtection="1">
      <alignment vertical="center" shrinkToFit="1"/>
      <protection locked="0"/>
    </xf>
    <xf numFmtId="0" fontId="5" fillId="0" borderId="307" xfId="14" applyNumberFormat="1" applyFont="1" applyBorder="1" applyAlignment="1" applyProtection="1">
      <alignment shrinkToFit="1"/>
      <protection locked="0"/>
    </xf>
    <xf numFmtId="241" fontId="18" fillId="24" borderId="427" xfId="14" applyNumberFormat="1" applyFont="1" applyFill="1" applyBorder="1" applyAlignment="1" applyProtection="1">
      <alignment vertical="center" shrinkToFit="1"/>
      <protection locked="0"/>
    </xf>
    <xf numFmtId="3" fontId="18" fillId="24" borderId="427" xfId="14" applyNumberFormat="1" applyFont="1" applyFill="1" applyBorder="1" applyAlignment="1" applyProtection="1">
      <alignment vertical="center" shrinkToFit="1"/>
      <protection locked="0"/>
    </xf>
    <xf numFmtId="3" fontId="18" fillId="24" borderId="426" xfId="14" applyNumberFormat="1" applyFont="1" applyFill="1" applyBorder="1" applyAlignment="1" applyProtection="1">
      <alignment vertical="center" shrinkToFit="1"/>
      <protection locked="0"/>
    </xf>
    <xf numFmtId="3" fontId="18" fillId="24" borderId="428" xfId="14" applyNumberFormat="1" applyFont="1" applyFill="1" applyBorder="1" applyAlignment="1" applyProtection="1">
      <alignment vertical="center" shrinkToFit="1"/>
      <protection locked="0"/>
    </xf>
    <xf numFmtId="0" fontId="18" fillId="24" borderId="425" xfId="14" applyNumberFormat="1" applyFont="1" applyFill="1" applyBorder="1" applyAlignment="1" applyProtection="1">
      <alignment horizontal="center" vertical="center" shrinkToFit="1"/>
      <protection locked="0"/>
    </xf>
    <xf numFmtId="0" fontId="1" fillId="24" borderId="426" xfId="0" applyNumberFormat="1" applyFont="1" applyFill="1" applyBorder="1" applyAlignment="1">
      <alignment horizontal="center" vertical="center" shrinkToFit="1"/>
    </xf>
    <xf numFmtId="241" fontId="18" fillId="25" borderId="427" xfId="14" applyNumberFormat="1" applyFont="1" applyFill="1" applyBorder="1" applyAlignment="1" applyProtection="1">
      <alignment vertical="center" shrinkToFit="1"/>
      <protection locked="0"/>
    </xf>
    <xf numFmtId="3" fontId="18" fillId="25" borderId="427" xfId="14" applyNumberFormat="1" applyFont="1" applyFill="1" applyBorder="1" applyAlignment="1" applyProtection="1">
      <alignment vertical="center" shrinkToFit="1"/>
      <protection locked="0"/>
    </xf>
    <xf numFmtId="3" fontId="18" fillId="25" borderId="426" xfId="14" applyNumberFormat="1" applyFont="1" applyFill="1" applyBorder="1" applyAlignment="1" applyProtection="1">
      <alignment vertical="center" shrinkToFit="1"/>
      <protection locked="0"/>
    </xf>
    <xf numFmtId="3" fontId="18" fillId="25" borderId="428" xfId="14" applyNumberFormat="1" applyFont="1" applyFill="1" applyBorder="1" applyAlignment="1" applyProtection="1">
      <alignment vertical="center" shrinkToFit="1"/>
      <protection locked="0"/>
    </xf>
    <xf numFmtId="0" fontId="18" fillId="25" borderId="425" xfId="14" applyNumberFormat="1" applyFont="1" applyFill="1" applyBorder="1" applyAlignment="1" applyProtection="1">
      <alignment horizontal="center" vertical="center" shrinkToFit="1"/>
      <protection locked="0"/>
    </xf>
    <xf numFmtId="0" fontId="1" fillId="25" borderId="426" xfId="0" applyNumberFormat="1" applyFont="1" applyFill="1" applyBorder="1" applyAlignment="1">
      <alignment horizontal="center" vertical="center" shrinkToFit="1"/>
    </xf>
    <xf numFmtId="241" fontId="18" fillId="26" borderId="427" xfId="14" applyNumberFormat="1" applyFont="1" applyFill="1" applyBorder="1" applyAlignment="1" applyProtection="1">
      <alignment vertical="center" shrinkToFit="1"/>
      <protection locked="0"/>
    </xf>
    <xf numFmtId="3" fontId="18" fillId="26" borderId="427" xfId="14" applyNumberFormat="1" applyFont="1" applyFill="1" applyBorder="1" applyAlignment="1" applyProtection="1">
      <alignment vertical="center" shrinkToFit="1"/>
      <protection locked="0"/>
    </xf>
    <xf numFmtId="3" fontId="18" fillId="26" borderId="426" xfId="14" applyNumberFormat="1" applyFont="1" applyFill="1" applyBorder="1" applyAlignment="1" applyProtection="1">
      <alignment vertical="center" shrinkToFit="1"/>
      <protection locked="0"/>
    </xf>
    <xf numFmtId="3" fontId="18" fillId="26" borderId="428" xfId="14" applyNumberFormat="1" applyFont="1" applyFill="1" applyBorder="1" applyAlignment="1" applyProtection="1">
      <alignment vertical="center" shrinkToFit="1"/>
      <protection locked="0"/>
    </xf>
    <xf numFmtId="0" fontId="18" fillId="26" borderId="425" xfId="14" applyNumberFormat="1" applyFont="1" applyFill="1" applyBorder="1" applyAlignment="1" applyProtection="1">
      <alignment horizontal="center" vertical="center" shrinkToFit="1"/>
      <protection locked="0"/>
    </xf>
    <xf numFmtId="0" fontId="1" fillId="26" borderId="426" xfId="0" applyNumberFormat="1" applyFont="1" applyFill="1" applyBorder="1" applyAlignment="1">
      <alignment horizontal="center" vertical="center" shrinkToFit="1"/>
    </xf>
    <xf numFmtId="0" fontId="18" fillId="24" borderId="429" xfId="14" applyNumberFormat="1" applyFont="1" applyFill="1" applyBorder="1" applyAlignment="1">
      <alignment horizontal="center" vertical="center" shrinkToFit="1"/>
    </xf>
    <xf numFmtId="0" fontId="0" fillId="0" borderId="430" xfId="0" applyBorder="1" applyAlignment="1">
      <alignment horizontal="center" vertical="center" shrinkToFit="1"/>
    </xf>
    <xf numFmtId="0" fontId="0" fillId="0" borderId="431" xfId="0" applyBorder="1" applyAlignment="1">
      <alignment horizontal="center" vertical="center" shrinkToFit="1"/>
    </xf>
    <xf numFmtId="241" fontId="18" fillId="24" borderId="432" xfId="14" applyNumberFormat="1" applyFont="1" applyFill="1" applyBorder="1" applyAlignment="1">
      <alignment vertical="center" shrinkToFit="1"/>
    </xf>
    <xf numFmtId="3" fontId="18" fillId="24" borderId="432" xfId="14" applyNumberFormat="1" applyFont="1" applyFill="1" applyBorder="1" applyAlignment="1">
      <alignment vertical="center" shrinkToFit="1"/>
    </xf>
    <xf numFmtId="3" fontId="18" fillId="24" borderId="433" xfId="14" applyNumberFormat="1" applyFont="1" applyFill="1" applyBorder="1" applyAlignment="1">
      <alignment vertical="center" shrinkToFit="1"/>
    </xf>
    <xf numFmtId="3" fontId="51" fillId="24" borderId="433" xfId="14" applyNumberFormat="1" applyFont="1" applyFill="1" applyBorder="1" applyAlignment="1">
      <alignment vertical="center" shrinkToFit="1"/>
    </xf>
    <xf numFmtId="3" fontId="18" fillId="24" borderId="434" xfId="14" applyNumberFormat="1" applyFont="1" applyFill="1" applyBorder="1" applyAlignment="1">
      <alignment vertical="center" shrinkToFit="1"/>
    </xf>
    <xf numFmtId="0" fontId="18" fillId="23" borderId="429" xfId="14" applyNumberFormat="1" applyFont="1" applyFill="1" applyBorder="1" applyAlignment="1">
      <alignment horizontal="center" vertical="center" shrinkToFit="1"/>
    </xf>
    <xf numFmtId="241" fontId="18" fillId="23" borderId="432" xfId="14" applyNumberFormat="1" applyFont="1" applyFill="1" applyBorder="1" applyAlignment="1">
      <alignment vertical="center" shrinkToFit="1"/>
    </xf>
    <xf numFmtId="3" fontId="18" fillId="23" borderId="432" xfId="14" applyNumberFormat="1" applyFont="1" applyFill="1" applyBorder="1" applyAlignment="1">
      <alignment vertical="center" shrinkToFit="1"/>
    </xf>
    <xf numFmtId="3" fontId="18" fillId="23" borderId="433" xfId="14" applyNumberFormat="1" applyFont="1" applyFill="1" applyBorder="1" applyAlignment="1">
      <alignment vertical="center" shrinkToFit="1"/>
    </xf>
    <xf numFmtId="3" fontId="51" fillId="23" borderId="433" xfId="14" applyNumberFormat="1" applyFont="1" applyFill="1" applyBorder="1" applyAlignment="1">
      <alignment vertical="center" shrinkToFit="1"/>
    </xf>
    <xf numFmtId="3" fontId="18" fillId="23" borderId="434" xfId="14" applyNumberFormat="1" applyFont="1" applyFill="1" applyBorder="1" applyAlignment="1">
      <alignment vertical="center" shrinkToFit="1"/>
    </xf>
    <xf numFmtId="0" fontId="18" fillId="23" borderId="415" xfId="14" applyNumberFormat="1" applyFont="1" applyFill="1" applyBorder="1" applyAlignment="1">
      <alignment horizontal="center" vertical="center" shrinkToFit="1"/>
    </xf>
    <xf numFmtId="0" fontId="0" fillId="0" borderId="438" xfId="0" applyBorder="1" applyAlignment="1">
      <alignment horizontal="center" vertical="center" shrinkToFit="1"/>
    </xf>
    <xf numFmtId="241" fontId="18" fillId="23" borderId="435" xfId="14" applyNumberFormat="1" applyFont="1" applyFill="1" applyBorder="1" applyAlignment="1">
      <alignment vertical="center" shrinkToFit="1"/>
    </xf>
    <xf numFmtId="3" fontId="18" fillId="23" borderId="435" xfId="14" applyNumberFormat="1" applyFont="1" applyFill="1" applyBorder="1" applyAlignment="1">
      <alignment vertical="center" shrinkToFit="1"/>
    </xf>
    <xf numFmtId="3" fontId="18" fillId="23" borderId="436" xfId="14" applyNumberFormat="1" applyFont="1" applyFill="1" applyBorder="1" applyAlignment="1">
      <alignment vertical="center" shrinkToFit="1"/>
    </xf>
    <xf numFmtId="3" fontId="18" fillId="23" borderId="437" xfId="14" applyNumberFormat="1" applyFont="1" applyFill="1" applyBorder="1" applyAlignment="1">
      <alignment vertical="center" shrinkToFit="1"/>
    </xf>
    <xf numFmtId="3" fontId="51" fillId="23" borderId="436" xfId="14" applyNumberFormat="1" applyFont="1" applyFill="1" applyBorder="1" applyAlignment="1">
      <alignment vertical="center" shrinkToFit="1"/>
    </xf>
    <xf numFmtId="183" fontId="5" fillId="17" borderId="206" xfId="14" applyNumberFormat="1" applyFont="1" applyFill="1" applyBorder="1" applyAlignment="1" applyProtection="1">
      <alignment horizontal="center" vertical="center" shrinkToFit="1"/>
      <protection locked="0"/>
    </xf>
    <xf numFmtId="183" fontId="5" fillId="16" borderId="255" xfId="14" applyNumberFormat="1" applyFont="1" applyFill="1" applyBorder="1" applyAlignment="1" applyProtection="1">
      <alignment horizontal="center" vertical="center" shrinkToFit="1"/>
      <protection locked="0"/>
    </xf>
    <xf numFmtId="0" fontId="5" fillId="3" borderId="35" xfId="14" applyNumberFormat="1" applyFont="1" applyFill="1" applyBorder="1" applyAlignment="1" applyProtection="1">
      <alignment horizontal="center" vertical="center"/>
      <protection locked="0"/>
    </xf>
    <xf numFmtId="0" fontId="53" fillId="0" borderId="0" xfId="13" applyFont="1">
      <alignment vertical="center"/>
    </xf>
    <xf numFmtId="0" fontId="2" fillId="2" borderId="3" xfId="14" applyFont="1" applyFill="1" applyBorder="1" applyProtection="1">
      <protection locked="0"/>
    </xf>
    <xf numFmtId="0" fontId="5" fillId="3" borderId="38" xfId="14" applyNumberFormat="1" applyFont="1" applyFill="1" applyBorder="1" applyAlignment="1" applyProtection="1">
      <alignment horizontal="center" vertical="center"/>
      <protection locked="0"/>
    </xf>
    <xf numFmtId="3" fontId="51" fillId="23" borderId="432" xfId="14" applyNumberFormat="1" applyFont="1" applyFill="1" applyBorder="1" applyAlignment="1">
      <alignment vertical="center" shrinkToFit="1"/>
    </xf>
    <xf numFmtId="3" fontId="18" fillId="23" borderId="434" xfId="14" applyNumberFormat="1" applyFont="1" applyFill="1" applyBorder="1" applyAlignment="1">
      <alignment vertical="center"/>
    </xf>
    <xf numFmtId="3" fontId="51" fillId="23" borderId="435" xfId="14" applyNumberFormat="1" applyFont="1" applyFill="1" applyBorder="1" applyAlignment="1">
      <alignment vertical="center" shrinkToFit="1"/>
    </xf>
    <xf numFmtId="239" fontId="5" fillId="0" borderId="149" xfId="14" applyNumberFormat="1" applyFont="1" applyBorder="1" applyAlignment="1" applyProtection="1">
      <alignment shrinkToFit="1"/>
      <protection locked="0"/>
    </xf>
    <xf numFmtId="239" fontId="5" fillId="0" borderId="128" xfId="14" applyNumberFormat="1" applyFont="1" applyBorder="1" applyAlignment="1" applyProtection="1">
      <alignment shrinkToFit="1"/>
      <protection locked="0"/>
    </xf>
    <xf numFmtId="0" fontId="5" fillId="0" borderId="128" xfId="14" applyNumberFormat="1" applyFont="1" applyBorder="1" applyAlignment="1" applyProtection="1">
      <alignment shrinkToFit="1"/>
      <protection locked="0"/>
    </xf>
    <xf numFmtId="239" fontId="5" fillId="0" borderId="192" xfId="14" applyNumberFormat="1" applyFont="1" applyBorder="1" applyAlignment="1" applyProtection="1">
      <alignment horizontal="center" shrinkToFit="1"/>
      <protection locked="0"/>
    </xf>
    <xf numFmtId="0" fontId="5" fillId="3" borderId="206" xfId="14" applyNumberFormat="1" applyFont="1" applyFill="1" applyBorder="1" applyAlignment="1" applyProtection="1">
      <alignment horizontal="center" vertical="center" wrapText="1"/>
      <protection locked="0"/>
    </xf>
    <xf numFmtId="0" fontId="5" fillId="3" borderId="40" xfId="14" applyFont="1" applyFill="1" applyBorder="1" applyAlignment="1" applyProtection="1">
      <alignment horizontal="center" vertical="center" wrapText="1" shrinkToFit="1"/>
      <protection locked="0"/>
    </xf>
    <xf numFmtId="0" fontId="5" fillId="3" borderId="40" xfId="14" applyFont="1" applyFill="1" applyBorder="1" applyAlignment="1" applyProtection="1">
      <alignment horizontal="center" vertical="center" wrapText="1" shrinkToFit="1"/>
      <protection locked="0"/>
    </xf>
    <xf numFmtId="0" fontId="5" fillId="17" borderId="202" xfId="14" applyNumberFormat="1" applyFont="1" applyFill="1" applyBorder="1" applyAlignment="1" applyProtection="1">
      <alignment horizontal="center" vertical="center"/>
      <protection locked="0"/>
    </xf>
    <xf numFmtId="0" fontId="5" fillId="17" borderId="79" xfId="14" applyNumberFormat="1" applyFont="1" applyFill="1" applyBorder="1" applyAlignment="1" applyProtection="1">
      <alignment horizontal="center" vertical="center"/>
      <protection locked="0"/>
    </xf>
    <xf numFmtId="0" fontId="5" fillId="17" borderId="363" xfId="14" applyNumberFormat="1" applyFont="1" applyFill="1" applyBorder="1" applyAlignment="1" applyProtection="1">
      <alignment horizontal="center" vertical="center"/>
      <protection locked="0"/>
    </xf>
    <xf numFmtId="0" fontId="5" fillId="16" borderId="202" xfId="14" applyNumberFormat="1" applyFont="1" applyFill="1" applyBorder="1" applyAlignment="1" applyProtection="1">
      <alignment horizontal="center" vertical="center"/>
      <protection locked="0"/>
    </xf>
    <xf numFmtId="0" fontId="5" fillId="16" borderId="79" xfId="14" applyNumberFormat="1" applyFont="1" applyFill="1" applyBorder="1" applyAlignment="1" applyProtection="1">
      <alignment horizontal="center" vertical="center"/>
      <protection locked="0"/>
    </xf>
    <xf numFmtId="0" fontId="5" fillId="16" borderId="363" xfId="14" applyNumberFormat="1" applyFont="1" applyFill="1" applyBorder="1" applyAlignment="1" applyProtection="1">
      <alignment horizontal="center" vertical="center"/>
      <protection locked="0"/>
    </xf>
    <xf numFmtId="0" fontId="5" fillId="3" borderId="216" xfId="14" applyFont="1" applyFill="1" applyBorder="1" applyAlignment="1" applyProtection="1">
      <alignment horizontal="center" vertical="center" wrapText="1" shrinkToFit="1"/>
      <protection locked="0"/>
    </xf>
    <xf numFmtId="0" fontId="5" fillId="3" borderId="380" xfId="14" applyFont="1" applyFill="1" applyBorder="1" applyAlignment="1" applyProtection="1">
      <alignment horizontal="center" vertical="center" wrapText="1" shrinkToFit="1"/>
      <protection locked="0"/>
    </xf>
    <xf numFmtId="0" fontId="5" fillId="3" borderId="218" xfId="14" applyFont="1" applyFill="1" applyBorder="1" applyAlignment="1" applyProtection="1">
      <alignment horizontal="center" vertical="center" wrapText="1" shrinkToFit="1"/>
      <protection locked="0"/>
    </xf>
    <xf numFmtId="0" fontId="5" fillId="3" borderId="25" xfId="14" applyFont="1" applyFill="1" applyBorder="1" applyAlignment="1" applyProtection="1">
      <alignment horizontal="center" vertical="center" wrapText="1" shrinkToFit="1"/>
      <protection locked="0"/>
    </xf>
    <xf numFmtId="0" fontId="54" fillId="0" borderId="0" xfId="13" applyFont="1">
      <alignment vertical="center"/>
    </xf>
    <xf numFmtId="0" fontId="55" fillId="2" borderId="4" xfId="14" applyFont="1" applyFill="1" applyBorder="1"/>
    <xf numFmtId="242" fontId="55" fillId="2" borderId="3" xfId="14" applyNumberFormat="1" applyFont="1" applyFill="1" applyBorder="1" applyAlignment="1" applyProtection="1">
      <alignment horizontal="left"/>
      <protection locked="0"/>
    </xf>
    <xf numFmtId="0" fontId="55" fillId="2" borderId="3" xfId="14" applyFont="1" applyFill="1" applyBorder="1" applyProtection="1">
      <protection locked="0"/>
    </xf>
    <xf numFmtId="193" fontId="56" fillId="2" borderId="3" xfId="14" applyNumberFormat="1" applyFont="1" applyFill="1" applyBorder="1" applyProtection="1">
      <protection locked="0"/>
    </xf>
    <xf numFmtId="193" fontId="55" fillId="2" borderId="3" xfId="14" applyNumberFormat="1" applyFont="1" applyFill="1" applyBorder="1" applyProtection="1">
      <protection locked="0"/>
    </xf>
    <xf numFmtId="0" fontId="56" fillId="2" borderId="2" xfId="14" applyNumberFormat="1" applyFont="1" applyFill="1" applyBorder="1" applyAlignment="1" applyProtection="1">
      <alignment horizontal="left" vertical="center" indent="1"/>
      <protection locked="0"/>
    </xf>
    <xf numFmtId="0" fontId="5" fillId="3" borderId="255" xfId="14" applyFont="1" applyFill="1" applyBorder="1" applyAlignment="1" applyProtection="1">
      <alignment horizontal="center" vertical="center" wrapText="1" shrinkToFit="1"/>
      <protection locked="0"/>
    </xf>
    <xf numFmtId="239" fontId="18" fillId="0" borderId="412" xfId="14" applyNumberFormat="1" applyFont="1" applyBorder="1" applyAlignment="1" applyProtection="1">
      <alignment horizontal="center" vertical="center" shrinkToFit="1"/>
      <protection locked="0"/>
    </xf>
    <xf numFmtId="0" fontId="18" fillId="0" borderId="411" xfId="14" applyNumberFormat="1" applyFont="1" applyBorder="1" applyAlignment="1" applyProtection="1">
      <alignment vertical="center" shrinkToFit="1"/>
      <protection locked="0"/>
    </xf>
    <xf numFmtId="239" fontId="18" fillId="0" borderId="411" xfId="14" applyNumberFormat="1" applyFont="1" applyBorder="1" applyAlignment="1" applyProtection="1">
      <alignment vertical="center" shrinkToFit="1"/>
      <protection locked="0"/>
    </xf>
    <xf numFmtId="239" fontId="18" fillId="0" borderId="413" xfId="14" applyNumberFormat="1" applyFont="1" applyBorder="1" applyAlignment="1" applyProtection="1">
      <alignment vertical="center" shrinkToFit="1"/>
      <protection locked="0"/>
    </xf>
    <xf numFmtId="228" fontId="18" fillId="0" borderId="414" xfId="14" applyNumberFormat="1" applyFont="1" applyBorder="1" applyAlignment="1" applyProtection="1">
      <alignment vertical="center" shrinkToFit="1"/>
      <protection locked="0"/>
    </xf>
    <xf numFmtId="239" fontId="5" fillId="0" borderId="255" xfId="14" applyNumberFormat="1" applyFont="1" applyBorder="1" applyAlignment="1" applyProtection="1">
      <alignment horizontal="center" shrinkToFit="1"/>
      <protection locked="0"/>
    </xf>
    <xf numFmtId="0" fontId="5" fillId="0" borderId="40" xfId="14" applyNumberFormat="1" applyFont="1" applyBorder="1" applyAlignment="1" applyProtection="1">
      <alignment shrinkToFit="1"/>
      <protection locked="0"/>
    </xf>
    <xf numFmtId="239" fontId="5" fillId="0" borderId="40" xfId="14" applyNumberFormat="1" applyFont="1" applyBorder="1" applyAlignment="1" applyProtection="1">
      <alignment shrinkToFit="1"/>
      <protection locked="0"/>
    </xf>
    <xf numFmtId="239" fontId="5" fillId="0" borderId="206" xfId="14" applyNumberFormat="1" applyFont="1" applyBorder="1" applyAlignment="1" applyProtection="1">
      <alignment shrinkToFit="1"/>
      <protection locked="0"/>
    </xf>
    <xf numFmtId="239" fontId="18" fillId="0" borderId="404" xfId="14" applyNumberFormat="1" applyFont="1" applyBorder="1" applyAlignment="1" applyProtection="1">
      <alignment horizontal="center" vertical="center" shrinkToFit="1"/>
      <protection locked="0"/>
    </xf>
    <xf numFmtId="239" fontId="18" fillId="0" borderId="404" xfId="14" applyNumberFormat="1" applyFont="1" applyBorder="1" applyAlignment="1" applyProtection="1">
      <alignment vertical="center" shrinkToFit="1"/>
      <protection locked="0"/>
    </xf>
    <xf numFmtId="239" fontId="18" fillId="0" borderId="403" xfId="14" applyNumberFormat="1" applyFont="1" applyBorder="1" applyAlignment="1" applyProtection="1">
      <alignment vertical="center" shrinkToFit="1"/>
      <protection locked="0"/>
    </xf>
    <xf numFmtId="228" fontId="18" fillId="0" borderId="405" xfId="14" applyNumberFormat="1" applyFont="1" applyBorder="1" applyAlignment="1" applyProtection="1">
      <alignment vertical="center" shrinkToFit="1"/>
      <protection locked="0"/>
    </xf>
    <xf numFmtId="239" fontId="18" fillId="23" borderId="432" xfId="14" applyNumberFormat="1" applyFont="1" applyFill="1" applyBorder="1" applyAlignment="1">
      <alignment vertical="center" shrinkToFit="1"/>
    </xf>
    <xf numFmtId="0" fontId="18" fillId="23" borderId="433" xfId="14" applyNumberFormat="1" applyFont="1" applyFill="1" applyBorder="1" applyAlignment="1">
      <alignment vertical="center" shrinkToFit="1"/>
    </xf>
    <xf numFmtId="239" fontId="51" fillId="23" borderId="432" xfId="14" applyNumberFormat="1" applyFont="1" applyFill="1" applyBorder="1" applyAlignment="1">
      <alignment vertical="center" shrinkToFit="1"/>
    </xf>
    <xf numFmtId="239" fontId="51" fillId="23" borderId="433" xfId="14" applyNumberFormat="1" applyFont="1" applyFill="1" applyBorder="1" applyAlignment="1">
      <alignment vertical="center" shrinkToFit="1"/>
    </xf>
    <xf numFmtId="239" fontId="18" fillId="23" borderId="433" xfId="14" applyNumberFormat="1" applyFont="1" applyFill="1" applyBorder="1" applyAlignment="1">
      <alignment vertical="center" shrinkToFit="1"/>
    </xf>
    <xf numFmtId="228" fontId="18" fillId="23" borderId="434" xfId="14" applyNumberFormat="1" applyFont="1" applyFill="1" applyBorder="1" applyAlignment="1">
      <alignment vertical="center" shrinkToFit="1"/>
    </xf>
    <xf numFmtId="239" fontId="18" fillId="23" borderId="435" xfId="14" applyNumberFormat="1" applyFont="1" applyFill="1" applyBorder="1" applyAlignment="1">
      <alignment vertical="center" shrinkToFit="1"/>
    </xf>
    <xf numFmtId="0" fontId="18" fillId="23" borderId="436" xfId="14" applyNumberFormat="1" applyFont="1" applyFill="1" applyBorder="1" applyAlignment="1">
      <alignment vertical="center" shrinkToFit="1"/>
    </xf>
    <xf numFmtId="239" fontId="18" fillId="23" borderId="436" xfId="14" applyNumberFormat="1" applyFont="1" applyFill="1" applyBorder="1" applyAlignment="1">
      <alignment vertical="center" shrinkToFit="1"/>
    </xf>
    <xf numFmtId="228" fontId="18" fillId="23" borderId="437" xfId="14" applyNumberFormat="1" applyFont="1" applyFill="1" applyBorder="1" applyAlignment="1">
      <alignment vertical="center" shrinkToFit="1"/>
    </xf>
    <xf numFmtId="0" fontId="57" fillId="0" borderId="0" xfId="18" applyFont="1" applyProtection="1">
      <protection locked="0"/>
    </xf>
    <xf numFmtId="0" fontId="57" fillId="0" borderId="0" xfId="18" applyFont="1" applyAlignment="1" applyProtection="1">
      <alignment horizontal="center"/>
      <protection locked="0"/>
    </xf>
    <xf numFmtId="0" fontId="57" fillId="0" borderId="0" xfId="18" applyFont="1" applyBorder="1" applyProtection="1">
      <protection locked="0"/>
    </xf>
    <xf numFmtId="0" fontId="57" fillId="0" borderId="0" xfId="18" applyFont="1" applyBorder="1" applyAlignment="1" applyProtection="1">
      <alignment horizontal="center"/>
      <protection locked="0"/>
    </xf>
    <xf numFmtId="0" fontId="57" fillId="0" borderId="0" xfId="18" applyFont="1" applyAlignment="1" applyProtection="1">
      <alignment horizontal="center"/>
      <protection locked="0"/>
    </xf>
    <xf numFmtId="0" fontId="58" fillId="0" borderId="0" xfId="18" applyFont="1" applyAlignment="1" applyProtection="1">
      <alignment horizontal="center"/>
      <protection locked="0"/>
    </xf>
    <xf numFmtId="0" fontId="33" fillId="0" borderId="0" xfId="18" applyFont="1" applyAlignment="1" applyProtection="1">
      <alignment horizontal="center" shrinkToFit="1"/>
      <protection locked="0"/>
    </xf>
    <xf numFmtId="176" fontId="5" fillId="0" borderId="0" xfId="18" applyNumberFormat="1" applyFont="1" applyProtection="1"/>
    <xf numFmtId="0" fontId="5" fillId="0" borderId="0" xfId="18" applyFont="1" applyProtection="1">
      <protection locked="0"/>
    </xf>
    <xf numFmtId="55" fontId="58" fillId="0" borderId="0" xfId="18" applyNumberFormat="1" applyFont="1" applyAlignment="1" applyProtection="1">
      <alignment horizontal="center"/>
      <protection locked="0"/>
    </xf>
  </cellXfs>
  <cellStyles count="19">
    <cellStyle name="桁区切り 2" xfId="12"/>
    <cellStyle name="標準" xfId="0" builtinId="0"/>
    <cellStyle name="標準 2 2" xfId="3"/>
    <cellStyle name="標準 9 2 2" xfId="13"/>
    <cellStyle name="標準_A4横表紙_1" xfId="18"/>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64DB-4C18-AC1C-CC1B910C103D}"/>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64DB-4C18-AC1C-CC1B910C103D}"/>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64DB-4C18-AC1C-CC1B910C103D}"/>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64DB-4C18-AC1C-CC1B910C103D}"/>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64DB-4C18-AC1C-CC1B910C103D}"/>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64DB-4C18-AC1C-CC1B910C103D}"/>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64DB-4C18-AC1C-CC1B910C103D}"/>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64DB-4C18-AC1C-CC1B910C103D}"/>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64DB-4C18-AC1C-CC1B910C103D}"/>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64DB-4C18-AC1C-CC1B910C103D}"/>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64DB-4C18-AC1C-CC1B910C103D}"/>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64DB-4C18-AC1C-CC1B910C103D}"/>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64DB-4C18-AC1C-CC1B910C103D}"/>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64DB-4C18-AC1C-CC1B910C103D}"/>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64DB-4C18-AC1C-CC1B910C103D}"/>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64DB-4C18-AC1C-CC1B910C103D}"/>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64DB-4C18-AC1C-CC1B910C103D}"/>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64DB-4C18-AC1C-CC1B910C103D}"/>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64DB-4C18-AC1C-CC1B910C103D}"/>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64DB-4C18-AC1C-CC1B910C103D}"/>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64DB-4C18-AC1C-CC1B910C103D}"/>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64DB-4C18-AC1C-CC1B910C103D}"/>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64DB-4C18-AC1C-CC1B910C103D}"/>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64DB-4C18-AC1C-CC1B910C103D}"/>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64DB-4C18-AC1C-CC1B910C103D}"/>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64DB-4C18-AC1C-CC1B910C103D}"/>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64DB-4C18-AC1C-CC1B910C103D}"/>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64DB-4C18-AC1C-CC1B910C103D}"/>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64DB-4C18-AC1C-CC1B910C103D}"/>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64DB-4C18-AC1C-CC1B910C103D}"/>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64DB-4C18-AC1C-CC1B910C103D}"/>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64DB-4C18-AC1C-CC1B910C103D}"/>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64DB-4C18-AC1C-CC1B910C103D}"/>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64DB-4C18-AC1C-CC1B910C103D}"/>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64DB-4C18-AC1C-CC1B910C103D}"/>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64DB-4C18-AC1C-CC1B910C103D}"/>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64DB-4C18-AC1C-CC1B910C103D}"/>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64DB-4C18-AC1C-CC1B910C103D}"/>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64DB-4C18-AC1C-CC1B910C103D}"/>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64DB-4C18-AC1C-CC1B910C103D}"/>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64DB-4C18-AC1C-CC1B910C103D}"/>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64DB-4C18-AC1C-CC1B910C103D}"/>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64DB-4C18-AC1C-CC1B910C103D}"/>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64DB-4C18-AC1C-CC1B910C103D}"/>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64DB-4C18-AC1C-CC1B910C103D}"/>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64DB-4C18-AC1C-CC1B910C103D}"/>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64DB-4C18-AC1C-CC1B910C103D}"/>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64DB-4C18-AC1C-CC1B910C103D}"/>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64DB-4C18-AC1C-CC1B910C103D}"/>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64DB-4C18-AC1C-CC1B910C103D}"/>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64DB-4C18-AC1C-CC1B910C103D}"/>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64DB-4C18-AC1C-CC1B910C103D}"/>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64DB-4C18-AC1C-CC1B910C103D}"/>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64DB-4C18-AC1C-CC1B910C103D}"/>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64DB-4C18-AC1C-CC1B910C103D}"/>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64DB-4C18-AC1C-CC1B910C103D}"/>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64DB-4C18-AC1C-CC1B910C103D}"/>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64DB-4C18-AC1C-CC1B910C103D}"/>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64DB-4C18-AC1C-CC1B910C103D}"/>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64DB-4C18-AC1C-CC1B910C103D}"/>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64DB-4C18-AC1C-CC1B910C103D}"/>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64DB-4C18-AC1C-CC1B910C103D}"/>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64DB-4C18-AC1C-CC1B910C103D}"/>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64DB-4C18-AC1C-CC1B910C103D}"/>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64DB-4C18-AC1C-CC1B910C103D}"/>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64DB-4C18-AC1C-CC1B910C103D}"/>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64DB-4C18-AC1C-CC1B910C103D}"/>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64DB-4C18-AC1C-CC1B910C103D}"/>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64DB-4C18-AC1C-CC1B910C103D}"/>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64DB-4C18-AC1C-CC1B910C103D}"/>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64DB-4C18-AC1C-CC1B910C103D}"/>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64DB-4C18-AC1C-CC1B910C103D}"/>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64DB-4C18-AC1C-CC1B910C103D}"/>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64DB-4C18-AC1C-CC1B910C103D}"/>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64DB-4C18-AC1C-CC1B910C103D}"/>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64DB-4C18-AC1C-CC1B910C103D}"/>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64DB-4C18-AC1C-CC1B910C103D}"/>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64DB-4C18-AC1C-CC1B910C103D}"/>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64DB-4C18-AC1C-CC1B910C103D}"/>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64DB-4C18-AC1C-CC1B910C103D}"/>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64DB-4C18-AC1C-CC1B910C103D}"/>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64DB-4C18-AC1C-CC1B910C103D}"/>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64DB-4C18-AC1C-CC1B910C103D}"/>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64DB-4C18-AC1C-CC1B910C103D}"/>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64DB-4C18-AC1C-CC1B910C103D}"/>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64DB-4C18-AC1C-CC1B910C103D}"/>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64DB-4C18-AC1C-CC1B910C103D}"/>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64DB-4C18-AC1C-CC1B910C103D}"/>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64DB-4C18-AC1C-CC1B910C103D}"/>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64DB-4C18-AC1C-CC1B910C103D}"/>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64DB-4C18-AC1C-CC1B910C103D}"/>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64DB-4C18-AC1C-CC1B910C103D}"/>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64DB-4C18-AC1C-CC1B910C103D}"/>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64DB-4C18-AC1C-CC1B910C103D}"/>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64DB-4C18-AC1C-CC1B910C103D}"/>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64DB-4C18-AC1C-CC1B910C103D}"/>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64DB-4C18-AC1C-CC1B910C103D}"/>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64DB-4C18-AC1C-CC1B910C103D}"/>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64DB-4C18-AC1C-CC1B910C103D}"/>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64DB-4C18-AC1C-CC1B910C103D}"/>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64DB-4C18-AC1C-CC1B910C103D}"/>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64DB-4C18-AC1C-CC1B910C103D}"/>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64DB-4C18-AC1C-CC1B910C103D}"/>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64DB-4C18-AC1C-CC1B910C103D}"/>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64DB-4C18-AC1C-CC1B910C103D}"/>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64DB-4C18-AC1C-CC1B910C103D}"/>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64DB-4C18-AC1C-CC1B910C103D}"/>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64DB-4C18-AC1C-CC1B910C103D}"/>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64DB-4C18-AC1C-CC1B910C103D}"/>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64DB-4C18-AC1C-CC1B910C103D}"/>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64DB-4C18-AC1C-CC1B910C103D}"/>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64DB-4C18-AC1C-CC1B910C103D}"/>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64DB-4C18-AC1C-CC1B910C103D}"/>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64DB-4C18-AC1C-CC1B910C103D}"/>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64DB-4C18-AC1C-CC1B910C103D}"/>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64DB-4C18-AC1C-CC1B910C103D}"/>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64DB-4C18-AC1C-CC1B910C103D}"/>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64DB-4C18-AC1C-CC1B910C103D}"/>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64DB-4C18-AC1C-CC1B910C103D}"/>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64DB-4C18-AC1C-CC1B910C103D}"/>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64DB-4C18-AC1C-CC1B910C103D}"/>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64DB-4C18-AC1C-CC1B910C103D}"/>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64DB-4C18-AC1C-CC1B910C103D}"/>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64DB-4C18-AC1C-CC1B910C103D}"/>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64DB-4C18-AC1C-CC1B910C103D}"/>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64DB-4C18-AC1C-CC1B910C103D}"/>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64DB-4C18-AC1C-CC1B910C103D}"/>
            </c:ext>
          </c:extLst>
        </c:ser>
        <c:ser>
          <c:idx val="127"/>
          <c:order val="127"/>
          <c:tx>
            <c:v>h=115</c:v>
          </c:tx>
          <c:spPr>
            <a:ln w="3175">
              <a:solidFill>
                <a:srgbClr val="808080"/>
              </a:solidFill>
              <a:prstDash val="solid"/>
            </a:ln>
          </c:spPr>
          <c:marker>
            <c:symbol val="none"/>
          </c:marker>
          <c:dLbls>
            <c:dLbl>
              <c:idx val="0"/>
              <c:layout>
                <c:manualLayout>
                  <c:x val="-5.208333333333333E-3"/>
                  <c:y val="4.429975099266438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26.481814915523199</c:v>
              </c:pt>
              <c:pt idx="1">
                <c:v>49.999999999999993</c:v>
              </c:pt>
            </c:numLit>
          </c:xVal>
          <c:yVal>
            <c:numLit>
              <c:formatCode>General</c:formatCode>
              <c:ptCount val="2"/>
              <c:pt idx="0">
                <c:v>3.4062950730525697E-2</c:v>
              </c:pt>
              <c:pt idx="1">
                <c:v>2.4942174248265229E-2</c:v>
              </c:pt>
            </c:numLit>
          </c:yVal>
          <c:smooth val="0"/>
          <c:extLst>
            <c:ext xmlns:c16="http://schemas.microsoft.com/office/drawing/2014/chart" uri="{C3380CC4-5D6E-409C-BE32-E72D297353CC}">
              <c16:uniqueId val="{00000099-64DB-4C18-AC1C-CC1B910C103D}"/>
            </c:ext>
          </c:extLst>
        </c:ser>
        <c:ser>
          <c:idx val="128"/>
          <c:order val="128"/>
          <c:tx>
            <c:v>h=116</c:v>
          </c:tx>
          <c:spPr>
            <a:ln w="3175">
              <a:solidFill>
                <a:srgbClr val="808080"/>
              </a:solidFill>
              <a:prstDash val="solid"/>
            </a:ln>
          </c:spPr>
          <c:marker>
            <c:symbol val="none"/>
          </c:marker>
          <c:xVal>
            <c:numLit>
              <c:formatCode>General</c:formatCode>
              <c:ptCount val="2"/>
              <c:pt idx="0">
                <c:v>26.790223697224533</c:v>
              </c:pt>
              <c:pt idx="1">
                <c:v>27.090223697224534</c:v>
              </c:pt>
            </c:numLit>
          </c:xVal>
          <c:yVal>
            <c:numLit>
              <c:formatCode>General</c:formatCode>
              <c:ptCount val="2"/>
              <c:pt idx="0">
                <c:v>3.4328849252348546E-2</c:v>
              </c:pt>
              <c:pt idx="1">
                <c:v>3.4213406133863963E-2</c:v>
              </c:pt>
            </c:numLit>
          </c:yVal>
          <c:smooth val="0"/>
          <c:extLst>
            <c:ext xmlns:c16="http://schemas.microsoft.com/office/drawing/2014/chart" uri="{C3380CC4-5D6E-409C-BE32-E72D297353CC}">
              <c16:uniqueId val="{0000009A-64DB-4C18-AC1C-CC1B910C103D}"/>
            </c:ext>
          </c:extLst>
        </c:ser>
        <c:ser>
          <c:idx val="129"/>
          <c:order val="129"/>
          <c:tx>
            <c:v>h=117</c:v>
          </c:tx>
          <c:spPr>
            <a:ln w="3175">
              <a:solidFill>
                <a:srgbClr val="808080"/>
              </a:solidFill>
              <a:prstDash val="solid"/>
            </a:ln>
          </c:spPr>
          <c:marker>
            <c:symbol val="none"/>
          </c:marker>
          <c:xVal>
            <c:numLit>
              <c:formatCode>General</c:formatCode>
              <c:ptCount val="2"/>
              <c:pt idx="0">
                <c:v>27.098632478925868</c:v>
              </c:pt>
              <c:pt idx="1">
                <c:v>27.398632478925869</c:v>
              </c:pt>
            </c:numLit>
          </c:xVal>
          <c:yVal>
            <c:numLit>
              <c:formatCode>General</c:formatCode>
              <c:ptCount val="2"/>
              <c:pt idx="0">
                <c:v>3.4594747774171389E-2</c:v>
              </c:pt>
              <c:pt idx="1">
                <c:v>3.4479305433098899E-2</c:v>
              </c:pt>
            </c:numLit>
          </c:yVal>
          <c:smooth val="0"/>
          <c:extLst>
            <c:ext xmlns:c16="http://schemas.microsoft.com/office/drawing/2014/chart" uri="{C3380CC4-5D6E-409C-BE32-E72D297353CC}">
              <c16:uniqueId val="{0000009B-64DB-4C18-AC1C-CC1B910C103D}"/>
            </c:ext>
          </c:extLst>
        </c:ser>
        <c:ser>
          <c:idx val="130"/>
          <c:order val="130"/>
          <c:tx>
            <c:v>h=118</c:v>
          </c:tx>
          <c:spPr>
            <a:ln w="3175">
              <a:solidFill>
                <a:srgbClr val="808080"/>
              </a:solidFill>
              <a:prstDash val="solid"/>
            </a:ln>
          </c:spPr>
          <c:marker>
            <c:symbol val="none"/>
          </c:marker>
          <c:xVal>
            <c:numLit>
              <c:formatCode>General</c:formatCode>
              <c:ptCount val="2"/>
              <c:pt idx="0">
                <c:v>27.407041260627199</c:v>
              </c:pt>
              <c:pt idx="1">
                <c:v>27.7070412606272</c:v>
              </c:pt>
            </c:numLit>
          </c:xVal>
          <c:yVal>
            <c:numLit>
              <c:formatCode>General</c:formatCode>
              <c:ptCount val="2"/>
              <c:pt idx="0">
                <c:v>3.4860646295994231E-2</c:v>
              </c:pt>
              <c:pt idx="1">
                <c:v>3.4745204720464225E-2</c:v>
              </c:pt>
            </c:numLit>
          </c:yVal>
          <c:smooth val="0"/>
          <c:extLst>
            <c:ext xmlns:c16="http://schemas.microsoft.com/office/drawing/2014/chart" uri="{C3380CC4-5D6E-409C-BE32-E72D297353CC}">
              <c16:uniqueId val="{0000009C-64DB-4C18-AC1C-CC1B910C103D}"/>
            </c:ext>
          </c:extLst>
        </c:ser>
        <c:ser>
          <c:idx val="131"/>
          <c:order val="131"/>
          <c:tx>
            <c:v>h=119</c:v>
          </c:tx>
          <c:spPr>
            <a:ln w="3175">
              <a:solidFill>
                <a:srgbClr val="808080"/>
              </a:solidFill>
              <a:prstDash val="solid"/>
            </a:ln>
          </c:spPr>
          <c:marker>
            <c:symbol val="none"/>
          </c:marker>
          <c:xVal>
            <c:numLit>
              <c:formatCode>General</c:formatCode>
              <c:ptCount val="2"/>
              <c:pt idx="0">
                <c:v>27.715450042328534</c:v>
              </c:pt>
              <c:pt idx="1">
                <c:v>28.015450042328535</c:v>
              </c:pt>
            </c:numLit>
          </c:xVal>
          <c:yVal>
            <c:numLit>
              <c:formatCode>General</c:formatCode>
              <c:ptCount val="2"/>
              <c:pt idx="0">
                <c:v>3.5126544817817074E-2</c:v>
              </c:pt>
              <c:pt idx="1">
                <c:v>3.5011103996229725E-2</c:v>
              </c:pt>
            </c:numLit>
          </c:yVal>
          <c:smooth val="0"/>
          <c:extLst>
            <c:ext xmlns:c16="http://schemas.microsoft.com/office/drawing/2014/chart" uri="{C3380CC4-5D6E-409C-BE32-E72D297353CC}">
              <c16:uniqueId val="{0000009D-64DB-4C18-AC1C-CC1B910C103D}"/>
            </c:ext>
          </c:extLst>
        </c:ser>
        <c:ser>
          <c:idx val="132"/>
          <c:order val="132"/>
          <c:tx>
            <c:v>h=120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28.023858824029869</c:v>
              </c:pt>
              <c:pt idx="1">
                <c:v>50</c:v>
              </c:pt>
            </c:numLit>
          </c:xVal>
          <c:yVal>
            <c:numLit>
              <c:formatCode>General</c:formatCode>
              <c:ptCount val="2"/>
              <c:pt idx="0">
                <c:v>3.5392443339639923E-2</c:v>
              </c:pt>
              <c:pt idx="1">
                <c:v>2.6869699306090979E-2</c:v>
              </c:pt>
            </c:numLit>
          </c:yVal>
          <c:smooth val="0"/>
          <c:extLst>
            <c:ext xmlns:c16="http://schemas.microsoft.com/office/drawing/2014/chart" uri="{C3380CC4-5D6E-409C-BE32-E72D297353CC}">
              <c16:uniqueId val="{0000009F-64DB-4C18-AC1C-CC1B910C103D}"/>
            </c:ext>
          </c:extLst>
        </c:ser>
        <c:ser>
          <c:idx val="133"/>
          <c:order val="133"/>
          <c:tx>
            <c:v>h=121</c:v>
          </c:tx>
          <c:spPr>
            <a:ln w="3175">
              <a:solidFill>
                <a:srgbClr val="808080"/>
              </a:solidFill>
              <a:prstDash val="solid"/>
            </a:ln>
          </c:spPr>
          <c:marker>
            <c:symbol val="none"/>
          </c:marker>
          <c:xVal>
            <c:numLit>
              <c:formatCode>General</c:formatCode>
              <c:ptCount val="2"/>
              <c:pt idx="0">
                <c:v>28.3322676057312</c:v>
              </c:pt>
              <c:pt idx="1">
                <c:v>28.632267605731201</c:v>
              </c:pt>
            </c:numLit>
          </c:xVal>
          <c:yVal>
            <c:numLit>
              <c:formatCode>General</c:formatCode>
              <c:ptCount val="2"/>
              <c:pt idx="0">
                <c:v>3.5658341861462765E-2</c:v>
              </c:pt>
              <c:pt idx="1">
                <c:v>3.5542902514000108E-2</c:v>
              </c:pt>
            </c:numLit>
          </c:yVal>
          <c:smooth val="0"/>
          <c:extLst>
            <c:ext xmlns:c16="http://schemas.microsoft.com/office/drawing/2014/chart" uri="{C3380CC4-5D6E-409C-BE32-E72D297353CC}">
              <c16:uniqueId val="{000000A0-64DB-4C18-AC1C-CC1B910C103D}"/>
            </c:ext>
          </c:extLst>
        </c:ser>
        <c:ser>
          <c:idx val="134"/>
          <c:order val="134"/>
          <c:tx>
            <c:v>h=122</c:v>
          </c:tx>
          <c:spPr>
            <a:ln w="3175">
              <a:solidFill>
                <a:srgbClr val="808080"/>
              </a:solidFill>
              <a:prstDash val="solid"/>
            </a:ln>
          </c:spPr>
          <c:marker>
            <c:symbol val="none"/>
          </c:marker>
          <c:xVal>
            <c:numLit>
              <c:formatCode>General</c:formatCode>
              <c:ptCount val="2"/>
              <c:pt idx="0">
                <c:v>28.640676387432535</c:v>
              </c:pt>
              <c:pt idx="1">
                <c:v>28.940676387432536</c:v>
              </c:pt>
            </c:numLit>
          </c:xVal>
          <c:yVal>
            <c:numLit>
              <c:formatCode>General</c:formatCode>
              <c:ptCount val="2"/>
              <c:pt idx="0">
                <c:v>3.5924240383285608E-2</c:v>
              </c:pt>
              <c:pt idx="1">
                <c:v>3.5808801756505165E-2</c:v>
              </c:pt>
            </c:numLit>
          </c:yVal>
          <c:smooth val="0"/>
          <c:extLst>
            <c:ext xmlns:c16="http://schemas.microsoft.com/office/drawing/2014/chart" uri="{C3380CC4-5D6E-409C-BE32-E72D297353CC}">
              <c16:uniqueId val="{000000A1-64DB-4C18-AC1C-CC1B910C103D}"/>
            </c:ext>
          </c:extLst>
        </c:ser>
        <c:ser>
          <c:idx val="135"/>
          <c:order val="135"/>
          <c:tx>
            <c:v>h=123</c:v>
          </c:tx>
          <c:spPr>
            <a:ln w="3175">
              <a:solidFill>
                <a:srgbClr val="808080"/>
              </a:solidFill>
              <a:prstDash val="solid"/>
            </a:ln>
          </c:spPr>
          <c:marker>
            <c:symbol val="none"/>
          </c:marker>
          <c:xVal>
            <c:numLit>
              <c:formatCode>General</c:formatCode>
              <c:ptCount val="2"/>
              <c:pt idx="0">
                <c:v>28.94908516913387</c:v>
              </c:pt>
              <c:pt idx="1">
                <c:v>29.24908516913387</c:v>
              </c:pt>
            </c:numLit>
          </c:xVal>
          <c:yVal>
            <c:numLit>
              <c:formatCode>General</c:formatCode>
              <c:ptCount val="2"/>
              <c:pt idx="0">
                <c:v>3.6190138905108457E-2</c:v>
              </c:pt>
              <c:pt idx="1">
                <c:v>3.6074700988411347E-2</c:v>
              </c:pt>
            </c:numLit>
          </c:yVal>
          <c:smooth val="0"/>
          <c:extLst>
            <c:ext xmlns:c16="http://schemas.microsoft.com/office/drawing/2014/chart" uri="{C3380CC4-5D6E-409C-BE32-E72D297353CC}">
              <c16:uniqueId val="{000000A2-64DB-4C18-AC1C-CC1B910C103D}"/>
            </c:ext>
          </c:extLst>
        </c:ser>
        <c:ser>
          <c:idx val="136"/>
          <c:order val="136"/>
          <c:tx>
            <c:v>h=124</c:v>
          </c:tx>
          <c:spPr>
            <a:ln w="3175">
              <a:solidFill>
                <a:srgbClr val="808080"/>
              </a:solidFill>
              <a:prstDash val="solid"/>
            </a:ln>
          </c:spPr>
          <c:marker>
            <c:symbol val="none"/>
          </c:marker>
          <c:xVal>
            <c:numLit>
              <c:formatCode>General</c:formatCode>
              <c:ptCount val="2"/>
              <c:pt idx="0">
                <c:v>29.257493950835201</c:v>
              </c:pt>
              <c:pt idx="1">
                <c:v>29.557493950835202</c:v>
              </c:pt>
            </c:numLit>
          </c:xVal>
          <c:yVal>
            <c:numLit>
              <c:formatCode>General</c:formatCode>
              <c:ptCount val="2"/>
              <c:pt idx="0">
                <c:v>3.64560374269313E-2</c:v>
              </c:pt>
              <c:pt idx="1">
                <c:v>3.6340600209950738E-2</c:v>
              </c:pt>
            </c:numLit>
          </c:yVal>
          <c:smooth val="0"/>
          <c:extLst>
            <c:ext xmlns:c16="http://schemas.microsoft.com/office/drawing/2014/chart" uri="{C3380CC4-5D6E-409C-BE32-E72D297353CC}">
              <c16:uniqueId val="{000000A3-64DB-4C18-AC1C-CC1B910C103D}"/>
            </c:ext>
          </c:extLst>
        </c:ser>
        <c:ser>
          <c:idx val="137"/>
          <c:order val="137"/>
          <c:tx>
            <c:v>h=125</c:v>
          </c:tx>
          <c:spPr>
            <a:ln w="3175">
              <a:solidFill>
                <a:srgbClr val="808080"/>
              </a:solidFill>
              <a:prstDash val="solid"/>
            </a:ln>
          </c:spPr>
          <c:marker>
            <c:symbol val="none"/>
          </c:marker>
          <c:dLbls>
            <c:dLbl>
              <c:idx val="0"/>
              <c:layout>
                <c:manualLayout>
                  <c:x val="-5.2083333333334605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29.565902732536536</c:v>
              </c:pt>
              <c:pt idx="1">
                <c:v>50</c:v>
              </c:pt>
            </c:numLit>
          </c:xVal>
          <c:yVal>
            <c:numLit>
              <c:formatCode>General</c:formatCode>
              <c:ptCount val="2"/>
              <c:pt idx="0">
                <c:v>3.6721935948754142E-2</c:v>
              </c:pt>
              <c:pt idx="1">
                <c:v>2.879722436391673E-2</c:v>
              </c:pt>
            </c:numLit>
          </c:yVal>
          <c:smooth val="0"/>
          <c:extLst>
            <c:ext xmlns:c16="http://schemas.microsoft.com/office/drawing/2014/chart" uri="{C3380CC4-5D6E-409C-BE32-E72D297353CC}">
              <c16:uniqueId val="{000000A5-64DB-4C18-AC1C-CC1B910C103D}"/>
            </c:ext>
          </c:extLst>
        </c:ser>
        <c:ser>
          <c:idx val="138"/>
          <c:order val="138"/>
          <c:tx>
            <c:v>h=126</c:v>
          </c:tx>
          <c:spPr>
            <a:ln w="3175">
              <a:solidFill>
                <a:srgbClr val="808080"/>
              </a:solidFill>
              <a:prstDash val="solid"/>
            </a:ln>
          </c:spPr>
          <c:marker>
            <c:symbol val="none"/>
          </c:marker>
          <c:xVal>
            <c:numLit>
              <c:formatCode>General</c:formatCode>
              <c:ptCount val="2"/>
              <c:pt idx="0">
                <c:v>29.874311514237871</c:v>
              </c:pt>
              <c:pt idx="1">
                <c:v>30.174311514237871</c:v>
              </c:pt>
            </c:numLit>
          </c:xVal>
          <c:yVal>
            <c:numLit>
              <c:formatCode>General</c:formatCode>
              <c:ptCount val="2"/>
              <c:pt idx="0">
                <c:v>3.6987834470576984E-2</c:v>
              </c:pt>
              <c:pt idx="1">
                <c:v>3.687239862282421E-2</c:v>
              </c:pt>
            </c:numLit>
          </c:yVal>
          <c:smooth val="0"/>
          <c:extLst>
            <c:ext xmlns:c16="http://schemas.microsoft.com/office/drawing/2014/chart" uri="{C3380CC4-5D6E-409C-BE32-E72D297353CC}">
              <c16:uniqueId val="{000000A6-64DB-4C18-AC1C-CC1B910C103D}"/>
            </c:ext>
          </c:extLst>
        </c:ser>
        <c:ser>
          <c:idx val="139"/>
          <c:order val="139"/>
          <c:tx>
            <c:v>h=127</c:v>
          </c:tx>
          <c:spPr>
            <a:ln w="3175">
              <a:solidFill>
                <a:srgbClr val="808080"/>
              </a:solidFill>
              <a:prstDash val="solid"/>
            </a:ln>
          </c:spPr>
          <c:marker>
            <c:symbol val="none"/>
          </c:marker>
          <c:xVal>
            <c:numLit>
              <c:formatCode>General</c:formatCode>
              <c:ptCount val="2"/>
              <c:pt idx="0">
                <c:v>30.182720295939202</c:v>
              </c:pt>
              <c:pt idx="1">
                <c:v>30.482720295939203</c:v>
              </c:pt>
            </c:numLit>
          </c:xVal>
          <c:yVal>
            <c:numLit>
              <c:formatCode>General</c:formatCode>
              <c:ptCount val="2"/>
              <c:pt idx="0">
                <c:v>3.7253732992399834E-2</c:v>
              </c:pt>
              <c:pt idx="1">
                <c:v>3.713829781458982E-2</c:v>
              </c:pt>
            </c:numLit>
          </c:yVal>
          <c:smooth val="0"/>
          <c:extLst>
            <c:ext xmlns:c16="http://schemas.microsoft.com/office/drawing/2014/chart" uri="{C3380CC4-5D6E-409C-BE32-E72D297353CC}">
              <c16:uniqueId val="{000000A7-64DB-4C18-AC1C-CC1B910C103D}"/>
            </c:ext>
          </c:extLst>
        </c:ser>
        <c:ser>
          <c:idx val="140"/>
          <c:order val="140"/>
          <c:tx>
            <c:v>h=128</c:v>
          </c:tx>
          <c:spPr>
            <a:ln w="3175">
              <a:solidFill>
                <a:srgbClr val="808080"/>
              </a:solidFill>
              <a:prstDash val="solid"/>
            </a:ln>
          </c:spPr>
          <c:marker>
            <c:symbol val="none"/>
          </c:marker>
          <c:xVal>
            <c:numLit>
              <c:formatCode>General</c:formatCode>
              <c:ptCount val="2"/>
              <c:pt idx="0">
                <c:v>30.491129077640537</c:v>
              </c:pt>
              <c:pt idx="1">
                <c:v>30.791129077640537</c:v>
              </c:pt>
            </c:numLit>
          </c:xVal>
          <c:yVal>
            <c:numLit>
              <c:formatCode>General</c:formatCode>
              <c:ptCount val="2"/>
              <c:pt idx="0">
                <c:v>3.7519631514222676E-2</c:v>
              </c:pt>
              <c:pt idx="1">
                <c:v>3.7404196996852157E-2</c:v>
              </c:pt>
            </c:numLit>
          </c:yVal>
          <c:smooth val="0"/>
          <c:extLst>
            <c:ext xmlns:c16="http://schemas.microsoft.com/office/drawing/2014/chart" uri="{C3380CC4-5D6E-409C-BE32-E72D297353CC}">
              <c16:uniqueId val="{000000A8-64DB-4C18-AC1C-CC1B910C103D}"/>
            </c:ext>
          </c:extLst>
        </c:ser>
        <c:ser>
          <c:idx val="141"/>
          <c:order val="141"/>
          <c:tx>
            <c:v>h=129</c:v>
          </c:tx>
          <c:spPr>
            <a:ln w="3175">
              <a:solidFill>
                <a:srgbClr val="808080"/>
              </a:solidFill>
              <a:prstDash val="solid"/>
            </a:ln>
          </c:spPr>
          <c:marker>
            <c:symbol val="none"/>
          </c:marker>
          <c:xVal>
            <c:numLit>
              <c:formatCode>General</c:formatCode>
              <c:ptCount val="2"/>
              <c:pt idx="0">
                <c:v>30.799537859341871</c:v>
              </c:pt>
              <c:pt idx="1">
                <c:v>31.099537859341872</c:v>
              </c:pt>
            </c:numLit>
          </c:xVal>
          <c:yVal>
            <c:numLit>
              <c:formatCode>General</c:formatCode>
              <c:ptCount val="2"/>
              <c:pt idx="0">
                <c:v>3.7785530036045518E-2</c:v>
              </c:pt>
              <c:pt idx="1">
                <c:v>3.7670096169812005E-2</c:v>
              </c:pt>
            </c:numLit>
          </c:yVal>
          <c:smooth val="0"/>
          <c:extLst>
            <c:ext xmlns:c16="http://schemas.microsoft.com/office/drawing/2014/chart" uri="{C3380CC4-5D6E-409C-BE32-E72D297353CC}">
              <c16:uniqueId val="{000000A9-64DB-4C18-AC1C-CC1B910C103D}"/>
            </c:ext>
          </c:extLst>
        </c:ser>
        <c:ser>
          <c:idx val="142"/>
          <c:order val="142"/>
          <c:tx>
            <c:v>h=130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31.107946641043203</c:v>
              </c:pt>
              <c:pt idx="1">
                <c:v>50</c:v>
              </c:pt>
            </c:numLit>
          </c:xVal>
          <c:yVal>
            <c:numLit>
              <c:formatCode>General</c:formatCode>
              <c:ptCount val="2"/>
              <c:pt idx="0">
                <c:v>3.8051428557868368E-2</c:v>
              </c:pt>
              <c:pt idx="1">
                <c:v>3.0724749421742484E-2</c:v>
              </c:pt>
            </c:numLit>
          </c:yVal>
          <c:smooth val="0"/>
          <c:extLst>
            <c:ext xmlns:c16="http://schemas.microsoft.com/office/drawing/2014/chart" uri="{C3380CC4-5D6E-409C-BE32-E72D297353CC}">
              <c16:uniqueId val="{000000AB-64DB-4C18-AC1C-CC1B910C103D}"/>
            </c:ext>
          </c:extLst>
        </c:ser>
        <c:ser>
          <c:idx val="143"/>
          <c:order val="143"/>
          <c:tx>
            <c:v>h=131</c:v>
          </c:tx>
          <c:spPr>
            <a:ln w="3175">
              <a:solidFill>
                <a:srgbClr val="808080"/>
              </a:solidFill>
              <a:prstDash val="solid"/>
            </a:ln>
          </c:spPr>
          <c:marker>
            <c:symbol val="none"/>
          </c:marker>
          <c:xVal>
            <c:numLit>
              <c:formatCode>General</c:formatCode>
              <c:ptCount val="2"/>
              <c:pt idx="0">
                <c:v>31.416355422744537</c:v>
              </c:pt>
              <c:pt idx="1">
                <c:v>31.716355422744538</c:v>
              </c:pt>
            </c:numLit>
          </c:xVal>
          <c:yVal>
            <c:numLit>
              <c:formatCode>General</c:formatCode>
              <c:ptCount val="2"/>
              <c:pt idx="0">
                <c:v>3.831732707969121E-2</c:v>
              </c:pt>
              <c:pt idx="1">
                <c:v>3.8201894488599515E-2</c:v>
              </c:pt>
            </c:numLit>
          </c:yVal>
          <c:smooth val="0"/>
          <c:extLst>
            <c:ext xmlns:c16="http://schemas.microsoft.com/office/drawing/2014/chart" uri="{C3380CC4-5D6E-409C-BE32-E72D297353CC}">
              <c16:uniqueId val="{000000AC-64DB-4C18-AC1C-CC1B910C103D}"/>
            </c:ext>
          </c:extLst>
        </c:ser>
        <c:ser>
          <c:idx val="144"/>
          <c:order val="144"/>
          <c:tx>
            <c:v>h=132</c:v>
          </c:tx>
          <c:spPr>
            <a:ln w="3175">
              <a:solidFill>
                <a:srgbClr val="808080"/>
              </a:solidFill>
              <a:prstDash val="solid"/>
            </a:ln>
          </c:spPr>
          <c:marker>
            <c:symbol val="none"/>
          </c:marker>
          <c:xVal>
            <c:numLit>
              <c:formatCode>General</c:formatCode>
              <c:ptCount val="2"/>
              <c:pt idx="0">
                <c:v>31.724764204445872</c:v>
              </c:pt>
              <c:pt idx="1">
                <c:v>32.024764204445873</c:v>
              </c:pt>
            </c:numLit>
          </c:xVal>
          <c:yVal>
            <c:numLit>
              <c:formatCode>General</c:formatCode>
              <c:ptCount val="2"/>
              <c:pt idx="0">
                <c:v>3.8583225601514053E-2</c:v>
              </c:pt>
              <c:pt idx="1">
                <c:v>3.8467793634801413E-2</c:v>
              </c:pt>
            </c:numLit>
          </c:yVal>
          <c:smooth val="0"/>
          <c:extLst>
            <c:ext xmlns:c16="http://schemas.microsoft.com/office/drawing/2014/chart" uri="{C3380CC4-5D6E-409C-BE32-E72D297353CC}">
              <c16:uniqueId val="{000000AD-64DB-4C18-AC1C-CC1B910C103D}"/>
            </c:ext>
          </c:extLst>
        </c:ser>
        <c:ser>
          <c:idx val="145"/>
          <c:order val="145"/>
          <c:tx>
            <c:v>h=133</c:v>
          </c:tx>
          <c:spPr>
            <a:ln w="3175">
              <a:solidFill>
                <a:srgbClr val="808080"/>
              </a:solidFill>
              <a:prstDash val="solid"/>
            </a:ln>
          </c:spPr>
          <c:marker>
            <c:symbol val="none"/>
          </c:marker>
          <c:xVal>
            <c:numLit>
              <c:formatCode>General</c:formatCode>
              <c:ptCount val="2"/>
              <c:pt idx="0">
                <c:v>32.033172986147207</c:v>
              </c:pt>
              <c:pt idx="1">
                <c:v>32.333172986147204</c:v>
              </c:pt>
            </c:numLit>
          </c:xVal>
          <c:yVal>
            <c:numLit>
              <c:formatCode>General</c:formatCode>
              <c:ptCount val="2"/>
              <c:pt idx="0">
                <c:v>3.8849124123336895E-2</c:v>
              </c:pt>
              <c:pt idx="1">
                <c:v>3.8733692772449715E-2</c:v>
              </c:pt>
            </c:numLit>
          </c:yVal>
          <c:smooth val="0"/>
          <c:extLst>
            <c:ext xmlns:c16="http://schemas.microsoft.com/office/drawing/2014/chart" uri="{C3380CC4-5D6E-409C-BE32-E72D297353CC}">
              <c16:uniqueId val="{000000AE-64DB-4C18-AC1C-CC1B910C103D}"/>
            </c:ext>
          </c:extLst>
        </c:ser>
        <c:ser>
          <c:idx val="146"/>
          <c:order val="146"/>
          <c:tx>
            <c:v>h=134</c:v>
          </c:tx>
          <c:spPr>
            <a:ln w="3175">
              <a:solidFill>
                <a:srgbClr val="808080"/>
              </a:solidFill>
              <a:prstDash val="solid"/>
            </a:ln>
          </c:spPr>
          <c:marker>
            <c:symbol val="none"/>
          </c:marker>
          <c:xVal>
            <c:numLit>
              <c:formatCode>General</c:formatCode>
              <c:ptCount val="2"/>
              <c:pt idx="0">
                <c:v>32.341581767848538</c:v>
              </c:pt>
              <c:pt idx="1">
                <c:v>32.641581767848535</c:v>
              </c:pt>
            </c:numLit>
          </c:xVal>
          <c:yVal>
            <c:numLit>
              <c:formatCode>General</c:formatCode>
              <c:ptCount val="2"/>
              <c:pt idx="0">
                <c:v>3.9115022645159744E-2</c:v>
              </c:pt>
              <c:pt idx="1">
                <c:v>3.8999591901718991E-2</c:v>
              </c:pt>
            </c:numLit>
          </c:yVal>
          <c:smooth val="0"/>
          <c:extLst>
            <c:ext xmlns:c16="http://schemas.microsoft.com/office/drawing/2014/chart" uri="{C3380CC4-5D6E-409C-BE32-E72D297353CC}">
              <c16:uniqueId val="{000000AF-64DB-4C18-AC1C-CC1B910C103D}"/>
            </c:ext>
          </c:extLst>
        </c:ser>
        <c:ser>
          <c:idx val="147"/>
          <c:order val="147"/>
          <c:tx>
            <c:v>h=135</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64DB-4C18-AC1C-CC1B910C10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32.649990549549869</c:v>
              </c:pt>
              <c:pt idx="1">
                <c:v>50</c:v>
              </c:pt>
            </c:numLit>
          </c:xVal>
          <c:yVal>
            <c:numLit>
              <c:formatCode>General</c:formatCode>
              <c:ptCount val="2"/>
              <c:pt idx="0">
                <c:v>3.9380921166982587E-2</c:v>
              </c:pt>
              <c:pt idx="1">
                <c:v>3.2652274479568234E-2</c:v>
              </c:pt>
            </c:numLit>
          </c:yVal>
          <c:smooth val="0"/>
          <c:extLst>
            <c:ext xmlns:c16="http://schemas.microsoft.com/office/drawing/2014/chart" uri="{C3380CC4-5D6E-409C-BE32-E72D297353CC}">
              <c16:uniqueId val="{000000B1-64DB-4C18-AC1C-CC1B910C103D}"/>
            </c:ext>
          </c:extLst>
        </c:ser>
        <c:ser>
          <c:idx val="148"/>
          <c:order val="148"/>
          <c:tx>
            <c:v>h=136</c:v>
          </c:tx>
          <c:spPr>
            <a:ln w="3175">
              <a:solidFill>
                <a:srgbClr val="808080"/>
              </a:solidFill>
              <a:prstDash val="solid"/>
            </a:ln>
          </c:spPr>
          <c:marker>
            <c:symbol val="none"/>
          </c:marker>
          <c:xVal>
            <c:numLit>
              <c:formatCode>General</c:formatCode>
              <c:ptCount val="2"/>
              <c:pt idx="0">
                <c:v>32.958399331251208</c:v>
              </c:pt>
              <c:pt idx="1">
                <c:v>33.258399331251205</c:v>
              </c:pt>
            </c:numLit>
          </c:xVal>
          <c:yVal>
            <c:numLit>
              <c:formatCode>General</c:formatCode>
              <c:ptCount val="2"/>
              <c:pt idx="0">
                <c:v>3.9646819688805429E-2</c:v>
              </c:pt>
              <c:pt idx="1">
                <c:v>3.9531390135795305E-2</c:v>
              </c:pt>
            </c:numLit>
          </c:yVal>
          <c:smooth val="0"/>
          <c:extLst>
            <c:ext xmlns:c16="http://schemas.microsoft.com/office/drawing/2014/chart" uri="{C3380CC4-5D6E-409C-BE32-E72D297353CC}">
              <c16:uniqueId val="{000000B2-64DB-4C18-AC1C-CC1B910C103D}"/>
            </c:ext>
          </c:extLst>
        </c:ser>
        <c:ser>
          <c:idx val="149"/>
          <c:order val="149"/>
          <c:tx>
            <c:v>h=137</c:v>
          </c:tx>
          <c:spPr>
            <a:ln w="3175">
              <a:solidFill>
                <a:srgbClr val="808080"/>
              </a:solidFill>
              <a:prstDash val="solid"/>
            </a:ln>
          </c:spPr>
          <c:marker>
            <c:symbol val="none"/>
          </c:marker>
          <c:xVal>
            <c:numLit>
              <c:formatCode>General</c:formatCode>
              <c:ptCount val="2"/>
              <c:pt idx="0">
                <c:v>33.266808112952539</c:v>
              </c:pt>
              <c:pt idx="1">
                <c:v>33.566808112952536</c:v>
              </c:pt>
            </c:numLit>
          </c:xVal>
          <c:yVal>
            <c:numLit>
              <c:formatCode>General</c:formatCode>
              <c:ptCount val="2"/>
              <c:pt idx="0">
                <c:v>3.9912718210628279E-2</c:v>
              </c:pt>
              <c:pt idx="1">
                <c:v>3.9797289240928527E-2</c:v>
              </c:pt>
            </c:numLit>
          </c:yVal>
          <c:smooth val="0"/>
          <c:extLst>
            <c:ext xmlns:c16="http://schemas.microsoft.com/office/drawing/2014/chart" uri="{C3380CC4-5D6E-409C-BE32-E72D297353CC}">
              <c16:uniqueId val="{000000B3-64DB-4C18-AC1C-CC1B910C103D}"/>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FEAE-489F-B42A-5514DDA4B83E}"/>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FEAE-489F-B42A-5514DDA4B83E}"/>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FEAE-489F-B42A-5514DDA4B83E}"/>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FEAE-489F-B42A-5514DDA4B83E}"/>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FEAE-489F-B42A-5514DDA4B83E}"/>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FEAE-489F-B42A-5514DDA4B83E}"/>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FEAE-489F-B42A-5514DDA4B83E}"/>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FEAE-489F-B42A-5514DDA4B83E}"/>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FEAE-489F-B42A-5514DDA4B83E}"/>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FEAE-489F-B42A-5514DDA4B83E}"/>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FEAE-489F-B42A-5514DDA4B83E}"/>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FEAE-489F-B42A-5514DDA4B83E}"/>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FEAE-489F-B42A-5514DDA4B83E}"/>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FEAE-489F-B42A-5514DDA4B83E}"/>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FEAE-489F-B42A-5514DDA4B83E}"/>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FEAE-489F-B42A-5514DDA4B83E}"/>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FEAE-489F-B42A-5514DDA4B83E}"/>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FEAE-489F-B42A-5514DDA4B83E}"/>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FEAE-489F-B42A-5514DDA4B83E}"/>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FEAE-489F-B42A-5514DDA4B83E}"/>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FEAE-489F-B42A-5514DDA4B83E}"/>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FEAE-489F-B42A-5514DDA4B83E}"/>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FEAE-489F-B42A-5514DDA4B83E}"/>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FEAE-489F-B42A-5514DDA4B83E}"/>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FEAE-489F-B42A-5514DDA4B83E}"/>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FEAE-489F-B42A-5514DDA4B83E}"/>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FEAE-489F-B42A-5514DDA4B83E}"/>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FEAE-489F-B42A-5514DDA4B83E}"/>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FEAE-489F-B42A-5514DDA4B83E}"/>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FEAE-489F-B42A-5514DDA4B83E}"/>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FEAE-489F-B42A-5514DDA4B83E}"/>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FEAE-489F-B42A-5514DDA4B83E}"/>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FEAE-489F-B42A-5514DDA4B83E}"/>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FEAE-489F-B42A-5514DDA4B83E}"/>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FEAE-489F-B42A-5514DDA4B83E}"/>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FEAE-489F-B42A-5514DDA4B83E}"/>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FEAE-489F-B42A-5514DDA4B83E}"/>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FEAE-489F-B42A-5514DDA4B83E}"/>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FEAE-489F-B42A-5514DDA4B83E}"/>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FEAE-489F-B42A-5514DDA4B83E}"/>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FEAE-489F-B42A-5514DDA4B83E}"/>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FEAE-489F-B42A-5514DDA4B83E}"/>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FEAE-489F-B42A-5514DDA4B83E}"/>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FEAE-489F-B42A-5514DDA4B83E}"/>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FEAE-489F-B42A-5514DDA4B83E}"/>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FEAE-489F-B42A-5514DDA4B83E}"/>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FEAE-489F-B42A-5514DDA4B83E}"/>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FEAE-489F-B42A-5514DDA4B83E}"/>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FEAE-489F-B42A-5514DDA4B83E}"/>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FEAE-489F-B42A-5514DDA4B83E}"/>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FEAE-489F-B42A-5514DDA4B83E}"/>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FEAE-489F-B42A-5514DDA4B83E}"/>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FEAE-489F-B42A-5514DDA4B83E}"/>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FEAE-489F-B42A-5514DDA4B83E}"/>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FEAE-489F-B42A-5514DDA4B83E}"/>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FEAE-489F-B42A-5514DDA4B83E}"/>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FEAE-489F-B42A-5514DDA4B83E}"/>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FEAE-489F-B42A-5514DDA4B83E}"/>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FEAE-489F-B42A-5514DDA4B83E}"/>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FEAE-489F-B42A-5514DDA4B83E}"/>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FEAE-489F-B42A-5514DDA4B83E}"/>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FEAE-489F-B42A-5514DDA4B83E}"/>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FEAE-489F-B42A-5514DDA4B83E}"/>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FEAE-489F-B42A-5514DDA4B83E}"/>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FEAE-489F-B42A-5514DDA4B83E}"/>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FEAE-489F-B42A-5514DDA4B83E}"/>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FEAE-489F-B42A-5514DDA4B83E}"/>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FEAE-489F-B42A-5514DDA4B83E}"/>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FEAE-489F-B42A-5514DDA4B83E}"/>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FEAE-489F-B42A-5514DDA4B83E}"/>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FEAE-489F-B42A-5514DDA4B83E}"/>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FEAE-489F-B42A-5514DDA4B83E}"/>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FEAE-489F-B42A-5514DDA4B83E}"/>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FEAE-489F-B42A-5514DDA4B83E}"/>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FEAE-489F-B42A-5514DDA4B83E}"/>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FEAE-489F-B42A-5514DDA4B83E}"/>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FEAE-489F-B42A-5514DDA4B83E}"/>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FEAE-489F-B42A-5514DDA4B83E}"/>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FEAE-489F-B42A-5514DDA4B83E}"/>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FEAE-489F-B42A-5514DDA4B83E}"/>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FEAE-489F-B42A-5514DDA4B83E}"/>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FEAE-489F-B42A-5514DDA4B83E}"/>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FEAE-489F-B42A-5514DDA4B83E}"/>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FEAE-489F-B42A-5514DDA4B83E}"/>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FEAE-489F-B42A-5514DDA4B83E}"/>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FEAE-489F-B42A-5514DDA4B83E}"/>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FEAE-489F-B42A-5514DDA4B83E}"/>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FEAE-489F-B42A-5514DDA4B83E}"/>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FEAE-489F-B42A-5514DDA4B83E}"/>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FEAE-489F-B42A-5514DDA4B83E}"/>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FEAE-489F-B42A-5514DDA4B83E}"/>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FEAE-489F-B42A-5514DDA4B83E}"/>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FEAE-489F-B42A-5514DDA4B83E}"/>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FEAE-489F-B42A-5514DDA4B83E}"/>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FEAE-489F-B42A-5514DDA4B83E}"/>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FEAE-489F-B42A-5514DDA4B83E}"/>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FEAE-489F-B42A-5514DDA4B83E}"/>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FEAE-489F-B42A-5514DDA4B83E}"/>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FEAE-489F-B42A-5514DDA4B83E}"/>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FEAE-489F-B42A-5514DDA4B83E}"/>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FEAE-489F-B42A-5514DDA4B83E}"/>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FEAE-489F-B42A-5514DDA4B83E}"/>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FEAE-489F-B42A-5514DDA4B83E}"/>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FEAE-489F-B42A-5514DDA4B83E}"/>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FEAE-489F-B42A-5514DDA4B83E}"/>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FEAE-489F-B42A-5514DDA4B83E}"/>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FEAE-489F-B42A-5514DDA4B83E}"/>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FEAE-489F-B42A-5514DDA4B83E}"/>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FEAE-489F-B42A-5514DDA4B83E}"/>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FEAE-489F-B42A-5514DDA4B83E}"/>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FEAE-489F-B42A-5514DDA4B83E}"/>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FEAE-489F-B42A-5514DDA4B83E}"/>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FEAE-489F-B42A-5514DDA4B83E}"/>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FEAE-489F-B42A-5514DDA4B83E}"/>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FEAE-489F-B42A-5514DDA4B83E}"/>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FEAE-489F-B42A-5514DDA4B83E}"/>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FEAE-489F-B42A-5514DDA4B83E}"/>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FEAE-489F-B42A-5514DDA4B83E}"/>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FEAE-489F-B42A-5514DDA4B83E}"/>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FEAE-489F-B42A-5514DDA4B83E}"/>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FEAE-489F-B42A-5514DDA4B83E}"/>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FEAE-489F-B42A-5514DDA4B83E}"/>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FEAE-489F-B42A-5514DDA4B83E}"/>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FEAE-489F-B42A-5514DDA4B83E}"/>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FEAE-489F-B42A-5514DDA4B83E}"/>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FEAE-489F-B42A-5514DDA4B83E}"/>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FEAE-489F-B42A-5514DDA4B83E}"/>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FEAE-489F-B42A-5514DDA4B83E}"/>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FEAE-489F-B42A-5514DDA4B83E}"/>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FEAE-489F-B42A-5514DDA4B83E}"/>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FEAE-489F-B42A-5514DDA4B83E}"/>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FEAE-489F-B42A-5514DDA4B83E}"/>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FEAE-489F-B42A-5514DDA4B83E}"/>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FEAE-489F-B42A-5514DDA4B83E}"/>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FEAE-489F-B42A-5514DDA4B83E}"/>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FEAE-489F-B42A-5514DDA4B83E}"/>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FEAE-489F-B42A-5514DDA4B83E}"/>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FEAE-489F-B42A-5514DDA4B83E}"/>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FEAE-489F-B42A-5514DDA4B83E}"/>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FEAE-489F-B42A-5514DDA4B83E}"/>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FEAE-489F-B42A-5514DDA4B83E}"/>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FEAE-489F-B42A-5514DDA4B83E}"/>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FEAE-489F-B42A-5514DDA4B83E}"/>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FEAE-489F-B42A-5514DDA4B83E}"/>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FEAE-489F-B42A-5514DDA4B83E}"/>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FEAE-489F-B42A-5514DDA4B83E}"/>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FEAE-489F-B42A-5514DDA4B83E}"/>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FEAE-489F-B42A-5514DDA4B83E}"/>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FEAE-489F-B42A-5514DDA4B83E}"/>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FEAE-489F-B42A-5514DDA4B83E}"/>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FEAE-489F-B42A-5514DDA4B83E}"/>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FEAE-489F-B42A-5514DDA4B83E}"/>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FEAE-489F-B42A-5514DDA4B83E}"/>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FEAE-489F-B42A-5514DDA4B83E}"/>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FEAE-489F-B42A-5514DDA4B83E}"/>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FEAE-489F-B42A-5514DDA4B83E}"/>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FEAE-489F-B42A-5514DDA4B83E}"/>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FEAE-489F-B42A-5514DDA4B83E}"/>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FEAE-489F-B42A-5514DDA4B83E}"/>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FEAE-489F-B42A-5514DDA4B83E}"/>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FEAE-489F-B42A-5514DDA4B83E}"/>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FEAE-489F-B42A-5514DDA4B83E}"/>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FEAE-489F-B42A-5514DDA4B83E}"/>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FEAE-489F-B42A-5514DDA4B83E}"/>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FEAE-489F-B42A-5514DDA4B83E}"/>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FEAE-489F-B42A-5514DDA4B83E}"/>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FEAE-489F-B42A-5514DDA4B83E}"/>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FEAE-489F-B42A-5514DDA4B83E}"/>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FEAE-489F-B42A-5514DDA4B83E}"/>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FEAE-489F-B42A-5514DDA4B83E}"/>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FEAE-489F-B42A-5514DDA4B83E}"/>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FEAE-489F-B42A-5514DDA4B83E}"/>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FEAE-489F-B42A-5514DDA4B83E}"/>
            </c:ext>
          </c:extLst>
        </c:ser>
        <c:ser>
          <c:idx val="173"/>
          <c:order val="173"/>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D2-FEAE-489F-B42A-5514DDA4B83E}"/>
            </c:ext>
          </c:extLst>
        </c:ser>
        <c:ser>
          <c:idx val="174"/>
          <c:order val="174"/>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D4-FEAE-489F-B42A-5514DDA4B83E}"/>
            </c:ext>
          </c:extLst>
        </c:ser>
        <c:ser>
          <c:idx val="175"/>
          <c:order val="175"/>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D6-FEAE-489F-B42A-5514DDA4B83E}"/>
            </c:ext>
          </c:extLst>
        </c:ser>
        <c:ser>
          <c:idx val="176"/>
          <c:order val="176"/>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D8-FEAE-489F-B42A-5514DDA4B83E}"/>
            </c:ext>
          </c:extLst>
        </c:ser>
        <c:ser>
          <c:idx val="177"/>
          <c:order val="177"/>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DA-FEAE-489F-B42A-5514DDA4B83E}"/>
            </c:ext>
          </c:extLst>
        </c:ser>
        <c:ser>
          <c:idx val="178"/>
          <c:order val="178"/>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DC-FEAE-489F-B42A-5514DDA4B83E}"/>
            </c:ext>
          </c:extLst>
        </c:ser>
        <c:ser>
          <c:idx val="179"/>
          <c:order val="179"/>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DE-FEAE-489F-B42A-5514DDA4B83E}"/>
            </c:ext>
          </c:extLst>
        </c:ser>
        <c:ser>
          <c:idx val="180"/>
          <c:order val="180"/>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E0-FEAE-489F-B42A-5514DDA4B83E}"/>
            </c:ext>
          </c:extLst>
        </c:ser>
        <c:ser>
          <c:idx val="181"/>
          <c:order val="181"/>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E2-FEAE-489F-B42A-5514DDA4B83E}"/>
            </c:ext>
          </c:extLst>
        </c:ser>
        <c:ser>
          <c:idx val="182"/>
          <c:order val="182"/>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E4-FEAE-489F-B42A-5514DDA4B83E}"/>
            </c:ext>
          </c:extLst>
        </c:ser>
        <c:ser>
          <c:idx val="183"/>
          <c:order val="183"/>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E6-FEAE-489F-B42A-5514DDA4B83E}"/>
            </c:ext>
          </c:extLst>
        </c:ser>
        <c:ser>
          <c:idx val="184"/>
          <c:order val="184"/>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E8-FEAE-489F-B42A-5514DDA4B83E}"/>
            </c:ext>
          </c:extLst>
        </c:ser>
        <c:ser>
          <c:idx val="185"/>
          <c:order val="185"/>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EA-FEAE-489F-B42A-5514DDA4B83E}"/>
            </c:ext>
          </c:extLst>
        </c:ser>
        <c:ser>
          <c:idx val="186"/>
          <c:order val="186"/>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EC-FEAE-489F-B42A-5514DDA4B83E}"/>
            </c:ext>
          </c:extLst>
        </c:ser>
        <c:ser>
          <c:idx val="187"/>
          <c:order val="187"/>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EE-FEAE-489F-B42A-5514DDA4B83E}"/>
            </c:ext>
          </c:extLst>
        </c:ser>
        <c:ser>
          <c:idx val="188"/>
          <c:order val="188"/>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F0-FEAE-489F-B42A-5514DDA4B83E}"/>
            </c:ext>
          </c:extLst>
        </c:ser>
        <c:ser>
          <c:idx val="189"/>
          <c:order val="189"/>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F2-FEAE-489F-B42A-5514DDA4B83E}"/>
            </c:ext>
          </c:extLst>
        </c:ser>
        <c:ser>
          <c:idx val="190"/>
          <c:order val="190"/>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F4-FEAE-489F-B42A-5514DDA4B83E}"/>
            </c:ext>
          </c:extLst>
        </c:ser>
        <c:ser>
          <c:idx val="191"/>
          <c:order val="191"/>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F6-FEAE-489F-B42A-5514DDA4B83E}"/>
            </c:ext>
          </c:extLst>
        </c:ser>
        <c:ser>
          <c:idx val="192"/>
          <c:order val="192"/>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F8-FEAE-489F-B42A-5514DDA4B83E}"/>
            </c:ext>
          </c:extLst>
        </c:ser>
        <c:ser>
          <c:idx val="193"/>
          <c:order val="193"/>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FA-FEAE-489F-B42A-5514DDA4B83E}"/>
            </c:ext>
          </c:extLst>
        </c:ser>
        <c:ser>
          <c:idx val="194"/>
          <c:order val="194"/>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FC-FEAE-489F-B42A-5514DDA4B83E}"/>
            </c:ext>
          </c:extLst>
        </c:ser>
        <c:ser>
          <c:idx val="195"/>
          <c:order val="195"/>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FE-FEAE-489F-B42A-5514DDA4B83E}"/>
            </c:ext>
          </c:extLst>
        </c:ser>
        <c:ser>
          <c:idx val="196"/>
          <c:order val="196"/>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100-FEAE-489F-B42A-5514DDA4B83E}"/>
            </c:ext>
          </c:extLst>
        </c:ser>
        <c:ser>
          <c:idx val="197"/>
          <c:order val="197"/>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102-FEAE-489F-B42A-5514DDA4B83E}"/>
            </c:ext>
          </c:extLst>
        </c:ser>
        <c:ser>
          <c:idx val="198"/>
          <c:order val="198"/>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104-FEAE-489F-B42A-5514DDA4B83E}"/>
            </c:ext>
          </c:extLst>
        </c:ser>
        <c:ser>
          <c:idx val="199"/>
          <c:order val="199"/>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106-FEAE-489F-B42A-5514DDA4B83E}"/>
            </c:ext>
          </c:extLst>
        </c:ser>
        <c:ser>
          <c:idx val="200"/>
          <c:order val="200"/>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108-FEAE-489F-B42A-5514DDA4B83E}"/>
            </c:ext>
          </c:extLst>
        </c:ser>
        <c:ser>
          <c:idx val="201"/>
          <c:order val="201"/>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10A-FEAE-489F-B42A-5514DDA4B83E}"/>
            </c:ext>
          </c:extLst>
        </c:ser>
        <c:ser>
          <c:idx val="202"/>
          <c:order val="202"/>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10C-FEAE-489F-B42A-5514DDA4B83E}"/>
            </c:ext>
          </c:extLst>
        </c:ser>
        <c:ser>
          <c:idx val="203"/>
          <c:order val="203"/>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10E-FEAE-489F-B42A-5514DDA4B83E}"/>
            </c:ext>
          </c:extLst>
        </c:ser>
        <c:ser>
          <c:idx val="204"/>
          <c:order val="204"/>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110-FEAE-489F-B42A-5514DDA4B83E}"/>
            </c:ext>
          </c:extLst>
        </c:ser>
        <c:ser>
          <c:idx val="205"/>
          <c:order val="205"/>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112-FEAE-489F-B42A-5514DDA4B83E}"/>
            </c:ext>
          </c:extLst>
        </c:ser>
        <c:ser>
          <c:idx val="206"/>
          <c:order val="206"/>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114-FEAE-489F-B42A-5514DDA4B83E}"/>
            </c:ext>
          </c:extLst>
        </c:ser>
        <c:ser>
          <c:idx val="207"/>
          <c:order val="207"/>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116-FEAE-489F-B42A-5514DDA4B83E}"/>
            </c:ext>
          </c:extLst>
        </c:ser>
        <c:ser>
          <c:idx val="208"/>
          <c:order val="208"/>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7-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118-FEAE-489F-B42A-5514DDA4B83E}"/>
            </c:ext>
          </c:extLst>
        </c:ser>
        <c:ser>
          <c:idx val="209"/>
          <c:order val="209"/>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11A-FEAE-489F-B42A-5514DDA4B83E}"/>
            </c:ext>
          </c:extLst>
        </c:ser>
        <c:ser>
          <c:idx val="210"/>
          <c:order val="210"/>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B-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11C-FEAE-489F-B42A-5514DDA4B83E}"/>
            </c:ext>
          </c:extLst>
        </c:ser>
        <c:ser>
          <c:idx val="211"/>
          <c:order val="211"/>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D-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11E-FEAE-489F-B42A-5514DDA4B83E}"/>
            </c:ext>
          </c:extLst>
        </c:ser>
        <c:ser>
          <c:idx val="212"/>
          <c:order val="212"/>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F-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120-FEAE-489F-B42A-5514DDA4B83E}"/>
            </c:ext>
          </c:extLst>
        </c:ser>
        <c:ser>
          <c:idx val="213"/>
          <c:order val="213"/>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1-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122-FEAE-489F-B42A-5514DDA4B83E}"/>
            </c:ext>
          </c:extLst>
        </c:ser>
        <c:ser>
          <c:idx val="214"/>
          <c:order val="214"/>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3-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124-FEAE-489F-B42A-5514DDA4B83E}"/>
            </c:ext>
          </c:extLst>
        </c:ser>
        <c:ser>
          <c:idx val="215"/>
          <c:order val="215"/>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5-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126-FEAE-489F-B42A-5514DDA4B83E}"/>
            </c:ext>
          </c:extLst>
        </c:ser>
        <c:ser>
          <c:idx val="216"/>
          <c:order val="216"/>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127-FEAE-489F-B42A-5514DDA4B83E}"/>
            </c:ext>
          </c:extLst>
        </c:ser>
        <c:ser>
          <c:idx val="217"/>
          <c:order val="217"/>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128-FEAE-489F-B42A-5514DDA4B83E}"/>
            </c:ext>
          </c:extLst>
        </c:ser>
        <c:ser>
          <c:idx val="218"/>
          <c:order val="218"/>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9-FEAE-489F-B42A-5514DDA4B83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12A-FEAE-489F-B42A-5514DDA4B83E}"/>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B9D-479D-BF05-E08094A5F8C4}"/>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2B9D-479D-BF05-E08094A5F8C4}"/>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2B9D-479D-BF05-E08094A5F8C4}"/>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2B9D-479D-BF05-E08094A5F8C4}"/>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2B9D-479D-BF05-E08094A5F8C4}"/>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2B9D-479D-BF05-E08094A5F8C4}"/>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2B9D-479D-BF05-E08094A5F8C4}"/>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2B9D-479D-BF05-E08094A5F8C4}"/>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2B9D-479D-BF05-E08094A5F8C4}"/>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2B9D-479D-BF05-E08094A5F8C4}"/>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2B9D-479D-BF05-E08094A5F8C4}"/>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2B9D-479D-BF05-E08094A5F8C4}"/>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2B9D-479D-BF05-E08094A5F8C4}"/>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2B9D-479D-BF05-E08094A5F8C4}"/>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2B9D-479D-BF05-E08094A5F8C4}"/>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2B9D-479D-BF05-E08094A5F8C4}"/>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2B9D-479D-BF05-E08094A5F8C4}"/>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2B9D-479D-BF05-E08094A5F8C4}"/>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2B9D-479D-BF05-E08094A5F8C4}"/>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2B9D-479D-BF05-E08094A5F8C4}"/>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2B9D-479D-BF05-E08094A5F8C4}"/>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2B9D-479D-BF05-E08094A5F8C4}"/>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2B9D-479D-BF05-E08094A5F8C4}"/>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2B9D-479D-BF05-E08094A5F8C4}"/>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2B9D-479D-BF05-E08094A5F8C4}"/>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2B9D-479D-BF05-E08094A5F8C4}"/>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2B9D-479D-BF05-E08094A5F8C4}"/>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2B9D-479D-BF05-E08094A5F8C4}"/>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2B9D-479D-BF05-E08094A5F8C4}"/>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2B9D-479D-BF05-E08094A5F8C4}"/>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2B9D-479D-BF05-E08094A5F8C4}"/>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2B9D-479D-BF05-E08094A5F8C4}"/>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2B9D-479D-BF05-E08094A5F8C4}"/>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2B9D-479D-BF05-E08094A5F8C4}"/>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2B9D-479D-BF05-E08094A5F8C4}"/>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2B9D-479D-BF05-E08094A5F8C4}"/>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2B9D-479D-BF05-E08094A5F8C4}"/>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2B9D-479D-BF05-E08094A5F8C4}"/>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2B9D-479D-BF05-E08094A5F8C4}"/>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2B9D-479D-BF05-E08094A5F8C4}"/>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2B9D-479D-BF05-E08094A5F8C4}"/>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2B9D-479D-BF05-E08094A5F8C4}"/>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2B9D-479D-BF05-E08094A5F8C4}"/>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2B9D-479D-BF05-E08094A5F8C4}"/>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2B9D-479D-BF05-E08094A5F8C4}"/>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2B9D-479D-BF05-E08094A5F8C4}"/>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2B9D-479D-BF05-E08094A5F8C4}"/>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2B9D-479D-BF05-E08094A5F8C4}"/>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2B9D-479D-BF05-E08094A5F8C4}"/>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2B9D-479D-BF05-E08094A5F8C4}"/>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2B9D-479D-BF05-E08094A5F8C4}"/>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2B9D-479D-BF05-E08094A5F8C4}"/>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2B9D-479D-BF05-E08094A5F8C4}"/>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2B9D-479D-BF05-E08094A5F8C4}"/>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2B9D-479D-BF05-E08094A5F8C4}"/>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2B9D-479D-BF05-E08094A5F8C4}"/>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2B9D-479D-BF05-E08094A5F8C4}"/>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2B9D-479D-BF05-E08094A5F8C4}"/>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2B9D-479D-BF05-E08094A5F8C4}"/>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2B9D-479D-BF05-E08094A5F8C4}"/>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2B9D-479D-BF05-E08094A5F8C4}"/>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2B9D-479D-BF05-E08094A5F8C4}"/>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2B9D-479D-BF05-E08094A5F8C4}"/>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2B9D-479D-BF05-E08094A5F8C4}"/>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2B9D-479D-BF05-E08094A5F8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2B9D-479D-BF05-E08094A5F8C4}"/>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2B9D-479D-BF05-E08094A5F8C4}"/>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2B9D-479D-BF05-E08094A5F8C4}"/>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2B9D-479D-BF05-E08094A5F8C4}"/>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2B9D-479D-BF05-E08094A5F8C4}"/>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2B9D-479D-BF05-E08094A5F8C4}"/>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2B9D-479D-BF05-E08094A5F8C4}"/>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2B9D-479D-BF05-E08094A5F8C4}"/>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2B9D-479D-BF05-E08094A5F8C4}"/>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2B9D-479D-BF05-E08094A5F8C4}"/>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2B9D-479D-BF05-E08094A5F8C4}"/>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2B9D-479D-BF05-E08094A5F8C4}"/>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2B9D-479D-BF05-E08094A5F8C4}"/>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2B9D-479D-BF05-E08094A5F8C4}"/>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2B9D-479D-BF05-E08094A5F8C4}"/>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2B9D-479D-BF05-E08094A5F8C4}"/>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2B9D-479D-BF05-E08094A5F8C4}"/>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2B9D-479D-BF05-E08094A5F8C4}"/>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2B9D-479D-BF05-E08094A5F8C4}"/>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2B9D-479D-BF05-E08094A5F8C4}"/>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2B9D-479D-BF05-E08094A5F8C4}"/>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2B9D-479D-BF05-E08094A5F8C4}"/>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2B9D-479D-BF05-E08094A5F8C4}"/>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2B9D-479D-BF05-E08094A5F8C4}"/>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2B9D-479D-BF05-E08094A5F8C4}"/>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2B9D-479D-BF05-E08094A5F8C4}"/>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2B9D-479D-BF05-E08094A5F8C4}"/>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2B9D-479D-BF05-E08094A5F8C4}"/>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2B9D-479D-BF05-E08094A5F8C4}"/>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2B9D-479D-BF05-E08094A5F8C4}"/>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2B9D-479D-BF05-E08094A5F8C4}"/>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2B9D-479D-BF05-E08094A5F8C4}"/>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2B9D-479D-BF05-E08094A5F8C4}"/>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2B9D-479D-BF05-E08094A5F8C4}"/>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2B9D-479D-BF05-E08094A5F8C4}"/>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2B9D-479D-BF05-E08094A5F8C4}"/>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2B9D-479D-BF05-E08094A5F8C4}"/>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2B9D-479D-BF05-E08094A5F8C4}"/>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2B9D-479D-BF05-E08094A5F8C4}"/>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2B9D-479D-BF05-E08094A5F8C4}"/>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2B9D-479D-BF05-E08094A5F8C4}"/>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2B9D-479D-BF05-E08094A5F8C4}"/>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2B9D-479D-BF05-E08094A5F8C4}"/>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2B9D-479D-BF05-E08094A5F8C4}"/>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2B9D-479D-BF05-E08094A5F8C4}"/>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2B9D-479D-BF05-E08094A5F8C4}"/>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2B9D-479D-BF05-E08094A5F8C4}"/>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2B9D-479D-BF05-E08094A5F8C4}"/>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2B9D-479D-BF05-E08094A5F8C4}"/>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2B9D-479D-BF05-E08094A5F8C4}"/>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2B9D-479D-BF05-E08094A5F8C4}"/>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2B9D-479D-BF05-E08094A5F8C4}"/>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2B9D-479D-BF05-E08094A5F8C4}"/>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2B9D-479D-BF05-E08094A5F8C4}"/>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2B9D-479D-BF05-E08094A5F8C4}"/>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2B9D-479D-BF05-E08094A5F8C4}"/>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2B9D-479D-BF05-E08094A5F8C4}"/>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2B9D-479D-BF05-E08094A5F8C4}"/>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2B9D-479D-BF05-E08094A5F8C4}"/>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DB4C-4AE6-8210-A5A6B7405FA3}"/>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DB4C-4AE6-8210-A5A6B7405FA3}"/>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DB4C-4AE6-8210-A5A6B7405FA3}"/>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DB4C-4AE6-8210-A5A6B7405FA3}"/>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DB4C-4AE6-8210-A5A6B7405FA3}"/>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DB4C-4AE6-8210-A5A6B7405FA3}"/>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DB4C-4AE6-8210-A5A6B7405FA3}"/>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DB4C-4AE6-8210-A5A6B7405FA3}"/>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DB4C-4AE6-8210-A5A6B7405FA3}"/>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DB4C-4AE6-8210-A5A6B7405FA3}"/>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DB4C-4AE6-8210-A5A6B7405FA3}"/>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DB4C-4AE6-8210-A5A6B7405FA3}"/>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DB4C-4AE6-8210-A5A6B7405FA3}"/>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DB4C-4AE6-8210-A5A6B7405FA3}"/>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DB4C-4AE6-8210-A5A6B7405FA3}"/>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DB4C-4AE6-8210-A5A6B7405FA3}"/>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DB4C-4AE6-8210-A5A6B7405FA3}"/>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DB4C-4AE6-8210-A5A6B7405FA3}"/>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DB4C-4AE6-8210-A5A6B7405FA3}"/>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DB4C-4AE6-8210-A5A6B7405FA3}"/>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DB4C-4AE6-8210-A5A6B7405FA3}"/>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DB4C-4AE6-8210-A5A6B7405FA3}"/>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DB4C-4AE6-8210-A5A6B7405FA3}"/>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DB4C-4AE6-8210-A5A6B7405FA3}"/>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DB4C-4AE6-8210-A5A6B7405FA3}"/>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DB4C-4AE6-8210-A5A6B7405FA3}"/>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DB4C-4AE6-8210-A5A6B7405FA3}"/>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DB4C-4AE6-8210-A5A6B7405FA3}"/>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DB4C-4AE6-8210-A5A6B7405FA3}"/>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DB4C-4AE6-8210-A5A6B7405FA3}"/>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DB4C-4AE6-8210-A5A6B7405FA3}"/>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DB4C-4AE6-8210-A5A6B7405FA3}"/>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DB4C-4AE6-8210-A5A6B7405FA3}"/>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DB4C-4AE6-8210-A5A6B7405FA3}"/>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DB4C-4AE6-8210-A5A6B7405FA3}"/>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DB4C-4AE6-8210-A5A6B7405FA3}"/>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DB4C-4AE6-8210-A5A6B7405FA3}"/>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DB4C-4AE6-8210-A5A6B7405FA3}"/>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DB4C-4AE6-8210-A5A6B7405FA3}"/>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DB4C-4AE6-8210-A5A6B7405FA3}"/>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DB4C-4AE6-8210-A5A6B7405FA3}"/>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DB4C-4AE6-8210-A5A6B7405FA3}"/>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DB4C-4AE6-8210-A5A6B7405FA3}"/>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DB4C-4AE6-8210-A5A6B7405FA3}"/>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DB4C-4AE6-8210-A5A6B7405FA3}"/>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DB4C-4AE6-8210-A5A6B7405FA3}"/>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DB4C-4AE6-8210-A5A6B7405FA3}"/>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DB4C-4AE6-8210-A5A6B7405FA3}"/>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DB4C-4AE6-8210-A5A6B7405FA3}"/>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DB4C-4AE6-8210-A5A6B7405FA3}"/>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DB4C-4AE6-8210-A5A6B7405FA3}"/>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DB4C-4AE6-8210-A5A6B7405FA3}"/>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DB4C-4AE6-8210-A5A6B7405FA3}"/>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DB4C-4AE6-8210-A5A6B7405FA3}"/>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DB4C-4AE6-8210-A5A6B7405FA3}"/>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DB4C-4AE6-8210-A5A6B7405FA3}"/>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DB4C-4AE6-8210-A5A6B7405FA3}"/>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DB4C-4AE6-8210-A5A6B7405FA3}"/>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DB4C-4AE6-8210-A5A6B7405FA3}"/>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DB4C-4AE6-8210-A5A6B7405FA3}"/>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DB4C-4AE6-8210-A5A6B7405FA3}"/>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DB4C-4AE6-8210-A5A6B7405FA3}"/>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DB4C-4AE6-8210-A5A6B7405FA3}"/>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DB4C-4AE6-8210-A5A6B7405FA3}"/>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DB4C-4AE6-8210-A5A6B7405FA3}"/>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DB4C-4AE6-8210-A5A6B7405FA3}"/>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DB4C-4AE6-8210-A5A6B7405FA3}"/>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DB4C-4AE6-8210-A5A6B7405FA3}"/>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DB4C-4AE6-8210-A5A6B7405FA3}"/>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DB4C-4AE6-8210-A5A6B7405FA3}"/>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DB4C-4AE6-8210-A5A6B7405FA3}"/>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DB4C-4AE6-8210-A5A6B7405FA3}"/>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DB4C-4AE6-8210-A5A6B7405FA3}"/>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DB4C-4AE6-8210-A5A6B7405FA3}"/>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DB4C-4AE6-8210-A5A6B7405FA3}"/>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DB4C-4AE6-8210-A5A6B7405FA3}"/>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DB4C-4AE6-8210-A5A6B7405FA3}"/>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DB4C-4AE6-8210-A5A6B7405FA3}"/>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DB4C-4AE6-8210-A5A6B7405FA3}"/>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DB4C-4AE6-8210-A5A6B7405FA3}"/>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DB4C-4AE6-8210-A5A6B7405FA3}"/>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DB4C-4AE6-8210-A5A6B7405FA3}"/>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DB4C-4AE6-8210-A5A6B7405FA3}"/>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DB4C-4AE6-8210-A5A6B7405FA3}"/>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DB4C-4AE6-8210-A5A6B7405FA3}"/>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DB4C-4AE6-8210-A5A6B7405FA3}"/>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DB4C-4AE6-8210-A5A6B7405FA3}"/>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DB4C-4AE6-8210-A5A6B7405FA3}"/>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DB4C-4AE6-8210-A5A6B7405FA3}"/>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DB4C-4AE6-8210-A5A6B7405FA3}"/>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DB4C-4AE6-8210-A5A6B7405FA3}"/>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DB4C-4AE6-8210-A5A6B7405FA3}"/>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DB4C-4AE6-8210-A5A6B7405FA3}"/>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DB4C-4AE6-8210-A5A6B7405FA3}"/>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DB4C-4AE6-8210-A5A6B7405FA3}"/>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DB4C-4AE6-8210-A5A6B7405FA3}"/>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DB4C-4AE6-8210-A5A6B7405FA3}"/>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DB4C-4AE6-8210-A5A6B7405FA3}"/>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DB4C-4AE6-8210-A5A6B7405FA3}"/>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DB4C-4AE6-8210-A5A6B7405FA3}"/>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DB4C-4AE6-8210-A5A6B7405FA3}"/>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DB4C-4AE6-8210-A5A6B7405FA3}"/>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DB4C-4AE6-8210-A5A6B7405FA3}"/>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DB4C-4AE6-8210-A5A6B7405FA3}"/>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DB4C-4AE6-8210-A5A6B7405FA3}"/>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DB4C-4AE6-8210-A5A6B7405FA3}"/>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DB4C-4AE6-8210-A5A6B7405FA3}"/>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DB4C-4AE6-8210-A5A6B7405FA3}"/>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DB4C-4AE6-8210-A5A6B7405FA3}"/>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DB4C-4AE6-8210-A5A6B7405FA3}"/>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DB4C-4AE6-8210-A5A6B7405FA3}"/>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DB4C-4AE6-8210-A5A6B7405FA3}"/>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DB4C-4AE6-8210-A5A6B7405FA3}"/>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DB4C-4AE6-8210-A5A6B7405FA3}"/>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DB4C-4AE6-8210-A5A6B7405FA3}"/>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DB4C-4AE6-8210-A5A6B7405FA3}"/>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DB4C-4AE6-8210-A5A6B7405FA3}"/>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DB4C-4AE6-8210-A5A6B7405FA3}"/>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DB4C-4AE6-8210-A5A6B7405FA3}"/>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DB4C-4AE6-8210-A5A6B7405FA3}"/>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DB4C-4AE6-8210-A5A6B7405FA3}"/>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DB4C-4AE6-8210-A5A6B7405FA3}"/>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DB4C-4AE6-8210-A5A6B7405FA3}"/>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DB4C-4AE6-8210-A5A6B7405FA3}"/>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DB4C-4AE6-8210-A5A6B7405FA3}"/>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DB4C-4AE6-8210-A5A6B7405FA3}"/>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DB4C-4AE6-8210-A5A6B7405FA3}"/>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DB4C-4AE6-8210-A5A6B7405FA3}"/>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DB4C-4AE6-8210-A5A6B7405FA3}"/>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DB4C-4AE6-8210-A5A6B7405FA3}"/>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DB4C-4AE6-8210-A5A6B7405FA3}"/>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DB4C-4AE6-8210-A5A6B7405FA3}"/>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DB4C-4AE6-8210-A5A6B7405FA3}"/>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DB4C-4AE6-8210-A5A6B7405FA3}"/>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DB4C-4AE6-8210-A5A6B7405FA3}"/>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DB4C-4AE6-8210-A5A6B7405FA3}"/>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DB4C-4AE6-8210-A5A6B7405FA3}"/>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DB4C-4AE6-8210-A5A6B7405FA3}"/>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DB4C-4AE6-8210-A5A6B7405FA3}"/>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DB4C-4AE6-8210-A5A6B7405FA3}"/>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DB4C-4AE6-8210-A5A6B7405FA3}"/>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DB4C-4AE6-8210-A5A6B7405FA3}"/>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DB4C-4AE6-8210-A5A6B7405FA3}"/>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DB4C-4AE6-8210-A5A6B7405FA3}"/>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DB4C-4AE6-8210-A5A6B7405FA3}"/>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DB4C-4AE6-8210-A5A6B7405FA3}"/>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DB4C-4AE6-8210-A5A6B7405FA3}"/>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DB4C-4AE6-8210-A5A6B7405FA3}"/>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DB4C-4AE6-8210-A5A6B7405FA3}"/>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007-43F7-A14B-B2249860B0D1}"/>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A007-43F7-A14B-B2249860B0D1}"/>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A007-43F7-A14B-B2249860B0D1}"/>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A007-43F7-A14B-B2249860B0D1}"/>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A007-43F7-A14B-B2249860B0D1}"/>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A007-43F7-A14B-B2249860B0D1}"/>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A007-43F7-A14B-B2249860B0D1}"/>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A007-43F7-A14B-B2249860B0D1}"/>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A007-43F7-A14B-B2249860B0D1}"/>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A007-43F7-A14B-B2249860B0D1}"/>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A007-43F7-A14B-B2249860B0D1}"/>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A007-43F7-A14B-B2249860B0D1}"/>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A007-43F7-A14B-B2249860B0D1}"/>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A007-43F7-A14B-B2249860B0D1}"/>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A007-43F7-A14B-B2249860B0D1}"/>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A007-43F7-A14B-B2249860B0D1}"/>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A007-43F7-A14B-B2249860B0D1}"/>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A007-43F7-A14B-B2249860B0D1}"/>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A007-43F7-A14B-B2249860B0D1}"/>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A007-43F7-A14B-B2249860B0D1}"/>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A007-43F7-A14B-B2249860B0D1}"/>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A007-43F7-A14B-B2249860B0D1}"/>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A007-43F7-A14B-B2249860B0D1}"/>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A007-43F7-A14B-B2249860B0D1}"/>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A007-43F7-A14B-B2249860B0D1}"/>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A007-43F7-A14B-B2249860B0D1}"/>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A007-43F7-A14B-B2249860B0D1}"/>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A007-43F7-A14B-B2249860B0D1}"/>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A007-43F7-A14B-B2249860B0D1}"/>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A007-43F7-A14B-B2249860B0D1}"/>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A007-43F7-A14B-B2249860B0D1}"/>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A007-43F7-A14B-B2249860B0D1}"/>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A007-43F7-A14B-B2249860B0D1}"/>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A007-43F7-A14B-B2249860B0D1}"/>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A007-43F7-A14B-B2249860B0D1}"/>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A007-43F7-A14B-B2249860B0D1}"/>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A007-43F7-A14B-B2249860B0D1}"/>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A007-43F7-A14B-B2249860B0D1}"/>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A007-43F7-A14B-B2249860B0D1}"/>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A007-43F7-A14B-B2249860B0D1}"/>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A007-43F7-A14B-B2249860B0D1}"/>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A007-43F7-A14B-B2249860B0D1}"/>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A007-43F7-A14B-B2249860B0D1}"/>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A007-43F7-A14B-B2249860B0D1}"/>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A007-43F7-A14B-B2249860B0D1}"/>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A007-43F7-A14B-B2249860B0D1}"/>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A007-43F7-A14B-B2249860B0D1}"/>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A007-43F7-A14B-B2249860B0D1}"/>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A007-43F7-A14B-B2249860B0D1}"/>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A007-43F7-A14B-B2249860B0D1}"/>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A007-43F7-A14B-B2249860B0D1}"/>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A007-43F7-A14B-B2249860B0D1}"/>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A007-43F7-A14B-B2249860B0D1}"/>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A007-43F7-A14B-B2249860B0D1}"/>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A007-43F7-A14B-B2249860B0D1}"/>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A007-43F7-A14B-B2249860B0D1}"/>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A007-43F7-A14B-B2249860B0D1}"/>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A007-43F7-A14B-B2249860B0D1}"/>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A007-43F7-A14B-B2249860B0D1}"/>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A007-43F7-A14B-B2249860B0D1}"/>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A007-43F7-A14B-B2249860B0D1}"/>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A007-43F7-A14B-B2249860B0D1}"/>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A007-43F7-A14B-B2249860B0D1}"/>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A007-43F7-A14B-B2249860B0D1}"/>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A007-43F7-A14B-B2249860B0D1}"/>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A007-43F7-A14B-B2249860B0D1}"/>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A007-43F7-A14B-B2249860B0D1}"/>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A007-43F7-A14B-B2249860B0D1}"/>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A007-43F7-A14B-B2249860B0D1}"/>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A007-43F7-A14B-B2249860B0D1}"/>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A007-43F7-A14B-B2249860B0D1}"/>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A007-43F7-A14B-B2249860B0D1}"/>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A007-43F7-A14B-B2249860B0D1}"/>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A007-43F7-A14B-B2249860B0D1}"/>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A007-43F7-A14B-B2249860B0D1}"/>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A007-43F7-A14B-B2249860B0D1}"/>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A007-43F7-A14B-B2249860B0D1}"/>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A007-43F7-A14B-B2249860B0D1}"/>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A007-43F7-A14B-B2249860B0D1}"/>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A007-43F7-A14B-B2249860B0D1}"/>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A007-43F7-A14B-B2249860B0D1}"/>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A007-43F7-A14B-B2249860B0D1}"/>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A007-43F7-A14B-B2249860B0D1}"/>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A007-43F7-A14B-B2249860B0D1}"/>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A007-43F7-A14B-B2249860B0D1}"/>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A007-43F7-A14B-B2249860B0D1}"/>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A007-43F7-A14B-B2249860B0D1}"/>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A007-43F7-A14B-B2249860B0D1}"/>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A007-43F7-A14B-B2249860B0D1}"/>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A007-43F7-A14B-B2249860B0D1}"/>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A007-43F7-A14B-B2249860B0D1}"/>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A007-43F7-A14B-B2249860B0D1}"/>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A007-43F7-A14B-B2249860B0D1}"/>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A007-43F7-A14B-B2249860B0D1}"/>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A007-43F7-A14B-B2249860B0D1}"/>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A007-43F7-A14B-B2249860B0D1}"/>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A007-43F7-A14B-B2249860B0D1}"/>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A007-43F7-A14B-B2249860B0D1}"/>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A007-43F7-A14B-B2249860B0D1}"/>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A007-43F7-A14B-B2249860B0D1}"/>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A007-43F7-A14B-B2249860B0D1}"/>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A007-43F7-A14B-B2249860B0D1}"/>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A007-43F7-A14B-B2249860B0D1}"/>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A007-43F7-A14B-B2249860B0D1}"/>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A007-43F7-A14B-B2249860B0D1}"/>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A007-43F7-A14B-B2249860B0D1}"/>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A007-43F7-A14B-B2249860B0D1}"/>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A007-43F7-A14B-B2249860B0D1}"/>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A007-43F7-A14B-B2249860B0D1}"/>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A007-43F7-A14B-B2249860B0D1}"/>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A007-43F7-A14B-B2249860B0D1}"/>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A007-43F7-A14B-B2249860B0D1}"/>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A007-43F7-A14B-B2249860B0D1}"/>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A007-43F7-A14B-B2249860B0D1}"/>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A007-43F7-A14B-B2249860B0D1}"/>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A007-43F7-A14B-B2249860B0D1}"/>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A007-43F7-A14B-B2249860B0D1}"/>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A007-43F7-A14B-B2249860B0D1}"/>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A007-43F7-A14B-B2249860B0D1}"/>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A007-43F7-A14B-B2249860B0D1}"/>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A007-43F7-A14B-B2249860B0D1}"/>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A007-43F7-A14B-B2249860B0D1}"/>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A007-43F7-A14B-B2249860B0D1}"/>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A007-43F7-A14B-B2249860B0D1}"/>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A007-43F7-A14B-B2249860B0D1}"/>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A007-43F7-A14B-B2249860B0D1}"/>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A007-43F7-A14B-B2249860B0D1}"/>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A007-43F7-A14B-B2249860B0D1}"/>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A007-43F7-A14B-B2249860B0D1}"/>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A007-43F7-A14B-B2249860B0D1}"/>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A007-43F7-A14B-B2249860B0D1}"/>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A007-43F7-A14B-B2249860B0D1}"/>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A007-43F7-A14B-B2249860B0D1}"/>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A007-43F7-A14B-B2249860B0D1}"/>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A007-43F7-A14B-B2249860B0D1}"/>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A007-43F7-A14B-B2249860B0D1}"/>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A007-43F7-A14B-B2249860B0D1}"/>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A007-43F7-A14B-B2249860B0D1}"/>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A007-43F7-A14B-B2249860B0D1}"/>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A007-43F7-A14B-B2249860B0D1}"/>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A007-43F7-A14B-B2249860B0D1}"/>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A007-43F7-A14B-B2249860B0D1}"/>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A007-43F7-A14B-B2249860B0D1}"/>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A007-43F7-A14B-B2249860B0D1}"/>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A007-43F7-A14B-B2249860B0D1}"/>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A007-43F7-A14B-B2249860B0D1}"/>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A007-43F7-A14B-B2249860B0D1}"/>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A007-43F7-A14B-B2249860B0D1}"/>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A007-43F7-A14B-B2249860B0D1}"/>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A007-43F7-A14B-B2249860B0D1}"/>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A007-43F7-A14B-B2249860B0D1}"/>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A007-43F7-A14B-B2249860B0D1}"/>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A007-43F7-A14B-B2249860B0D1}"/>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A007-43F7-A14B-B2249860B0D1}"/>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A007-43F7-A14B-B2249860B0D1}"/>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A007-43F7-A14B-B2249860B0D1}"/>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A007-43F7-A14B-B2249860B0D1}"/>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A007-43F7-A14B-B2249860B0D1}"/>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A007-43F7-A14B-B2249860B0D1}"/>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A007-43F7-A14B-B2249860B0D1}"/>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A007-43F7-A14B-B2249860B0D1}"/>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A007-43F7-A14B-B2249860B0D1}"/>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A007-43F7-A14B-B2249860B0D1}"/>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A007-43F7-A14B-B2249860B0D1}"/>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A007-43F7-A14B-B2249860B0D1}"/>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A007-43F7-A14B-B2249860B0D1}"/>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A007-43F7-A14B-B2249860B0D1}"/>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A007-43F7-A14B-B2249860B0D1}"/>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A007-43F7-A14B-B2249860B0D1}"/>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A007-43F7-A14B-B2249860B0D1}"/>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A007-43F7-A14B-B2249860B0D1}"/>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A007-43F7-A14B-B2249860B0D1}"/>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A007-43F7-A14B-B2249860B0D1}"/>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A007-43F7-A14B-B2249860B0D1}"/>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A007-43F7-A14B-B2249860B0D1}"/>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A007-43F7-A14B-B2249860B0D1}"/>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A007-43F7-A14B-B2249860B0D1}"/>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A007-43F7-A14B-B2249860B0D1}"/>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A007-43F7-A14B-B2249860B0D1}"/>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A007-43F7-A14B-B2249860B0D1}"/>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A007-43F7-A14B-B2249860B0D1}"/>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A007-43F7-A14B-B2249860B0D1}"/>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A007-43F7-A14B-B2249860B0D1}"/>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A007-43F7-A14B-B2249860B0D1}"/>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A007-43F7-A14B-B2249860B0D1}"/>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A007-43F7-A14B-B2249860B0D1}"/>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A007-43F7-A14B-B2249860B0D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A007-43F7-A14B-B2249860B0D1}"/>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A007-43F7-A14B-B2249860B0D1}"/>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A007-43F7-A14B-B2249860B0D1}"/>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A007-43F7-A14B-B2249860B0D1}"/>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FA6-4C41-AA81-1C34ED9DF56D}"/>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EFA6-4C41-AA81-1C34ED9DF56D}"/>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EFA6-4C41-AA81-1C34ED9DF56D}"/>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EFA6-4C41-AA81-1C34ED9DF56D}"/>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EFA6-4C41-AA81-1C34ED9DF56D}"/>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EFA6-4C41-AA81-1C34ED9DF56D}"/>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EFA6-4C41-AA81-1C34ED9DF56D}"/>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EFA6-4C41-AA81-1C34ED9DF56D}"/>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EFA6-4C41-AA81-1C34ED9DF56D}"/>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EFA6-4C41-AA81-1C34ED9DF56D}"/>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EFA6-4C41-AA81-1C34ED9DF56D}"/>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EFA6-4C41-AA81-1C34ED9DF56D}"/>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EFA6-4C41-AA81-1C34ED9DF56D}"/>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EFA6-4C41-AA81-1C34ED9DF56D}"/>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EFA6-4C41-AA81-1C34ED9DF56D}"/>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EFA6-4C41-AA81-1C34ED9DF56D}"/>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EFA6-4C41-AA81-1C34ED9DF56D}"/>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EFA6-4C41-AA81-1C34ED9DF56D}"/>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EFA6-4C41-AA81-1C34ED9DF56D}"/>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EFA6-4C41-AA81-1C34ED9DF56D}"/>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EFA6-4C41-AA81-1C34ED9DF56D}"/>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EFA6-4C41-AA81-1C34ED9DF56D}"/>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EFA6-4C41-AA81-1C34ED9DF56D}"/>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EFA6-4C41-AA81-1C34ED9DF56D}"/>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EFA6-4C41-AA81-1C34ED9DF56D}"/>
            </c:ext>
          </c:extLst>
        </c:ser>
        <c:ser>
          <c:idx val="25"/>
          <c:order val="25"/>
          <c:tx>
            <c:v>RH=50_3</c:v>
          </c:tx>
          <c:spPr>
            <a:ln w="3175">
              <a:solidFill>
                <a:srgbClr val="FF6600"/>
              </a:solidFill>
              <a:prstDash val="solid"/>
            </a:ln>
          </c:spPr>
          <c:marker>
            <c:symbol val="none"/>
          </c:marker>
          <c:xVal>
            <c:numLit>
              <c:formatCode>General</c:formatCode>
              <c:ptCount val="16"/>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46.460703436093496</c:v>
              </c:pt>
            </c:numLit>
          </c:xVal>
          <c:yVal>
            <c:numLit>
              <c:formatCode>General</c:formatCode>
              <c:ptCount val="16"/>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3.4000000000000002E-2</c:v>
              </c:pt>
            </c:numLit>
          </c:yVal>
          <c:smooth val="1"/>
          <c:extLst>
            <c:ext xmlns:c16="http://schemas.microsoft.com/office/drawing/2014/chart" uri="{C3380CC4-5D6E-409C-BE32-E72D297353CC}">
              <c16:uniqueId val="{00000024-EFA6-4C41-AA81-1C34ED9DF56D}"/>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EFA6-4C41-AA81-1C34ED9DF56D}"/>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EFA6-4C41-AA81-1C34ED9DF56D}"/>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EFA6-4C41-AA81-1C34ED9DF56D}"/>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EFA6-4C41-AA81-1C34ED9DF56D}"/>
            </c:ext>
          </c:extLst>
        </c:ser>
        <c:ser>
          <c:idx val="30"/>
          <c:order val="30"/>
          <c:tx>
            <c:v>RH=60_3</c:v>
          </c:tx>
          <c:spPr>
            <a:ln w="3175">
              <a:solidFill>
                <a:srgbClr val="0000FF"/>
              </a:solidFill>
              <a:prstDash val="solid"/>
            </a:ln>
          </c:spPr>
          <c:marker>
            <c:symbol val="none"/>
          </c:marker>
          <c:xVal>
            <c:numLit>
              <c:formatCode>General</c:formatCode>
              <c:ptCount val="15"/>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42.698224206857375</c:v>
              </c:pt>
            </c:numLit>
          </c:xVal>
          <c:yVal>
            <c:numLit>
              <c:formatCode>General</c:formatCode>
              <c:ptCount val="15"/>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3.4000000000000002E-2</c:v>
              </c:pt>
            </c:numLit>
          </c:yVal>
          <c:smooth val="1"/>
          <c:extLst>
            <c:ext xmlns:c16="http://schemas.microsoft.com/office/drawing/2014/chart" uri="{C3380CC4-5D6E-409C-BE32-E72D297353CC}">
              <c16:uniqueId val="{0000002B-EFA6-4C41-AA81-1C34ED9DF56D}"/>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EFA6-4C41-AA81-1C34ED9DF56D}"/>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EFA6-4C41-AA81-1C34ED9DF56D}"/>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EFA6-4C41-AA81-1C34ED9DF56D}"/>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EFA6-4C41-AA81-1C34ED9DF56D}"/>
            </c:ext>
          </c:extLst>
        </c:ser>
        <c:ser>
          <c:idx val="35"/>
          <c:order val="35"/>
          <c:tx>
            <c:v>RH=70_3</c:v>
          </c:tx>
          <c:spPr>
            <a:ln w="3175">
              <a:solidFill>
                <a:srgbClr val="0000FF"/>
              </a:solidFill>
              <a:prstDash val="solid"/>
            </a:ln>
          </c:spPr>
          <c:marker>
            <c:symbol val="none"/>
          </c:marker>
          <c:xVal>
            <c:numLit>
              <c:formatCode>General</c:formatCode>
              <c:ptCount val="14"/>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39.594578804453931</c:v>
              </c:pt>
            </c:numLit>
          </c:xVal>
          <c:yVal>
            <c:numLit>
              <c:formatCode>General</c:formatCode>
              <c:ptCount val="14"/>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3.4000000000000002E-2</c:v>
              </c:pt>
            </c:numLit>
          </c:yVal>
          <c:smooth val="1"/>
          <c:extLst>
            <c:ext xmlns:c16="http://schemas.microsoft.com/office/drawing/2014/chart" uri="{C3380CC4-5D6E-409C-BE32-E72D297353CC}">
              <c16:uniqueId val="{00000032-EFA6-4C41-AA81-1C34ED9DF56D}"/>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EFA6-4C41-AA81-1C34ED9DF56D}"/>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EFA6-4C41-AA81-1C34ED9DF56D}"/>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EFA6-4C41-AA81-1C34ED9DF56D}"/>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EFA6-4C41-AA81-1C34ED9DF56D}"/>
            </c:ext>
          </c:extLst>
        </c:ser>
        <c:ser>
          <c:idx val="40"/>
          <c:order val="40"/>
          <c:tx>
            <c:v>RH=80_3</c:v>
          </c:tx>
          <c:spPr>
            <a:ln w="3175">
              <a:solidFill>
                <a:srgbClr val="0000FF"/>
              </a:solidFill>
              <a:prstDash val="solid"/>
            </a:ln>
          </c:spPr>
          <c:marker>
            <c:symbol val="none"/>
          </c:marker>
          <c:xVal>
            <c:numLit>
              <c:formatCode>General</c:formatCode>
              <c:ptCount val="13"/>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36.958513469612221</c:v>
              </c:pt>
            </c:numLit>
          </c:xVal>
          <c:yVal>
            <c:numLit>
              <c:formatCode>General</c:formatCode>
              <c:ptCount val="13"/>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3.4000000000000002E-2</c:v>
              </c:pt>
            </c:numLit>
          </c:yVal>
          <c:smooth val="1"/>
          <c:extLst>
            <c:ext xmlns:c16="http://schemas.microsoft.com/office/drawing/2014/chart" uri="{C3380CC4-5D6E-409C-BE32-E72D297353CC}">
              <c16:uniqueId val="{00000039-EFA6-4C41-AA81-1C34ED9DF56D}"/>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EFA6-4C41-AA81-1C34ED9DF56D}"/>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EFA6-4C41-AA81-1C34ED9DF56D}"/>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EFA6-4C41-AA81-1C34ED9DF56D}"/>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EFA6-4C41-AA81-1C34ED9DF56D}"/>
            </c:ext>
          </c:extLst>
        </c:ser>
        <c:ser>
          <c:idx val="45"/>
          <c:order val="45"/>
          <c:tx>
            <c:v>RH=90_3</c:v>
          </c:tx>
          <c:spPr>
            <a:ln w="3175">
              <a:solidFill>
                <a:srgbClr val="0000FF"/>
              </a:solidFill>
              <a:prstDash val="solid"/>
            </a:ln>
          </c:spPr>
          <c:marker>
            <c:symbol val="none"/>
          </c:marker>
          <c:xVal>
            <c:numLit>
              <c:formatCode>General</c:formatCode>
              <c:ptCount val="12"/>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34.663014089963724</c:v>
              </c:pt>
            </c:numLit>
          </c:xVal>
          <c:yVal>
            <c:numLit>
              <c:formatCode>General</c:formatCode>
              <c:ptCount val="12"/>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3.4000000000000002E-2</c:v>
              </c:pt>
            </c:numLit>
          </c:yVal>
          <c:smooth val="1"/>
          <c:extLst>
            <c:ext xmlns:c16="http://schemas.microsoft.com/office/drawing/2014/chart" uri="{C3380CC4-5D6E-409C-BE32-E72D297353CC}">
              <c16:uniqueId val="{00000040-EFA6-4C41-AA81-1C34ED9DF56D}"/>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EFA6-4C41-AA81-1C34ED9DF56D}"/>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EFA6-4C41-AA81-1C34ED9DF56D}"/>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EFA6-4C41-AA81-1C34ED9DF56D}"/>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EFA6-4C41-AA81-1C34ED9DF56D}"/>
            </c:ext>
          </c:extLst>
        </c:ser>
        <c:ser>
          <c:idx val="50"/>
          <c:order val="50"/>
          <c:tx>
            <c:v>RH=100_3</c:v>
          </c:tx>
          <c:spPr>
            <a:ln w="3175">
              <a:solidFill>
                <a:srgbClr val="0000FF"/>
              </a:solidFill>
              <a:prstDash val="solid"/>
            </a:ln>
          </c:spPr>
          <c:marker>
            <c:symbol val="none"/>
          </c:marker>
          <c:xVal>
            <c:numLit>
              <c:formatCode>General</c:formatCode>
              <c:ptCount val="12"/>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32.643696673944994</c:v>
              </c:pt>
            </c:numLit>
          </c:xVal>
          <c:yVal>
            <c:numLit>
              <c:formatCode>General</c:formatCode>
              <c:ptCount val="12"/>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3.4000000000000002E-2</c:v>
              </c:pt>
            </c:numLit>
          </c:yVal>
          <c:smooth val="1"/>
          <c:extLst>
            <c:ext xmlns:c16="http://schemas.microsoft.com/office/drawing/2014/chart" uri="{C3380CC4-5D6E-409C-BE32-E72D297353CC}">
              <c16:uniqueId val="{00000047-EFA6-4C41-AA81-1C34ED9DF56D}"/>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EFA6-4C41-AA81-1C34ED9DF56D}"/>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EFA6-4C41-AA81-1C34ED9DF56D}"/>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EFA6-4C41-AA81-1C34ED9DF56D}"/>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EFA6-4C41-AA81-1C34ED9DF56D}"/>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EFA6-4C41-AA81-1C34ED9DF56D}"/>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EFA6-4C41-AA81-1C34ED9DF56D}"/>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EFA6-4C41-AA81-1C34ED9DF56D}"/>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EFA6-4C41-AA81-1C34ED9DF56D}"/>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EFA6-4C41-AA81-1C34ED9DF56D}"/>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EFA6-4C41-AA81-1C34ED9DF56D}"/>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EFA6-4C41-AA81-1C34ED9DF56D}"/>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EFA6-4C41-AA81-1C34ED9DF56D}"/>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EFA6-4C41-AA81-1C34ED9DF56D}"/>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EFA6-4C41-AA81-1C34ED9DF56D}"/>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EFA6-4C41-AA81-1C34ED9DF56D}"/>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EFA6-4C41-AA81-1C34ED9DF56D}"/>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EFA6-4C41-AA81-1C34ED9DF56D}"/>
            </c:ext>
          </c:extLst>
        </c:ser>
        <c:ser>
          <c:idx val="68"/>
          <c:order val="68"/>
          <c:tx>
            <c:v>RH=55_2</c:v>
          </c:tx>
          <c:spPr>
            <a:ln w="3175">
              <a:solidFill>
                <a:srgbClr val="0000FF"/>
              </a:solidFill>
              <a:prstDash val="solid"/>
            </a:ln>
          </c:spPr>
          <c:marker>
            <c:symbol val="none"/>
          </c:marker>
          <c:xVal>
            <c:numLit>
              <c:formatCode>General</c:formatCode>
              <c:ptCount val="15"/>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44.483774059522453</c:v>
              </c:pt>
            </c:numLit>
          </c:xVal>
          <c:yVal>
            <c:numLit>
              <c:formatCode>General</c:formatCode>
              <c:ptCount val="15"/>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3.4000000000000002E-2</c:v>
              </c:pt>
            </c:numLit>
          </c:yVal>
          <c:smooth val="1"/>
          <c:extLst>
            <c:ext xmlns:c16="http://schemas.microsoft.com/office/drawing/2014/chart" uri="{C3380CC4-5D6E-409C-BE32-E72D297353CC}">
              <c16:uniqueId val="{0000005F-EFA6-4C41-AA81-1C34ED9DF56D}"/>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EFA6-4C41-AA81-1C34ED9DF56D}"/>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EFA6-4C41-AA81-1C34ED9DF56D}"/>
            </c:ext>
          </c:extLst>
        </c:ser>
        <c:ser>
          <c:idx val="71"/>
          <c:order val="71"/>
          <c:tx>
            <c:v>RH=65_2</c:v>
          </c:tx>
          <c:spPr>
            <a:ln w="3175">
              <a:solidFill>
                <a:srgbClr val="0000FF"/>
              </a:solidFill>
              <a:prstDash val="solid"/>
            </a:ln>
          </c:spPr>
          <c:marker>
            <c:symbol val="none"/>
          </c:marker>
          <c:xVal>
            <c:numLit>
              <c:formatCode>General</c:formatCode>
              <c:ptCount val="14"/>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41.082522687554388</c:v>
              </c:pt>
            </c:numLit>
          </c:xVal>
          <c:yVal>
            <c:numLit>
              <c:formatCode>General</c:formatCode>
              <c:ptCount val="14"/>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3.4000000000000002E-2</c:v>
              </c:pt>
            </c:numLit>
          </c:yVal>
          <c:smooth val="1"/>
          <c:extLst>
            <c:ext xmlns:c16="http://schemas.microsoft.com/office/drawing/2014/chart" uri="{C3380CC4-5D6E-409C-BE32-E72D297353CC}">
              <c16:uniqueId val="{00000063-EFA6-4C41-AA81-1C34ED9DF56D}"/>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EFA6-4C41-AA81-1C34ED9DF56D}"/>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EFA6-4C41-AA81-1C34ED9DF56D}"/>
            </c:ext>
          </c:extLst>
        </c:ser>
        <c:ser>
          <c:idx val="74"/>
          <c:order val="74"/>
          <c:tx>
            <c:v>RH=75_2</c:v>
          </c:tx>
          <c:spPr>
            <a:ln w="3175">
              <a:solidFill>
                <a:srgbClr val="0000FF"/>
              </a:solidFill>
              <a:prstDash val="solid"/>
            </a:ln>
          </c:spPr>
          <c:marker>
            <c:symbol val="none"/>
          </c:marker>
          <c:xVal>
            <c:numLit>
              <c:formatCode>General</c:formatCode>
              <c:ptCount val="13"/>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38.22352920257061</c:v>
              </c:pt>
            </c:numLit>
          </c:xVal>
          <c:yVal>
            <c:numLit>
              <c:formatCode>General</c:formatCode>
              <c:ptCount val="13"/>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3.4000000000000002E-2</c:v>
              </c:pt>
            </c:numLit>
          </c:yVal>
          <c:smooth val="1"/>
          <c:extLst>
            <c:ext xmlns:c16="http://schemas.microsoft.com/office/drawing/2014/chart" uri="{C3380CC4-5D6E-409C-BE32-E72D297353CC}">
              <c16:uniqueId val="{00000067-EFA6-4C41-AA81-1C34ED9DF56D}"/>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EFA6-4C41-AA81-1C34ED9DF56D}"/>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EFA6-4C41-AA81-1C34ED9DF56D}"/>
            </c:ext>
          </c:extLst>
        </c:ser>
        <c:ser>
          <c:idx val="77"/>
          <c:order val="77"/>
          <c:tx>
            <c:v>RH=85_2</c:v>
          </c:tx>
          <c:spPr>
            <a:ln w="3175">
              <a:solidFill>
                <a:srgbClr val="0000FF"/>
              </a:solidFill>
              <a:prstDash val="solid"/>
            </a:ln>
          </c:spPr>
          <c:marker>
            <c:symbol val="none"/>
          </c:marker>
          <c:xVal>
            <c:numLit>
              <c:formatCode>General</c:formatCode>
              <c:ptCount val="13"/>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35.768432905416319</c:v>
              </c:pt>
            </c:numLit>
          </c:xVal>
          <c:yVal>
            <c:numLit>
              <c:formatCode>General</c:formatCode>
              <c:ptCount val="13"/>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3.4000000000000002E-2</c:v>
              </c:pt>
            </c:numLit>
          </c:yVal>
          <c:smooth val="1"/>
          <c:extLst>
            <c:ext xmlns:c16="http://schemas.microsoft.com/office/drawing/2014/chart" uri="{C3380CC4-5D6E-409C-BE32-E72D297353CC}">
              <c16:uniqueId val="{0000006B-EFA6-4C41-AA81-1C34ED9DF56D}"/>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EFA6-4C41-AA81-1C34ED9DF56D}"/>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EFA6-4C41-AA81-1C34ED9DF56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EFA6-4C41-AA81-1C34ED9DF56D}"/>
            </c:ext>
          </c:extLst>
        </c:ser>
        <c:ser>
          <c:idx val="80"/>
          <c:order val="80"/>
          <c:tx>
            <c:v>RH=95_2</c:v>
          </c:tx>
          <c:spPr>
            <a:ln w="3175">
              <a:solidFill>
                <a:srgbClr val="0000FF"/>
              </a:solidFill>
              <a:prstDash val="solid"/>
            </a:ln>
          </c:spPr>
          <c:marker>
            <c:symbol val="none"/>
          </c:marker>
          <c:xVal>
            <c:numLit>
              <c:formatCode>General</c:formatCode>
              <c:ptCount val="12"/>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33.621562011400414</c:v>
              </c:pt>
            </c:numLit>
          </c:xVal>
          <c:yVal>
            <c:numLit>
              <c:formatCode>General</c:formatCode>
              <c:ptCount val="12"/>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3.4000000000000002E-2</c:v>
              </c:pt>
            </c:numLit>
          </c:yVal>
          <c:smooth val="1"/>
          <c:extLst>
            <c:ext xmlns:c16="http://schemas.microsoft.com/office/drawing/2014/chart" uri="{C3380CC4-5D6E-409C-BE32-E72D297353CC}">
              <c16:uniqueId val="{0000006F-EFA6-4C41-AA81-1C34ED9DF56D}"/>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3AB7-4C8A-9447-8EB431F07D18}"/>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3AB7-4C8A-9447-8EB431F07D18}"/>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3AB7-4C8A-9447-8EB431F07D18}"/>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3AB7-4C8A-9447-8EB431F07D18}"/>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3AB7-4C8A-9447-8EB431F07D18}"/>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3AB7-4C8A-9447-8EB431F07D18}"/>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3AB7-4C8A-9447-8EB431F07D18}"/>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3AB7-4C8A-9447-8EB431F07D18}"/>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3AB7-4C8A-9447-8EB431F07D18}"/>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3AB7-4C8A-9447-8EB431F07D18}"/>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3AB7-4C8A-9447-8EB431F07D18}"/>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3AB7-4C8A-9447-8EB431F07D18}"/>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3AB7-4C8A-9447-8EB431F07D18}"/>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3AB7-4C8A-9447-8EB431F07D18}"/>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3AB7-4C8A-9447-8EB431F07D18}"/>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3AB7-4C8A-9447-8EB431F07D18}"/>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3AB7-4C8A-9447-8EB431F07D18}"/>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3AB7-4C8A-9447-8EB431F07D18}"/>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3AB7-4C8A-9447-8EB431F07D18}"/>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3AB7-4C8A-9447-8EB431F07D18}"/>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3AB7-4C8A-9447-8EB431F07D18}"/>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3AB7-4C8A-9447-8EB431F07D18}"/>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3AB7-4C8A-9447-8EB431F07D18}"/>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3AB7-4C8A-9447-8EB431F07D18}"/>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3AB7-4C8A-9447-8EB431F07D18}"/>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3AB7-4C8A-9447-8EB431F07D18}"/>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3AB7-4C8A-9447-8EB431F07D18}"/>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3AB7-4C8A-9447-8EB431F07D18}"/>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3AB7-4C8A-9447-8EB431F07D18}"/>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3AB7-4C8A-9447-8EB431F07D18}"/>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3AB7-4C8A-9447-8EB431F07D18}"/>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3AB7-4C8A-9447-8EB431F07D18}"/>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3AB7-4C8A-9447-8EB431F07D18}"/>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3AB7-4C8A-9447-8EB431F07D18}"/>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3AB7-4C8A-9447-8EB431F07D18}"/>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3AB7-4C8A-9447-8EB431F07D18}"/>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3AB7-4C8A-9447-8EB431F07D18}"/>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3AB7-4C8A-9447-8EB431F07D18}"/>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3AB7-4C8A-9447-8EB431F07D18}"/>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3AB7-4C8A-9447-8EB431F07D18}"/>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3AB7-4C8A-9447-8EB431F07D18}"/>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3AB7-4C8A-9447-8EB431F07D18}"/>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3AB7-4C8A-9447-8EB431F07D18}"/>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3AB7-4C8A-9447-8EB431F07D18}"/>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3AB7-4C8A-9447-8EB431F07D18}"/>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3AB7-4C8A-9447-8EB431F07D18}"/>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3AB7-4C8A-9447-8EB431F07D18}"/>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3AB7-4C8A-9447-8EB431F07D18}"/>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3AB7-4C8A-9447-8EB431F07D18}"/>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3AB7-4C8A-9447-8EB431F07D18}"/>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3AB7-4C8A-9447-8EB431F07D18}"/>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3AB7-4C8A-9447-8EB431F07D18}"/>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3AB7-4C8A-9447-8EB431F07D18}"/>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3AB7-4C8A-9447-8EB431F07D18}"/>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3AB7-4C8A-9447-8EB431F07D18}"/>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3AB7-4C8A-9447-8EB431F07D18}"/>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3AB7-4C8A-9447-8EB431F07D18}"/>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3AB7-4C8A-9447-8EB431F07D18}"/>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3AB7-4C8A-9447-8EB431F07D18}"/>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3AB7-4C8A-9447-8EB431F07D18}"/>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3AB7-4C8A-9447-8EB431F07D18}"/>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3AB7-4C8A-9447-8EB431F07D18}"/>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3AB7-4C8A-9447-8EB431F07D18}"/>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3AB7-4C8A-9447-8EB431F07D18}"/>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3AB7-4C8A-9447-8EB431F07D18}"/>
            </c:ext>
          </c:extLst>
        </c:ser>
        <c:ser>
          <c:idx val="65"/>
          <c:order val="65"/>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-10.87888259336189</c:v>
              </c:pt>
              <c:pt idx="1">
                <c:v>-12.628490335598311</c:v>
              </c:pt>
            </c:numLit>
          </c:xVal>
          <c:yVal>
            <c:numLit>
              <c:formatCode>General</c:formatCode>
              <c:ptCount val="2"/>
              <c:pt idx="0">
                <c:v>-2E-3</c:v>
              </c:pt>
              <c:pt idx="1">
                <c:v>1.2854115692238809E-3</c:v>
              </c:pt>
            </c:numLit>
          </c:yVal>
          <c:smooth val="0"/>
          <c:extLst>
            <c:ext xmlns:c16="http://schemas.microsoft.com/office/drawing/2014/chart" uri="{C3380CC4-5D6E-409C-BE32-E72D297353CC}">
              <c16:uniqueId val="{00000062-3AB7-4C8A-9447-8EB431F07D18}"/>
            </c:ext>
          </c:extLst>
        </c:ser>
        <c:ser>
          <c:idx val="66"/>
          <c:order val="66"/>
          <c:tx>
            <c:v>v=0.75</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-7.3456505041290487</c:v>
              </c:pt>
              <c:pt idx="1">
                <c:v>-9.3394034382111641</c:v>
              </c:pt>
            </c:numLit>
          </c:xVal>
          <c:yVal>
            <c:numLit>
              <c:formatCode>General</c:formatCode>
              <c:ptCount val="2"/>
              <c:pt idx="0">
                <c:v>-2E-3</c:v>
              </c:pt>
              <c:pt idx="1">
                <c:v>1.731881391763524E-3</c:v>
              </c:pt>
            </c:numLit>
          </c:yVal>
          <c:smooth val="0"/>
          <c:extLst>
            <c:ext xmlns:c16="http://schemas.microsoft.com/office/drawing/2014/chart" uri="{C3380CC4-5D6E-409C-BE32-E72D297353CC}">
              <c16:uniqueId val="{00000064-3AB7-4C8A-9447-8EB431F07D18}"/>
            </c:ext>
          </c:extLst>
        </c:ser>
        <c:ser>
          <c:idx val="67"/>
          <c:order val="67"/>
          <c:tx>
            <c:v>v=0.76</c:v>
          </c:tx>
          <c:spPr>
            <a:ln w="3175">
              <a:solidFill>
                <a:srgbClr val="008000"/>
              </a:solidFill>
              <a:prstDash val="sysDash"/>
            </a:ln>
          </c:spPr>
          <c:marker>
            <c:symbol val="none"/>
          </c:marker>
          <c:dLbls>
            <c:dLbl>
              <c:idx val="0"/>
              <c:layout>
                <c:manualLayout>
                  <c:x val="-2.0516595581802289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-3.8136879415229381</c:v>
              </c:pt>
              <c:pt idx="1">
                <c:v>-6.11811823965781</c:v>
              </c:pt>
            </c:numLit>
          </c:xVal>
          <c:yVal>
            <c:numLit>
              <c:formatCode>General</c:formatCode>
              <c:ptCount val="2"/>
              <c:pt idx="0">
                <c:v>-2E-3</c:v>
              </c:pt>
              <c:pt idx="1">
                <c:v>2.3047366197127134E-3</c:v>
              </c:pt>
            </c:numLit>
          </c:yVal>
          <c:smooth val="0"/>
          <c:extLst>
            <c:ext xmlns:c16="http://schemas.microsoft.com/office/drawing/2014/chart" uri="{C3380CC4-5D6E-409C-BE32-E72D297353CC}">
              <c16:uniqueId val="{00000066-3AB7-4C8A-9447-8EB431F07D18}"/>
            </c:ext>
          </c:extLst>
        </c:ser>
        <c:ser>
          <c:idx val="68"/>
          <c:order val="68"/>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-0.29183335256660781</c:v>
              </c:pt>
              <c:pt idx="1">
                <c:v>-2.9651936709573241</c:v>
              </c:pt>
            </c:numLit>
          </c:xVal>
          <c:yVal>
            <c:numLit>
              <c:formatCode>General</c:formatCode>
              <c:ptCount val="2"/>
              <c:pt idx="0">
                <c:v>-2E-3</c:v>
              </c:pt>
              <c:pt idx="1">
                <c:v>3.0312988865860667E-3</c:v>
              </c:pt>
            </c:numLit>
          </c:yVal>
          <c:smooth val="0"/>
          <c:extLst>
            <c:ext xmlns:c16="http://schemas.microsoft.com/office/drawing/2014/chart" uri="{C3380CC4-5D6E-409C-BE32-E72D297353CC}">
              <c16:uniqueId val="{00000068-3AB7-4C8A-9447-8EB431F07D18}"/>
            </c:ext>
          </c:extLst>
        </c:ser>
        <c:ser>
          <c:idx val="69"/>
          <c:order val="69"/>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3.2338045395703254</c:v>
              </c:pt>
              <c:pt idx="1">
                <c:v>0.10102325173063519</c:v>
              </c:pt>
            </c:numLit>
          </c:xVal>
          <c:yVal>
            <c:numLit>
              <c:formatCode>General</c:formatCode>
              <c:ptCount val="2"/>
              <c:pt idx="0">
                <c:v>-2E-3</c:v>
              </c:pt>
              <c:pt idx="1">
                <c:v>3.9191812932634108E-3</c:v>
              </c:pt>
            </c:numLit>
          </c:yVal>
          <c:smooth val="0"/>
          <c:extLst>
            <c:ext xmlns:c16="http://schemas.microsoft.com/office/drawing/2014/chart" uri="{C3380CC4-5D6E-409C-BE32-E72D297353CC}">
              <c16:uniqueId val="{0000006A-3AB7-4C8A-9447-8EB431F07D18}"/>
            </c:ext>
          </c:extLst>
        </c:ser>
        <c:ser>
          <c:idx val="70"/>
          <c:order val="70"/>
          <c:tx>
            <c:v>v=0.79</c:v>
          </c:tx>
          <c:spPr>
            <a:ln w="3175">
              <a:solidFill>
                <a:srgbClr val="008000"/>
              </a:solidFill>
              <a:prstDash val="sysDash"/>
            </a:ln>
          </c:spPr>
          <c:marker>
            <c:symbol val="none"/>
          </c:marker>
          <c:dLbls>
            <c:dLbl>
              <c:idx val="0"/>
              <c:layout>
                <c:manualLayout>
                  <c:x val="-2.0516595581802244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6.7669107615188357</c:v>
              </c:pt>
              <c:pt idx="1">
                <c:v>3.1100301717749042</c:v>
              </c:pt>
            </c:numLit>
          </c:xVal>
          <c:yVal>
            <c:numLit>
              <c:formatCode>General</c:formatCode>
              <c:ptCount val="2"/>
              <c:pt idx="0">
                <c:v>-2E-3</c:v>
              </c:pt>
              <c:pt idx="1">
                <c:v>4.8879916421329331E-3</c:v>
              </c:pt>
            </c:numLit>
          </c:yVal>
          <c:smooth val="0"/>
          <c:extLst>
            <c:ext xmlns:c16="http://schemas.microsoft.com/office/drawing/2014/chart" uri="{C3380CC4-5D6E-409C-BE32-E72D297353CC}">
              <c16:uniqueId val="{0000006C-3AB7-4C8A-9447-8EB431F07D18}"/>
            </c:ext>
          </c:extLst>
        </c:ser>
        <c:ser>
          <c:idx val="71"/>
          <c:order val="71"/>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10.291888512116756</c:v>
              </c:pt>
              <c:pt idx="1">
                <c:v>6.0448623724096775</c:v>
              </c:pt>
            </c:numLit>
          </c:xVal>
          <c:yVal>
            <c:numLit>
              <c:formatCode>General</c:formatCode>
              <c:ptCount val="2"/>
              <c:pt idx="0">
                <c:v>-2E-3</c:v>
              </c:pt>
              <c:pt idx="1">
                <c:v>6.0361546259299547E-3</c:v>
              </c:pt>
            </c:numLit>
          </c:yVal>
          <c:smooth val="0"/>
          <c:extLst>
            <c:ext xmlns:c16="http://schemas.microsoft.com/office/drawing/2014/chart" uri="{C3380CC4-5D6E-409C-BE32-E72D297353CC}">
              <c16:uniqueId val="{0000006E-3AB7-4C8A-9447-8EB431F07D18}"/>
            </c:ext>
          </c:extLst>
        </c:ser>
        <c:ser>
          <c:idx val="72"/>
          <c:order val="72"/>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13.823112940844542</c:v>
              </c:pt>
              <c:pt idx="1">
                <c:v>8.867451378580812</c:v>
              </c:pt>
            </c:numLit>
          </c:xVal>
          <c:yVal>
            <c:numLit>
              <c:formatCode>General</c:formatCode>
              <c:ptCount val="2"/>
              <c:pt idx="0">
                <c:v>-2E-3</c:v>
              </c:pt>
              <c:pt idx="1">
                <c:v>7.3645038493948276E-3</c:v>
              </c:pt>
            </c:numLit>
          </c:yVal>
          <c:smooth val="0"/>
          <c:extLst>
            <c:ext xmlns:c16="http://schemas.microsoft.com/office/drawing/2014/chart" uri="{C3380CC4-5D6E-409C-BE32-E72D297353CC}">
              <c16:uniqueId val="{00000070-3AB7-4C8A-9447-8EB431F07D18}"/>
            </c:ext>
          </c:extLst>
        </c:ser>
        <c:ser>
          <c:idx val="73"/>
          <c:order val="73"/>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17.353238150097972</c:v>
              </c:pt>
              <c:pt idx="1">
                <c:v>11.588895694540497</c:v>
              </c:pt>
            </c:numLit>
          </c:xVal>
          <c:yVal>
            <c:numLit>
              <c:formatCode>General</c:formatCode>
              <c:ptCount val="2"/>
              <c:pt idx="0">
                <c:v>-2E-3</c:v>
              </c:pt>
              <c:pt idx="1">
                <c:v>8.8894048219540917E-3</c:v>
              </c:pt>
            </c:numLit>
          </c:yVal>
          <c:smooth val="0"/>
          <c:extLst>
            <c:ext xmlns:c16="http://schemas.microsoft.com/office/drawing/2014/chart" uri="{C3380CC4-5D6E-409C-BE32-E72D297353CC}">
              <c16:uniqueId val="{00000072-3AB7-4C8A-9447-8EB431F07D18}"/>
            </c:ext>
          </c:extLst>
        </c:ser>
        <c:ser>
          <c:idx val="74"/>
          <c:order val="74"/>
          <c:tx>
            <c:v>v=0.83</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20.881374633710006</c:v>
              </c:pt>
              <c:pt idx="1">
                <c:v>14.210699001374479</c:v>
              </c:pt>
            </c:numLit>
          </c:xVal>
          <c:yVal>
            <c:numLit>
              <c:formatCode>General</c:formatCode>
              <c:ptCount val="2"/>
              <c:pt idx="0">
                <c:v>-2E-3</c:v>
              </c:pt>
              <c:pt idx="1">
                <c:v>1.0621523827731447E-2</c:v>
              </c:pt>
            </c:numLit>
          </c:yVal>
          <c:smooth val="0"/>
          <c:extLst>
            <c:ext xmlns:c16="http://schemas.microsoft.com/office/drawing/2014/chart" uri="{C3380CC4-5D6E-409C-BE32-E72D297353CC}">
              <c16:uniqueId val="{00000074-3AB7-4C8A-9447-8EB431F07D18}"/>
            </c:ext>
          </c:extLst>
        </c:ser>
        <c:ser>
          <c:idx val="75"/>
          <c:order val="75"/>
          <c:tx>
            <c:v>v=0.84</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24.407457429719113</c:v>
              </c:pt>
              <c:pt idx="1">
                <c:v>16.734481591505482</c:v>
              </c:pt>
            </c:numLit>
          </c:xVal>
          <c:yVal>
            <c:numLit>
              <c:formatCode>General</c:formatCode>
              <c:ptCount val="2"/>
              <c:pt idx="0">
                <c:v>-2E-3</c:v>
              </c:pt>
              <c:pt idx="1">
                <c:v>1.2569358624897643E-2</c:v>
              </c:pt>
            </c:numLit>
          </c:yVal>
          <c:smooth val="0"/>
          <c:extLst>
            <c:ext xmlns:c16="http://schemas.microsoft.com/office/drawing/2014/chart" uri="{C3380CC4-5D6E-409C-BE32-E72D297353CC}">
              <c16:uniqueId val="{00000076-3AB7-4C8A-9447-8EB431F07D18}"/>
            </c:ext>
          </c:extLst>
        </c:ser>
        <c:ser>
          <c:idx val="76"/>
          <c:order val="76"/>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27.937787614952313</c:v>
              </c:pt>
              <c:pt idx="1">
                <c:v>19.132672029144601</c:v>
              </c:pt>
            </c:numLit>
          </c:xVal>
          <c:yVal>
            <c:numLit>
              <c:formatCode>General</c:formatCode>
              <c:ptCount val="2"/>
              <c:pt idx="0">
                <c:v>-2E-3</c:v>
              </c:pt>
              <c:pt idx="1">
                <c:v>1.4710821367264768E-2</c:v>
              </c:pt>
            </c:numLit>
          </c:yVal>
          <c:smooth val="0"/>
          <c:extLst>
            <c:ext xmlns:c16="http://schemas.microsoft.com/office/drawing/2014/chart" uri="{C3380CC4-5D6E-409C-BE32-E72D297353CC}">
              <c16:uniqueId val="{00000078-3AB7-4C8A-9447-8EB431F07D18}"/>
            </c:ext>
          </c:extLst>
        </c:ser>
        <c:ser>
          <c:idx val="77"/>
          <c:order val="77"/>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31.46571454621801</c:v>
              </c:pt>
              <c:pt idx="1">
                <c:v>21.436144171835288</c:v>
              </c:pt>
            </c:numLit>
          </c:xVal>
          <c:yVal>
            <c:numLit>
              <c:formatCode>General</c:formatCode>
              <c:ptCount val="2"/>
              <c:pt idx="0">
                <c:v>-2E-3</c:v>
              </c:pt>
              <c:pt idx="1">
                <c:v>1.7068755909972859E-2</c:v>
              </c:pt>
            </c:numLit>
          </c:yVal>
          <c:smooth val="0"/>
          <c:extLst>
            <c:ext xmlns:c16="http://schemas.microsoft.com/office/drawing/2014/chart" uri="{C3380CC4-5D6E-409C-BE32-E72D297353CC}">
              <c16:uniqueId val="{0000007A-3AB7-4C8A-9447-8EB431F07D18}"/>
            </c:ext>
          </c:extLst>
        </c:ser>
        <c:ser>
          <c:idx val="78"/>
          <c:order val="78"/>
          <c:tx>
            <c:v>v=0.87</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34.99537194946226</c:v>
              </c:pt>
              <c:pt idx="1">
                <c:v>23.626904888872556</c:v>
              </c:pt>
            </c:numLit>
          </c:xVal>
          <c:yVal>
            <c:numLit>
              <c:formatCode>General</c:formatCode>
              <c:ptCount val="2"/>
              <c:pt idx="0">
                <c:v>-2E-3</c:v>
              </c:pt>
              <c:pt idx="1">
                <c:v>1.9617501780725587E-2</c:v>
              </c:pt>
            </c:numLit>
          </c:yVal>
          <c:smooth val="0"/>
          <c:extLst>
            <c:ext xmlns:c16="http://schemas.microsoft.com/office/drawing/2014/chart" uri="{C3380CC4-5D6E-409C-BE32-E72D297353CC}">
              <c16:uniqueId val="{0000007C-3AB7-4C8A-9447-8EB431F07D18}"/>
            </c:ext>
          </c:extLst>
        </c:ser>
        <c:ser>
          <c:idx val="79"/>
          <c:order val="79"/>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38.523655082964233</c:v>
              </c:pt>
              <c:pt idx="1">
                <c:v>25.725862091077921</c:v>
              </c:pt>
            </c:numLit>
          </c:xVal>
          <c:yVal>
            <c:numLit>
              <c:formatCode>General</c:formatCode>
              <c:ptCount val="2"/>
              <c:pt idx="0">
                <c:v>-2E-3</c:v>
              </c:pt>
              <c:pt idx="1">
                <c:v>2.237082096787146E-2</c:v>
              </c:pt>
            </c:numLit>
          </c:yVal>
          <c:smooth val="0"/>
          <c:extLst>
            <c:ext xmlns:c16="http://schemas.microsoft.com/office/drawing/2014/chart" uri="{C3380CC4-5D6E-409C-BE32-E72D297353CC}">
              <c16:uniqueId val="{0000007E-3AB7-4C8A-9447-8EB431F07D18}"/>
            </c:ext>
          </c:extLst>
        </c:ser>
        <c:ser>
          <c:idx val="80"/>
          <c:order val="80"/>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42.052771246885719</c:v>
              </c:pt>
              <c:pt idx="1">
                <c:v>27.72444079909096</c:v>
              </c:pt>
            </c:numLit>
          </c:xVal>
          <c:yVal>
            <c:numLit>
              <c:formatCode>General</c:formatCode>
              <c:ptCount val="2"/>
              <c:pt idx="0">
                <c:v>-2E-3</c:v>
              </c:pt>
              <c:pt idx="1">
                <c:v>2.5303494525489405E-2</c:v>
              </c:pt>
            </c:numLit>
          </c:yVal>
          <c:smooth val="0"/>
          <c:extLst>
            <c:ext xmlns:c16="http://schemas.microsoft.com/office/drawing/2014/chart" uri="{C3380CC4-5D6E-409C-BE32-E72D297353CC}">
              <c16:uniqueId val="{00000080-3AB7-4C8A-9447-8EB431F07D18}"/>
            </c:ext>
          </c:extLst>
        </c:ser>
        <c:ser>
          <c:idx val="81"/>
          <c:order val="81"/>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45.581784881241198</c:v>
              </c:pt>
              <c:pt idx="1">
                <c:v>29.633465439205001</c:v>
              </c:pt>
            </c:numLit>
          </c:xVal>
          <c:yVal>
            <c:numLit>
              <c:formatCode>General</c:formatCode>
              <c:ptCount val="2"/>
              <c:pt idx="0">
                <c:v>-2E-3</c:v>
              </c:pt>
              <c:pt idx="1">
                <c:v>2.8413596959233227E-2</c:v>
              </c:pt>
            </c:numLit>
          </c:yVal>
          <c:smooth val="0"/>
          <c:extLst>
            <c:ext xmlns:c16="http://schemas.microsoft.com/office/drawing/2014/chart" uri="{C3380CC4-5D6E-409C-BE32-E72D297353CC}">
              <c16:uniqueId val="{00000082-3AB7-4C8A-9447-8EB431F07D18}"/>
            </c:ext>
          </c:extLst>
        </c:ser>
        <c:ser>
          <c:idx val="82"/>
          <c:order val="82"/>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84-3AB7-4C8A-9447-8EB431F07D18}"/>
            </c:ext>
          </c:extLst>
        </c:ser>
        <c:ser>
          <c:idx val="83"/>
          <c:order val="83"/>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3AB7-4C8A-9447-8EB431F07D1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49.110035958996015</c:v>
              </c:pt>
              <c:pt idx="1">
                <c:v>31.463670621458721</c:v>
              </c:pt>
            </c:numLit>
          </c:xVal>
          <c:yVal>
            <c:numLit>
              <c:formatCode>General</c:formatCode>
              <c:ptCount val="2"/>
              <c:pt idx="0">
                <c:v>-2E-3</c:v>
              </c:pt>
              <c:pt idx="1">
                <c:v>3.1701926236084019E-2</c:v>
              </c:pt>
            </c:numLit>
          </c:yVal>
          <c:smooth val="0"/>
          <c:extLst>
            <c:ext xmlns:c16="http://schemas.microsoft.com/office/drawing/2014/chart" uri="{C3380CC4-5D6E-409C-BE32-E72D297353CC}">
              <c16:uniqueId val="{00000086-3AB7-4C8A-9447-8EB431F07D18}"/>
            </c:ext>
          </c:extLst>
        </c:ser>
        <c:ser>
          <c:idx val="84"/>
          <c:order val="84"/>
          <c:tx>
            <c:v>v=0.92</c:v>
          </c:tx>
          <c:spPr>
            <a:ln w="3175">
              <a:solidFill>
                <a:srgbClr val="008000"/>
              </a:solidFill>
              <a:prstDash val="sysDash"/>
            </a:ln>
          </c:spPr>
          <c:marker>
            <c:symbol val="none"/>
          </c:marker>
          <c:xVal>
            <c:numLit>
              <c:formatCode>General</c:formatCode>
              <c:ptCount val="2"/>
              <c:pt idx="0">
                <c:v>50.000000000000007</c:v>
              </c:pt>
              <c:pt idx="1">
                <c:v>33.205667827698051</c:v>
              </c:pt>
            </c:numLit>
          </c:xVal>
          <c:yVal>
            <c:numLit>
              <c:formatCode>General</c:formatCode>
              <c:ptCount val="2"/>
              <c:pt idx="0">
                <c:v>3.0653695250419488E-3</c:v>
              </c:pt>
              <c:pt idx="1">
                <c:v>3.5131294800109104E-2</c:v>
              </c:pt>
            </c:numLit>
          </c:yVal>
          <c:smooth val="0"/>
          <c:extLst>
            <c:ext xmlns:c16="http://schemas.microsoft.com/office/drawing/2014/chart" uri="{C3380CC4-5D6E-409C-BE32-E72D297353CC}">
              <c16:uniqueId val="{00000087-3AB7-4C8A-9447-8EB431F07D18}"/>
            </c:ext>
          </c:extLst>
        </c:ser>
        <c:ser>
          <c:idx val="85"/>
          <c:order val="85"/>
          <c:tx>
            <c:v>v=0.93</c:v>
          </c:tx>
          <c:spPr>
            <a:ln w="3175">
              <a:solidFill>
                <a:srgbClr val="008000"/>
              </a:solidFill>
              <a:prstDash val="sysDash"/>
            </a:ln>
          </c:spPr>
          <c:marker>
            <c:symbol val="none"/>
          </c:marker>
          <c:xVal>
            <c:numLit>
              <c:formatCode>General</c:formatCode>
              <c:ptCount val="2"/>
              <c:pt idx="0">
                <c:v>50</c:v>
              </c:pt>
              <c:pt idx="1">
                <c:v>34.87984801720949</c:v>
              </c:pt>
            </c:numLit>
          </c:xVal>
          <c:yVal>
            <c:numLit>
              <c:formatCode>General</c:formatCode>
              <c:ptCount val="2"/>
              <c:pt idx="0">
                <c:v>9.8592094813579195E-3</c:v>
              </c:pt>
              <c:pt idx="1">
                <c:v>3.8720837608012822E-2</c:v>
              </c:pt>
            </c:numLit>
          </c:yVal>
          <c:smooth val="0"/>
          <c:extLst>
            <c:ext xmlns:c16="http://schemas.microsoft.com/office/drawing/2014/chart" uri="{C3380CC4-5D6E-409C-BE32-E72D297353CC}">
              <c16:uniqueId val="{00000088-3AB7-4C8A-9447-8EB431F07D18}"/>
            </c:ext>
          </c:extLst>
        </c:ser>
        <c:ser>
          <c:idx val="86"/>
          <c:order val="86"/>
          <c:tx>
            <c:v>v=0.94</c:v>
          </c:tx>
          <c:spPr>
            <a:ln w="3175">
              <a:solidFill>
                <a:srgbClr val="008000"/>
              </a:solidFill>
              <a:prstDash val="sysDash"/>
            </a:ln>
          </c:spPr>
          <c:marker>
            <c:symbol val="none"/>
          </c:marker>
          <c:xVal>
            <c:numLit>
              <c:formatCode>General</c:formatCode>
              <c:ptCount val="2"/>
              <c:pt idx="0">
                <c:v>50</c:v>
              </c:pt>
              <c:pt idx="1">
                <c:v>36.476298305332442</c:v>
              </c:pt>
            </c:numLit>
          </c:xVal>
          <c:yVal>
            <c:numLit>
              <c:formatCode>General</c:formatCode>
              <c:ptCount val="2"/>
              <c:pt idx="0">
                <c:v>1.6653049437673817E-2</c:v>
              </c:pt>
              <c:pt idx="1">
                <c:v>4.24278397230183E-2</c:v>
              </c:pt>
            </c:numLit>
          </c:yVal>
          <c:smooth val="0"/>
          <c:extLst>
            <c:ext xmlns:c16="http://schemas.microsoft.com/office/drawing/2014/chart" uri="{C3380CC4-5D6E-409C-BE32-E72D297353CC}">
              <c16:uniqueId val="{00000089-3AB7-4C8A-9447-8EB431F07D18}"/>
            </c:ext>
          </c:extLst>
        </c:ser>
        <c:ser>
          <c:idx val="87"/>
          <c:order val="87"/>
          <c:tx>
            <c:v>v=0.95</c:v>
          </c:tx>
          <c:spPr>
            <a:ln w="3175">
              <a:solidFill>
                <a:srgbClr val="008000"/>
              </a:solidFill>
              <a:prstDash val="sysDash"/>
            </a:ln>
          </c:spPr>
          <c:marker>
            <c:symbol val="none"/>
          </c:marker>
          <c:xVal>
            <c:numLit>
              <c:formatCode>General</c:formatCode>
              <c:ptCount val="2"/>
              <c:pt idx="0">
                <c:v>50</c:v>
              </c:pt>
              <c:pt idx="1">
                <c:v>38.015373057675212</c:v>
              </c:pt>
            </c:numLit>
          </c:xVal>
          <c:yVal>
            <c:numLit>
              <c:formatCode>General</c:formatCode>
              <c:ptCount val="2"/>
              <c:pt idx="0">
                <c:v>2.3446889393989787E-2</c:v>
              </c:pt>
              <c:pt idx="1">
                <c:v>4.6278182171319286E-2</c:v>
              </c:pt>
            </c:numLit>
          </c:yVal>
          <c:smooth val="0"/>
          <c:extLst>
            <c:ext xmlns:c16="http://schemas.microsoft.com/office/drawing/2014/chart" uri="{C3380CC4-5D6E-409C-BE32-E72D297353CC}">
              <c16:uniqueId val="{0000008A-3AB7-4C8A-9447-8EB431F07D18}"/>
            </c:ext>
          </c:extLst>
        </c:ser>
        <c:ser>
          <c:idx val="88"/>
          <c:order val="88"/>
          <c:tx>
            <c:v>v=0.96</c:v>
          </c:tx>
          <c:spPr>
            <a:ln w="3175">
              <a:solidFill>
                <a:srgbClr val="008000"/>
              </a:solidFill>
              <a:prstDash val="sysDash"/>
            </a:ln>
          </c:spPr>
          <c:marker>
            <c:symbol val="none"/>
          </c:marker>
          <c:xVal>
            <c:numLit>
              <c:formatCode>General</c:formatCode>
              <c:ptCount val="2"/>
              <c:pt idx="0">
                <c:v>50.000000000000007</c:v>
              </c:pt>
              <c:pt idx="1">
                <c:v>39.486674453084802</c:v>
              </c:pt>
            </c:numLit>
          </c:xVal>
          <c:yVal>
            <c:numLit>
              <c:formatCode>General</c:formatCode>
              <c:ptCount val="2"/>
              <c:pt idx="0">
                <c:v>3.0240729350305761E-2</c:v>
              </c:pt>
              <c:pt idx="1">
                <c:v>5.022497374403067E-2</c:v>
              </c:pt>
            </c:numLit>
          </c:yVal>
          <c:smooth val="0"/>
          <c:extLst>
            <c:ext xmlns:c16="http://schemas.microsoft.com/office/drawing/2014/chart" uri="{C3380CC4-5D6E-409C-BE32-E72D297353CC}">
              <c16:uniqueId val="{0000008B-3AB7-4C8A-9447-8EB431F07D18}"/>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BE9-47CC-8232-81C66D4AE5CF}"/>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2BE9-47CC-8232-81C66D4AE5CF}"/>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2BE9-47CC-8232-81C66D4AE5CF}"/>
              </c:ext>
            </c:extLst>
          </c:dPt>
          <c:dLbls>
            <c:dLbl>
              <c:idx val="1"/>
              <c:layout>
                <c:manualLayout>
                  <c:x val="3.4722222222222224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SHF=0.93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-3.7487123104404572</c:v>
              </c:pt>
            </c:numLit>
          </c:xVal>
          <c:yVal>
            <c:numLit>
              <c:formatCode>General</c:formatCode>
              <c:ptCount val="2"/>
              <c:pt idx="0">
                <c:v>2.0930000000000001E-2</c:v>
              </c:pt>
              <c:pt idx="1">
                <c:v>2.0591501081074687E-2</c:v>
              </c:pt>
            </c:numLit>
          </c:yVal>
          <c:smooth val="0"/>
          <c:extLst>
            <c:ext xmlns:c16="http://schemas.microsoft.com/office/drawing/2014/chart" uri="{C3380CC4-5D6E-409C-BE32-E72D297353CC}">
              <c16:uniqueId val="{00000001-2BE9-47CC-8232-81C66D4AE5CF}"/>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2BE9-47CC-8232-81C66D4AE5CF}"/>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2BE9-47CC-8232-81C66D4AE5CF}"/>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2BE9-47CC-8232-81C66D4AE5CF}"/>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2BE9-47CC-8232-81C66D4AE5CF}"/>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2BE9-47CC-8232-81C66D4AE5CF}"/>
              </c:ext>
            </c:extLst>
          </c:dPt>
          <c:dLbls>
            <c:dLbl>
              <c:idx val="1"/>
              <c:layout>
                <c:manualLayout>
                  <c:x val="3.4722222222222189E-2"/>
                  <c:y val="7.4786324786324701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=51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-4.8230734488998701</c:v>
              </c:pt>
            </c:numLit>
          </c:xVal>
          <c:yVal>
            <c:numLit>
              <c:formatCode>General</c:formatCode>
              <c:ptCount val="2"/>
              <c:pt idx="0">
                <c:v>2.0930000000000001E-2</c:v>
              </c:pt>
              <c:pt idx="1">
                <c:v>2.5813850678199406E-2</c:v>
              </c:pt>
            </c:numLit>
          </c:yVal>
          <c:smooth val="0"/>
          <c:extLst>
            <c:ext xmlns:c16="http://schemas.microsoft.com/office/drawing/2014/chart" uri="{C3380CC4-5D6E-409C-BE32-E72D297353CC}">
              <c16:uniqueId val="{00000007-2BE9-47CC-8232-81C66D4AE5CF}"/>
            </c:ext>
          </c:extLst>
        </c:ser>
        <c:ser>
          <c:idx val="4"/>
          <c:order val="4"/>
          <c:tx>
            <c:v>外気-冷却コイル入口</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E9-47CC-8232-81C66D4AE5CF}"/>
                </c:ext>
              </c:extLst>
            </c:dLbl>
            <c:dLbl>
              <c:idx val="2"/>
              <c:layout>
                <c:manualLayout>
                  <c:x val="-8.6805555555556826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33.13944850894633</c:v>
              </c:pt>
              <c:pt idx="1">
                <c:v>33.13944850894633</c:v>
              </c:pt>
              <c:pt idx="2">
                <c:v>26.500751590457252</c:v>
              </c:pt>
            </c:numLit>
          </c:xVal>
          <c:yVal>
            <c:numLit>
              <c:formatCode>General</c:formatCode>
              <c:ptCount val="3"/>
              <c:pt idx="0">
                <c:v>1.8600000000000002E-2</c:v>
              </c:pt>
              <c:pt idx="1">
                <c:v>1.8600000000000002E-2</c:v>
              </c:pt>
              <c:pt idx="2">
                <c:v>1.15E-2</c:v>
              </c:pt>
            </c:numLit>
          </c:yVal>
          <c:smooth val="0"/>
          <c:extLst>
            <c:ext xmlns:c16="http://schemas.microsoft.com/office/drawing/2014/chart" uri="{C3380CC4-5D6E-409C-BE32-E72D297353CC}">
              <c16:uniqueId val="{0000000A-2BE9-47CC-8232-81C66D4AE5CF}"/>
            </c:ext>
          </c:extLst>
        </c:ser>
        <c:ser>
          <c:idx val="5"/>
          <c:order val="5"/>
          <c:tx>
            <c:v>冷却コイル入口-中央空調機出口</c:v>
          </c:tx>
          <c:spPr>
            <a:ln w="25400">
              <a:solidFill>
                <a:srgbClr val="008000"/>
              </a:solidFill>
              <a:prstDash val="solid"/>
            </a:ln>
          </c:spPr>
          <c:marker>
            <c:symbol val="circle"/>
            <c:size val="6"/>
            <c:spPr>
              <a:solidFill>
                <a:srgbClr val="FFFFFF"/>
              </a:solidFill>
              <a:ln>
                <a:solidFill>
                  <a:srgbClr val="000000"/>
                </a:solidFill>
                <a:prstDash val="solid"/>
              </a:ln>
            </c:spPr>
          </c:marker>
          <c:dLbls>
            <c:dLbl>
              <c:idx val="1"/>
              <c:layout>
                <c:manualLayout>
                  <c:x val="-3.6458333333333336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BE9-47CC-8232-81C66D4AE5CF}"/>
                </c:ext>
              </c:extLst>
            </c:dLbl>
            <c:dLbl>
              <c:idx val="2"/>
              <c:layout>
                <c:manualLayout>
                  <c:x val="-2.2569444444444507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26.500751590457252</c:v>
              </c:pt>
              <c:pt idx="1">
                <c:v>14.480002481113321</c:v>
              </c:pt>
              <c:pt idx="2">
                <c:v>15.183066115308149</c:v>
              </c:pt>
            </c:numLit>
          </c:xVal>
          <c:yVal>
            <c:numLit>
              <c:formatCode>General</c:formatCode>
              <c:ptCount val="3"/>
              <c:pt idx="0">
                <c:v>1.15E-2</c:v>
              </c:pt>
              <c:pt idx="1">
                <c:v>1.0240000000000001E-2</c:v>
              </c:pt>
              <c:pt idx="2">
                <c:v>1.0240000000000001E-2</c:v>
              </c:pt>
            </c:numLit>
          </c:yVal>
          <c:smooth val="0"/>
          <c:extLst>
            <c:ext xmlns:c16="http://schemas.microsoft.com/office/drawing/2014/chart" uri="{C3380CC4-5D6E-409C-BE32-E72D297353CC}">
              <c16:uniqueId val="{0000000D-2BE9-47CC-8232-81C66D4AE5CF}"/>
            </c:ext>
          </c:extLst>
        </c:ser>
        <c:ser>
          <c:idx val="6"/>
          <c:order val="6"/>
          <c:tx>
            <c:v>冷房ターミナルヒータ側</c:v>
          </c:tx>
          <c:spPr>
            <a:ln w="25400">
              <a:solidFill>
                <a:srgbClr val="00008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15.183066115308149</c:v>
              </c:pt>
              <c:pt idx="1">
                <c:v>17.302446345924452</c:v>
              </c:pt>
            </c:numLit>
          </c:xVal>
          <c:yVal>
            <c:numLit>
              <c:formatCode>General</c:formatCode>
              <c:ptCount val="2"/>
              <c:pt idx="0">
                <c:v>1.0240000000000001E-2</c:v>
              </c:pt>
              <c:pt idx="1">
                <c:v>1.0240000000000001E-2</c:v>
              </c:pt>
            </c:numLit>
          </c:yVal>
          <c:smooth val="0"/>
          <c:extLst>
            <c:ext xmlns:c16="http://schemas.microsoft.com/office/drawing/2014/chart" uri="{C3380CC4-5D6E-409C-BE32-E72D297353CC}">
              <c16:uniqueId val="{00000010-2BE9-47CC-8232-81C66D4AE5CF}"/>
            </c:ext>
          </c:extLst>
        </c:ser>
        <c:ser>
          <c:idx val="7"/>
          <c:order val="7"/>
          <c:tx>
            <c:v>冷房時室内変化プロセス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17.302446345924452</c:v>
              </c:pt>
              <c:pt idx="1">
                <c:v>25.526544946322065</c:v>
              </c:pt>
            </c:numLit>
          </c:xVal>
          <c:yVal>
            <c:numLit>
              <c:formatCode>General</c:formatCode>
              <c:ptCount val="2"/>
              <c:pt idx="0">
                <c:v>1.0240000000000001E-2</c:v>
              </c:pt>
              <c:pt idx="1">
                <c:v>1.044E-2</c:v>
              </c:pt>
            </c:numLit>
          </c:yVal>
          <c:smooth val="0"/>
          <c:extLst>
            <c:ext xmlns:c16="http://schemas.microsoft.com/office/drawing/2014/chart" uri="{C3380CC4-5D6E-409C-BE32-E72D297353CC}">
              <c16:uniqueId val="{00000012-2BE9-47CC-8232-81C66D4AE5CF}"/>
            </c:ext>
          </c:extLst>
        </c:ser>
        <c:ser>
          <c:idx val="8"/>
          <c:order val="8"/>
          <c:tx>
            <c:v>室内-ミキシングポイント</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25.526544946322065</c:v>
              </c:pt>
              <c:pt idx="1">
                <c:v>26.500751590457252</c:v>
              </c:pt>
            </c:numLit>
          </c:xVal>
          <c:yVal>
            <c:numLit>
              <c:formatCode>General</c:formatCode>
              <c:ptCount val="2"/>
              <c:pt idx="0">
                <c:v>1.044E-2</c:v>
              </c:pt>
              <c:pt idx="1">
                <c:v>1.15E-2</c:v>
              </c:pt>
            </c:numLit>
          </c:yVal>
          <c:smooth val="0"/>
          <c:extLst>
            <c:ext xmlns:c16="http://schemas.microsoft.com/office/drawing/2014/chart" uri="{C3380CC4-5D6E-409C-BE32-E72D297353CC}">
              <c16:uniqueId val="{00000014-2BE9-47CC-8232-81C66D4AE5CF}"/>
            </c:ext>
          </c:extLst>
        </c:ser>
        <c:ser>
          <c:idx val="9"/>
          <c:order val="9"/>
          <c:tx>
            <c:v>暖房時外気ポイント-ミキシングポイントプロセス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BE9-47CC-8232-81C66D4AE5CF}"/>
                </c:ext>
              </c:extLst>
            </c:dLbl>
            <c:dLbl>
              <c:idx val="2"/>
              <c:layout>
                <c:manualLayout>
                  <c:x val="-2.256944444444438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1.8757534791252486</c:v>
              </c:pt>
              <c:pt idx="1">
                <c:v>1.8757534791252486</c:v>
              </c:pt>
              <c:pt idx="2">
                <c:v>18.852768318091453</c:v>
              </c:pt>
            </c:numLit>
          </c:xVal>
          <c:yVal>
            <c:numLit>
              <c:formatCode>General</c:formatCode>
              <c:ptCount val="3"/>
              <c:pt idx="0">
                <c:v>1.4E-3</c:v>
              </c:pt>
              <c:pt idx="1">
                <c:v>1.4E-3</c:v>
              </c:pt>
              <c:pt idx="2">
                <c:v>5.9199999999999999E-3</c:v>
              </c:pt>
            </c:numLit>
          </c:yVal>
          <c:smooth val="0"/>
          <c:extLst>
            <c:ext xmlns:c16="http://schemas.microsoft.com/office/drawing/2014/chart" uri="{C3380CC4-5D6E-409C-BE32-E72D297353CC}">
              <c16:uniqueId val="{00000015-2BE9-47CC-8232-81C66D4AE5CF}"/>
            </c:ext>
          </c:extLst>
        </c:ser>
        <c:ser>
          <c:idx val="10"/>
          <c:order val="10"/>
          <c:tx>
            <c:v>暖房空調機側</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3.6458333333333336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18.852768318091453</c:v>
              </c:pt>
              <c:pt idx="1">
                <c:v>17.154619652087476</c:v>
              </c:pt>
            </c:numLit>
          </c:xVal>
          <c:yVal>
            <c:numLit>
              <c:formatCode>General</c:formatCode>
              <c:ptCount val="2"/>
              <c:pt idx="0">
                <c:v>5.9199999999999999E-3</c:v>
              </c:pt>
              <c:pt idx="1">
                <c:v>6.5900000000000004E-3</c:v>
              </c:pt>
            </c:numLit>
          </c:yVal>
          <c:smooth val="0"/>
          <c:extLst>
            <c:ext xmlns:c16="http://schemas.microsoft.com/office/drawing/2014/chart" uri="{C3380CC4-5D6E-409C-BE32-E72D297353CC}">
              <c16:uniqueId val="{00000018-2BE9-47CC-8232-81C66D4AE5CF}"/>
            </c:ext>
          </c:extLst>
        </c:ser>
        <c:ser>
          <c:idx val="11"/>
          <c:order val="11"/>
          <c:tx>
            <c:v>暖房ターミナルヒータ側</c:v>
          </c:tx>
          <c:spPr>
            <a:ln w="25400">
              <a:solidFill>
                <a:srgbClr val="FF660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17.154619652087476</c:v>
              </c:pt>
              <c:pt idx="1">
                <c:v>29.877776230616302</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A-2BE9-47CC-8232-81C66D4AE5CF}"/>
            </c:ext>
          </c:extLst>
        </c:ser>
        <c:ser>
          <c:idx val="12"/>
          <c:order val="12"/>
          <c:tx>
            <c:v>暖房時室内変化プロセス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BE9-47CC-8232-81C66D4AE5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29.877776230616302</c:v>
              </c:pt>
              <c:pt idx="1">
                <c:v>21.415915530815113</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C-2BE9-47CC-8232-81C66D4AE5CF}"/>
            </c:ext>
          </c:extLst>
        </c:ser>
        <c:ser>
          <c:idx val="13"/>
          <c:order val="13"/>
          <c:tx>
            <c:v>暖房時室内-ミキシングポイントのプロセス</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21.415915530815113</c:v>
              </c:pt>
              <c:pt idx="1">
                <c:v>18.852768318091453</c:v>
              </c:pt>
            </c:numLit>
          </c:xVal>
          <c:yVal>
            <c:numLit>
              <c:formatCode>General</c:formatCode>
              <c:ptCount val="2"/>
              <c:pt idx="0">
                <c:v>6.5900000000000004E-3</c:v>
              </c:pt>
              <c:pt idx="1">
                <c:v>5.9199999999999999E-3</c:v>
              </c:pt>
            </c:numLit>
          </c:yVal>
          <c:smooth val="0"/>
          <c:extLst>
            <c:ext xmlns:c16="http://schemas.microsoft.com/office/drawing/2014/chart" uri="{C3380CC4-5D6E-409C-BE32-E72D297353CC}">
              <c16:uniqueId val="{0000001E-2BE9-47CC-8232-81C66D4AE5CF}"/>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8CD65118-2BD6-423E-9F16-AAD6EB0ABD43}"/>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D0474D60-F918-4326-92F5-17AE91FA4B16}"/>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1C3359C9-B4FC-416F-9D47-89AFC18F7DC6}"/>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FE33F0A6-C42D-49A8-BA36-88B3AF10CC7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718DFD38-AC78-4BA2-A63D-0AFE88631978}"/>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C3A95BFB-A0E7-42DE-9492-45D3E8D7ACEA}"/>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155AC890-3BE3-4F67-9BC5-5D6FB8D63EAB}"/>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DE0BEC27-3C9F-4395-9D5B-016C20CC3BF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0756ACE7-DC91-459E-AF63-3920861CB636}"/>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402E18C0-C9D7-4024-9E8A-8CBAD7EE8D95}"/>
            </a:ext>
          </a:extLst>
        </xdr:cNvPr>
        <xdr:cNvSpPr>
          <a:spLocks noChangeArrowheads="1"/>
        </xdr:cNvSpPr>
      </xdr:nvSpPr>
      <xdr:spPr bwMode="auto">
        <a:xfrm rot="12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545911</xdr:colOff>
      <xdr:row>7</xdr:row>
      <xdr:rowOff>160714</xdr:rowOff>
    </xdr:from>
    <xdr:ext cx="401782" cy="171450"/>
    <xdr:sp macro="" textlink="">
      <xdr:nvSpPr>
        <xdr:cNvPr id="3" name="北面1">
          <a:extLst>
            <a:ext uri="{FF2B5EF4-FFF2-40B4-BE49-F238E27FC236}">
              <a16:creationId xmlns:a16="http://schemas.microsoft.com/office/drawing/2014/main" id="{C1FE7B80-639A-4720-9A1B-EC9CDD8DE324}"/>
            </a:ext>
          </a:extLst>
        </xdr:cNvPr>
        <xdr:cNvSpPr txBox="1">
          <a:spLocks noChangeArrowheads="1"/>
        </xdr:cNvSpPr>
      </xdr:nvSpPr>
      <xdr:spPr bwMode="auto">
        <a:xfrm>
          <a:off x="3917761" y="2046664"/>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134170</xdr:colOff>
      <xdr:row>16</xdr:row>
      <xdr:rowOff>229383</xdr:rowOff>
    </xdr:from>
    <xdr:ext cx="400050" cy="174914"/>
    <xdr:sp macro="" textlink="">
      <xdr:nvSpPr>
        <xdr:cNvPr id="4" name="東面1">
          <a:extLst>
            <a:ext uri="{FF2B5EF4-FFF2-40B4-BE49-F238E27FC236}">
              <a16:creationId xmlns:a16="http://schemas.microsoft.com/office/drawing/2014/main" id="{D50DED24-344C-437C-B65A-475969CFDBBA}"/>
            </a:ext>
          </a:extLst>
        </xdr:cNvPr>
        <xdr:cNvSpPr txBox="1">
          <a:spLocks noChangeArrowheads="1"/>
        </xdr:cNvSpPr>
      </xdr:nvSpPr>
      <xdr:spPr bwMode="auto">
        <a:xfrm>
          <a:off x="6268270" y="4344183"/>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171062</xdr:colOff>
      <xdr:row>21</xdr:row>
      <xdr:rowOff>204700</xdr:rowOff>
    </xdr:from>
    <xdr:ext cx="400050" cy="174913"/>
    <xdr:sp macro="" textlink="">
      <xdr:nvSpPr>
        <xdr:cNvPr id="5" name="南面1">
          <a:extLst>
            <a:ext uri="{FF2B5EF4-FFF2-40B4-BE49-F238E27FC236}">
              <a16:creationId xmlns:a16="http://schemas.microsoft.com/office/drawing/2014/main" id="{5BBBC049-F8A6-4436-B228-01086B6C3B57}"/>
            </a:ext>
          </a:extLst>
        </xdr:cNvPr>
        <xdr:cNvSpPr txBox="1">
          <a:spLocks noChangeArrowheads="1"/>
        </xdr:cNvSpPr>
      </xdr:nvSpPr>
      <xdr:spPr bwMode="auto">
        <a:xfrm>
          <a:off x="3542912" y="5557750"/>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2</xdr:col>
      <xdr:colOff>30353</xdr:colOff>
      <xdr:row>12</xdr:row>
      <xdr:rowOff>132566</xdr:rowOff>
    </xdr:from>
    <xdr:ext cx="401782" cy="171450"/>
    <xdr:sp macro="" textlink="">
      <xdr:nvSpPr>
        <xdr:cNvPr id="6" name="西面1">
          <a:extLst>
            <a:ext uri="{FF2B5EF4-FFF2-40B4-BE49-F238E27FC236}">
              <a16:creationId xmlns:a16="http://schemas.microsoft.com/office/drawing/2014/main" id="{006A24AF-A6AD-40EC-9DDF-BDC3FA7610CF}"/>
            </a:ext>
          </a:extLst>
        </xdr:cNvPr>
        <xdr:cNvSpPr txBox="1">
          <a:spLocks noChangeArrowheads="1"/>
        </xdr:cNvSpPr>
      </xdr:nvSpPr>
      <xdr:spPr bwMode="auto">
        <a:xfrm>
          <a:off x="1192403" y="3256766"/>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B7D990FE-46E5-4E6C-B68E-09B5292291BA}"/>
            </a:ext>
          </a:extLst>
        </xdr:cNvPr>
        <xdr:cNvSpPr>
          <a:spLocks noChangeShapeType="1"/>
        </xdr:cNvSpPr>
      </xdr:nvSpPr>
      <xdr:spPr bwMode="auto">
        <a:xfrm rot="12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DE5DD247-492D-47F2-A030-2EB421FE3F03}"/>
            </a:ext>
          </a:extLst>
        </xdr:cNvPr>
        <xdr:cNvSpPr>
          <a:spLocks noChangeShapeType="1"/>
        </xdr:cNvSpPr>
      </xdr:nvSpPr>
      <xdr:spPr bwMode="auto">
        <a:xfrm rot="12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112F7394-8D33-4689-BE34-6C2113336480}"/>
            </a:ext>
          </a:extLst>
        </xdr:cNvPr>
        <xdr:cNvSpPr>
          <a:spLocks noChangeArrowheads="1"/>
        </xdr:cNvSpPr>
      </xdr:nvSpPr>
      <xdr:spPr bwMode="auto">
        <a:xfrm rot="12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488434</xdr:colOff>
      <xdr:row>7</xdr:row>
      <xdr:rowOff>159461</xdr:rowOff>
    </xdr:from>
    <xdr:ext cx="400050" cy="171450"/>
    <xdr:sp macro="" textlink="">
      <xdr:nvSpPr>
        <xdr:cNvPr id="10" name="北面2">
          <a:extLst>
            <a:ext uri="{FF2B5EF4-FFF2-40B4-BE49-F238E27FC236}">
              <a16:creationId xmlns:a16="http://schemas.microsoft.com/office/drawing/2014/main" id="{4DD12254-77F9-4BFD-8E11-B19E9D8CA8B1}"/>
            </a:ext>
          </a:extLst>
        </xdr:cNvPr>
        <xdr:cNvSpPr txBox="1">
          <a:spLocks noChangeArrowheads="1"/>
        </xdr:cNvSpPr>
      </xdr:nvSpPr>
      <xdr:spPr bwMode="auto">
        <a:xfrm>
          <a:off x="11708884" y="204541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126068</xdr:colOff>
      <xdr:row>21</xdr:row>
      <xdr:rowOff>164389</xdr:rowOff>
    </xdr:from>
    <xdr:ext cx="400050" cy="171450"/>
    <xdr:sp macro="" textlink="">
      <xdr:nvSpPr>
        <xdr:cNvPr id="11" name="南面2">
          <a:extLst>
            <a:ext uri="{FF2B5EF4-FFF2-40B4-BE49-F238E27FC236}">
              <a16:creationId xmlns:a16="http://schemas.microsoft.com/office/drawing/2014/main" id="{EDEAC85D-9863-4987-904B-6D287C628461}"/>
            </a:ext>
          </a:extLst>
        </xdr:cNvPr>
        <xdr:cNvSpPr txBox="1">
          <a:spLocks noChangeArrowheads="1"/>
        </xdr:cNvSpPr>
      </xdr:nvSpPr>
      <xdr:spPr bwMode="auto">
        <a:xfrm>
          <a:off x="11346518" y="551743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538943</xdr:colOff>
      <xdr:row>12</xdr:row>
      <xdr:rowOff>114154</xdr:rowOff>
    </xdr:from>
    <xdr:ext cx="400050" cy="171450"/>
    <xdr:sp macro="" textlink="">
      <xdr:nvSpPr>
        <xdr:cNvPr id="12" name="西面2">
          <a:extLst>
            <a:ext uri="{FF2B5EF4-FFF2-40B4-BE49-F238E27FC236}">
              <a16:creationId xmlns:a16="http://schemas.microsoft.com/office/drawing/2014/main" id="{19A1726E-3EAE-4715-BCF4-5D52B8FDD646}"/>
            </a:ext>
          </a:extLst>
        </xdr:cNvPr>
        <xdr:cNvSpPr txBox="1">
          <a:spLocks noChangeArrowheads="1"/>
        </xdr:cNvSpPr>
      </xdr:nvSpPr>
      <xdr:spPr bwMode="auto">
        <a:xfrm>
          <a:off x="8997143" y="3238354"/>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1F01DEA9-BB01-462D-8349-E5CF80DB5009}"/>
            </a:ext>
          </a:extLst>
        </xdr:cNvPr>
        <xdr:cNvSpPr>
          <a:spLocks noChangeShapeType="1"/>
        </xdr:cNvSpPr>
      </xdr:nvSpPr>
      <xdr:spPr bwMode="auto">
        <a:xfrm rot="12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41706674-DC3F-4A25-A763-E3385B0C9564}"/>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3853952A-1162-4C65-8FFD-BE72C2D863E3}"/>
            </a:ext>
          </a:extLst>
        </xdr:cNvPr>
        <xdr:cNvSpPr>
          <a:spLocks noChangeShapeType="1"/>
        </xdr:cNvSpPr>
      </xdr:nvSpPr>
      <xdr:spPr bwMode="auto">
        <a:xfrm rot="12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7A756F1D-4128-4EBC-9CCA-7721A18A84FF}"/>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B87336B1-8940-40ED-B5A0-EC5842CCCF28}"/>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ABF233CE-9394-422C-86B7-79438E8A2039}"/>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0430C897-5D0F-48B6-AFE7-B18C59A149DB}"/>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1FD21DC4-6C29-4446-BD86-CB29A4B8200B}"/>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69C3EE5B-E84C-4F59-828D-FA7B7DDFF1A7}"/>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D8B527DC-990F-4B28-A4C7-9CF32D418FF8}"/>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A6B7C4C3-2AF6-4A27-A4D5-B6F85F9B11BD}"/>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4B8556D7-B606-4B4D-B93B-B21B3FD9FBB3}"/>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78B8E71B-5852-42D0-ADE2-4F9F1EFDC0E9}"/>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00229B47-AC73-4BD1-8421-9EC97A002D22}"/>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8D5648C2-3E19-4022-98C6-D2CBC3474F0E}"/>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85ADAF08-0B20-4865-8684-5C9AF70AAB66}"/>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E6BF4E4E-0D2E-4ADC-8780-8840E3A6F3D3}"/>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362C2964-E5BD-4E2E-84F0-E53394A78484}"/>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9FEFBF62-9EB5-4F10-B0AC-B95735B64C17}"/>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75558</xdr:colOff>
      <xdr:row>16</xdr:row>
      <xdr:rowOff>206232</xdr:rowOff>
    </xdr:from>
    <xdr:ext cx="400050" cy="174914"/>
    <xdr:sp macro="" textlink="">
      <xdr:nvSpPr>
        <xdr:cNvPr id="32" name="東面2">
          <a:extLst>
            <a:ext uri="{FF2B5EF4-FFF2-40B4-BE49-F238E27FC236}">
              <a16:creationId xmlns:a16="http://schemas.microsoft.com/office/drawing/2014/main" id="{AC5737FA-5E50-4213-A9F8-51DC1D592EC7}"/>
            </a:ext>
          </a:extLst>
        </xdr:cNvPr>
        <xdr:cNvSpPr txBox="1">
          <a:spLocks noChangeArrowheads="1"/>
        </xdr:cNvSpPr>
      </xdr:nvSpPr>
      <xdr:spPr bwMode="auto">
        <a:xfrm>
          <a:off x="14058258" y="4321032"/>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172891</xdr:colOff>
      <xdr:row>19</xdr:row>
      <xdr:rowOff>92046</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FAD00591-7BA6-4145-80D9-D25BEE07C89E}"/>
            </a:ext>
          </a:extLst>
        </xdr:cNvPr>
        <xdr:cNvSpPr/>
      </xdr:nvSpPr>
      <xdr:spPr>
        <a:xfrm>
          <a:off x="3544741" y="4949796"/>
          <a:ext cx="386487" cy="68148"/>
        </a:xfrm>
        <a:custGeom>
          <a:avLst/>
          <a:gdLst/>
          <a:ahLst/>
          <a:cxnLst/>
          <a:rect l="0" t="0" r="0" b="0"/>
          <a:pathLst>
            <a:path w="386487" h="68148">
              <a:moveTo>
                <a:pt x="0" y="0"/>
              </a:moveTo>
              <a:cubicBezTo>
                <a:pt x="94018" y="29643"/>
                <a:pt x="94018" y="29643"/>
                <a:pt x="94018" y="29643"/>
              </a:cubicBezTo>
              <a:cubicBezTo>
                <a:pt x="190262" y="50980"/>
                <a:pt x="190262" y="50980"/>
                <a:pt x="190262" y="50980"/>
              </a:cubicBezTo>
              <a:cubicBezTo>
                <a:pt x="287999" y="63848"/>
                <a:pt x="287999" y="63848"/>
                <a:pt x="287999" y="63848"/>
              </a:cubicBezTo>
              <a:cubicBezTo>
                <a:pt x="386486" y="68147"/>
                <a:pt x="386486" y="68147"/>
                <a:pt x="386486" y="6814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352023</xdr:colOff>
      <xdr:row>18</xdr:row>
      <xdr:rowOff>11454</xdr:rowOff>
    </xdr:from>
    <xdr:to>
      <xdr:col>6</xdr:col>
      <xdr:colOff>519257</xdr:colOff>
      <xdr:row>19</xdr:row>
      <xdr:rowOff>70683</xdr:rowOff>
    </xdr:to>
    <xdr:sp macro="" textlink="">
      <xdr:nvSpPr>
        <xdr:cNvPr id="34" name="テキスト ボックス 33">
          <a:extLst>
            <a:ext uri="{FF2B5EF4-FFF2-40B4-BE49-F238E27FC236}">
              <a16:creationId xmlns:a16="http://schemas.microsoft.com/office/drawing/2014/main" id="{89417B97-0135-4BA7-A5B9-79B478FF47DB}"/>
            </a:ext>
          </a:extLst>
        </xdr:cNvPr>
        <xdr:cNvSpPr txBox="1"/>
      </xdr:nvSpPr>
      <xdr:spPr>
        <a:xfrm>
          <a:off x="3171423" y="4621554"/>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202562</xdr:rowOff>
    </xdr:from>
    <xdr:to>
      <xdr:col>9</xdr:col>
      <xdr:colOff>81877</xdr:colOff>
      <xdr:row>20</xdr:row>
      <xdr:rowOff>38101</xdr:rowOff>
    </xdr:to>
    <xdr:sp macro="" textlink="">
      <xdr:nvSpPr>
        <xdr:cNvPr id="35" name="フリーフォーム: 図形 34">
          <a:extLst>
            <a:ext uri="{FF2B5EF4-FFF2-40B4-BE49-F238E27FC236}">
              <a16:creationId xmlns:a16="http://schemas.microsoft.com/office/drawing/2014/main" id="{C94C2BDA-C2A9-4A9A-8DF8-491277212867}"/>
            </a:ext>
          </a:extLst>
        </xdr:cNvPr>
        <xdr:cNvSpPr/>
      </xdr:nvSpPr>
      <xdr:spPr>
        <a:xfrm>
          <a:off x="3931227" y="4317362"/>
          <a:ext cx="1179850" cy="826139"/>
        </a:xfrm>
        <a:custGeom>
          <a:avLst/>
          <a:gdLst/>
          <a:ahLst/>
          <a:cxnLst/>
          <a:rect l="0" t="0" r="0" b="0"/>
          <a:pathLst>
            <a:path w="1179850" h="826139">
              <a:moveTo>
                <a:pt x="0" y="826138"/>
              </a:moveTo>
              <a:cubicBezTo>
                <a:pt x="109431" y="821360"/>
                <a:pt x="109431" y="821360"/>
                <a:pt x="109431" y="821360"/>
              </a:cubicBezTo>
              <a:cubicBezTo>
                <a:pt x="218027" y="807064"/>
                <a:pt x="218027" y="807064"/>
                <a:pt x="218027" y="807064"/>
              </a:cubicBezTo>
              <a:cubicBezTo>
                <a:pt x="324966" y="783356"/>
                <a:pt x="324966" y="783356"/>
                <a:pt x="324966" y="783356"/>
              </a:cubicBezTo>
              <a:cubicBezTo>
                <a:pt x="429430" y="750418"/>
                <a:pt x="429430" y="750418"/>
                <a:pt x="429430" y="750418"/>
              </a:cubicBezTo>
              <a:cubicBezTo>
                <a:pt x="530627" y="708501"/>
                <a:pt x="530627" y="708501"/>
                <a:pt x="530627" y="708501"/>
              </a:cubicBezTo>
              <a:cubicBezTo>
                <a:pt x="627785" y="657924"/>
                <a:pt x="627785" y="657924"/>
                <a:pt x="627785" y="657924"/>
              </a:cubicBezTo>
              <a:cubicBezTo>
                <a:pt x="720165" y="599072"/>
                <a:pt x="720165" y="599072"/>
                <a:pt x="720165" y="599072"/>
              </a:cubicBezTo>
              <a:cubicBezTo>
                <a:pt x="807064" y="532391"/>
                <a:pt x="807064" y="532391"/>
                <a:pt x="807064" y="532391"/>
              </a:cubicBezTo>
              <a:cubicBezTo>
                <a:pt x="887821" y="458391"/>
                <a:pt x="887821" y="458391"/>
                <a:pt x="887821" y="458391"/>
              </a:cubicBezTo>
              <a:cubicBezTo>
                <a:pt x="961822" y="377634"/>
                <a:pt x="961822" y="377634"/>
                <a:pt x="961822" y="377634"/>
              </a:cubicBezTo>
              <a:cubicBezTo>
                <a:pt x="1028502" y="290735"/>
                <a:pt x="1028502" y="290735"/>
                <a:pt x="1028502" y="290735"/>
              </a:cubicBezTo>
              <a:cubicBezTo>
                <a:pt x="1087354" y="198355"/>
                <a:pt x="1087354" y="198355"/>
                <a:pt x="1087354" y="198355"/>
              </a:cubicBezTo>
              <a:cubicBezTo>
                <a:pt x="1137932" y="101197"/>
                <a:pt x="1137932" y="101197"/>
                <a:pt x="1137932" y="101197"/>
              </a:cubicBezTo>
              <a:cubicBezTo>
                <a:pt x="1179849" y="0"/>
                <a:pt x="1179849" y="0"/>
                <a:pt x="117984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87793</xdr:colOff>
      <xdr:row>18</xdr:row>
      <xdr:rowOff>52183</xdr:rowOff>
    </xdr:from>
    <xdr:to>
      <xdr:col>8</xdr:col>
      <xdr:colOff>319147</xdr:colOff>
      <xdr:row>19</xdr:row>
      <xdr:rowOff>111412</xdr:rowOff>
    </xdr:to>
    <xdr:sp macro="" textlink="">
      <xdr:nvSpPr>
        <xdr:cNvPr id="36" name="テキスト ボックス 35">
          <a:extLst>
            <a:ext uri="{FF2B5EF4-FFF2-40B4-BE49-F238E27FC236}">
              <a16:creationId xmlns:a16="http://schemas.microsoft.com/office/drawing/2014/main" id="{5D995D93-F2DA-49DB-A9D7-50DD0F9D77C8}"/>
            </a:ext>
          </a:extLst>
        </xdr:cNvPr>
        <xdr:cNvSpPr txBox="1"/>
      </xdr:nvSpPr>
      <xdr:spPr>
        <a:xfrm>
          <a:off x="4012093" y="466228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69475</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D99E3E7B-3017-4DD1-A04A-0DF970398338}"/>
            </a:ext>
          </a:extLst>
        </xdr:cNvPr>
        <xdr:cNvSpPr/>
      </xdr:nvSpPr>
      <xdr:spPr>
        <a:xfrm>
          <a:off x="2625436" y="3441325"/>
          <a:ext cx="1305792" cy="1752399"/>
        </a:xfrm>
        <a:custGeom>
          <a:avLst/>
          <a:gdLst/>
          <a:ahLst/>
          <a:cxnLst/>
          <a:rect l="0" t="0" r="0" b="0"/>
          <a:pathLst>
            <a:path w="1305792" h="1752399">
              <a:moveTo>
                <a:pt x="78749" y="0"/>
              </a:moveTo>
              <a:cubicBezTo>
                <a:pt x="44494" y="108643"/>
                <a:pt x="44494" y="108643"/>
                <a:pt x="44494" y="108643"/>
              </a:cubicBezTo>
              <a:cubicBezTo>
                <a:pt x="19838" y="219859"/>
                <a:pt x="19838" y="219859"/>
                <a:pt x="19838" y="219859"/>
              </a:cubicBezTo>
              <a:cubicBezTo>
                <a:pt x="4969" y="332800"/>
                <a:pt x="4969" y="332800"/>
                <a:pt x="4969" y="332800"/>
              </a:cubicBezTo>
              <a:cubicBezTo>
                <a:pt x="0" y="446607"/>
                <a:pt x="0" y="446607"/>
                <a:pt x="0" y="446607"/>
              </a:cubicBezTo>
              <a:cubicBezTo>
                <a:pt x="4969" y="560414"/>
                <a:pt x="4969" y="560414"/>
                <a:pt x="4969" y="560414"/>
              </a:cubicBezTo>
              <a:cubicBezTo>
                <a:pt x="19838" y="673355"/>
                <a:pt x="19838" y="673355"/>
                <a:pt x="19838" y="673355"/>
              </a:cubicBezTo>
              <a:cubicBezTo>
                <a:pt x="44494" y="784571"/>
                <a:pt x="44494" y="784571"/>
                <a:pt x="44494" y="784571"/>
              </a:cubicBezTo>
              <a:cubicBezTo>
                <a:pt x="78749" y="893214"/>
                <a:pt x="78749" y="893214"/>
                <a:pt x="78749" y="893214"/>
              </a:cubicBezTo>
              <a:cubicBezTo>
                <a:pt x="122343" y="998458"/>
                <a:pt x="122343" y="998458"/>
                <a:pt x="122343" y="998458"/>
              </a:cubicBezTo>
              <a:cubicBezTo>
                <a:pt x="174943" y="1099502"/>
                <a:pt x="174943" y="1099502"/>
                <a:pt x="174943" y="1099502"/>
              </a:cubicBezTo>
              <a:cubicBezTo>
                <a:pt x="236150" y="1195578"/>
                <a:pt x="236150" y="1195578"/>
                <a:pt x="236150" y="1195578"/>
              </a:cubicBezTo>
              <a:cubicBezTo>
                <a:pt x="305497" y="1285953"/>
                <a:pt x="305497" y="1285953"/>
                <a:pt x="305497" y="1285953"/>
              </a:cubicBezTo>
              <a:cubicBezTo>
                <a:pt x="382458" y="1369941"/>
                <a:pt x="382458" y="1369941"/>
                <a:pt x="382458" y="1369941"/>
              </a:cubicBezTo>
              <a:cubicBezTo>
                <a:pt x="466445" y="1446901"/>
                <a:pt x="466445" y="1446901"/>
                <a:pt x="466445" y="1446901"/>
              </a:cubicBezTo>
              <a:cubicBezTo>
                <a:pt x="556820" y="1516248"/>
                <a:pt x="556820" y="1516248"/>
                <a:pt x="556820" y="1516248"/>
              </a:cubicBezTo>
              <a:cubicBezTo>
                <a:pt x="652896" y="1577455"/>
                <a:pt x="652896" y="1577455"/>
                <a:pt x="652896" y="1577455"/>
              </a:cubicBezTo>
              <a:cubicBezTo>
                <a:pt x="753940" y="1630055"/>
                <a:pt x="753940" y="1630055"/>
                <a:pt x="753940" y="1630055"/>
              </a:cubicBezTo>
              <a:cubicBezTo>
                <a:pt x="859184" y="1673649"/>
                <a:pt x="859184" y="1673649"/>
                <a:pt x="859184" y="1673649"/>
              </a:cubicBezTo>
              <a:cubicBezTo>
                <a:pt x="967827" y="1707904"/>
                <a:pt x="967827" y="1707904"/>
                <a:pt x="967827" y="1707904"/>
              </a:cubicBezTo>
              <a:cubicBezTo>
                <a:pt x="1079043" y="1732560"/>
                <a:pt x="1079043" y="1732560"/>
                <a:pt x="1079043" y="1732560"/>
              </a:cubicBezTo>
              <a:cubicBezTo>
                <a:pt x="1191984" y="1747429"/>
                <a:pt x="1191984" y="1747429"/>
                <a:pt x="1191984" y="1747429"/>
              </a:cubicBezTo>
              <a:cubicBezTo>
                <a:pt x="1305791" y="1752398"/>
                <a:pt x="1305791" y="1752398"/>
                <a:pt x="1305791" y="1752398"/>
              </a:cubicBezTo>
              <a:cubicBezTo>
                <a:pt x="1305791" y="1752398"/>
                <a:pt x="1305791" y="1752398"/>
                <a:pt x="1305791" y="175239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493648</xdr:colOff>
      <xdr:row>17</xdr:row>
      <xdr:rowOff>20302</xdr:rowOff>
    </xdr:from>
    <xdr:to>
      <xdr:col>5</xdr:col>
      <xdr:colOff>172552</xdr:colOff>
      <xdr:row>18</xdr:row>
      <xdr:rowOff>79531</xdr:rowOff>
    </xdr:to>
    <xdr:sp macro="" textlink="">
      <xdr:nvSpPr>
        <xdr:cNvPr id="38" name="テキスト ボックス 37">
          <a:extLst>
            <a:ext uri="{FF2B5EF4-FFF2-40B4-BE49-F238E27FC236}">
              <a16:creationId xmlns:a16="http://schemas.microsoft.com/office/drawing/2014/main" id="{32783319-437F-475A-840E-769D003AA9F7}"/>
            </a:ext>
          </a:extLst>
        </xdr:cNvPr>
        <xdr:cNvSpPr txBox="1"/>
      </xdr:nvSpPr>
      <xdr:spPr>
        <a:xfrm>
          <a:off x="2208148" y="438275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496478</xdr:colOff>
      <xdr:row>20</xdr:row>
      <xdr:rowOff>213881</xdr:rowOff>
    </xdr:to>
    <xdr:sp macro="" textlink="">
      <xdr:nvSpPr>
        <xdr:cNvPr id="39" name="フリーフォーム: 図形 38">
          <a:extLst>
            <a:ext uri="{FF2B5EF4-FFF2-40B4-BE49-F238E27FC236}">
              <a16:creationId xmlns:a16="http://schemas.microsoft.com/office/drawing/2014/main" id="{D91A3357-30D3-44B4-ADDC-2A9D3CB77317}"/>
            </a:ext>
          </a:extLst>
        </xdr:cNvPr>
        <xdr:cNvSpPr/>
      </xdr:nvSpPr>
      <xdr:spPr>
        <a:xfrm>
          <a:off x="2499880" y="2456584"/>
          <a:ext cx="1920898" cy="2862697"/>
        </a:xfrm>
        <a:custGeom>
          <a:avLst/>
          <a:gdLst/>
          <a:ahLst/>
          <a:cxnLst/>
          <a:rect l="0" t="0" r="0" b="0"/>
          <a:pathLst>
            <a:path w="1920898" h="2862697">
              <a:moveTo>
                <a:pt x="1920897" y="86321"/>
              </a:moveTo>
              <a:cubicBezTo>
                <a:pt x="1801807" y="48772"/>
                <a:pt x="1801807" y="48772"/>
                <a:pt x="1801807" y="48772"/>
              </a:cubicBez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153687</xdr:colOff>
      <xdr:row>13</xdr:row>
      <xdr:rowOff>13380</xdr:rowOff>
    </xdr:from>
    <xdr:to>
      <xdr:col>4</xdr:col>
      <xdr:colOff>385041</xdr:colOff>
      <xdr:row>14</xdr:row>
      <xdr:rowOff>72609</xdr:rowOff>
    </xdr:to>
    <xdr:sp macro="" textlink="">
      <xdr:nvSpPr>
        <xdr:cNvPr id="40" name="テキスト ボックス 39">
          <a:extLst>
            <a:ext uri="{FF2B5EF4-FFF2-40B4-BE49-F238E27FC236}">
              <a16:creationId xmlns:a16="http://schemas.microsoft.com/office/drawing/2014/main" id="{ADAA279D-2E4F-4335-9A64-25A4761B2A4A}"/>
            </a:ext>
          </a:extLst>
        </xdr:cNvPr>
        <xdr:cNvSpPr txBox="1"/>
      </xdr:nvSpPr>
      <xdr:spPr>
        <a:xfrm>
          <a:off x="1868187" y="338523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1" name="直線コネクタ 40">
          <a:extLst>
            <a:ext uri="{FF2B5EF4-FFF2-40B4-BE49-F238E27FC236}">
              <a16:creationId xmlns:a16="http://schemas.microsoft.com/office/drawing/2014/main" id="{F8F6FCCF-9C62-4C03-8E65-9BED9F192DCD}"/>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2" name="矢印: 右 41">
          <a:extLst>
            <a:ext uri="{FF2B5EF4-FFF2-40B4-BE49-F238E27FC236}">
              <a16:creationId xmlns:a16="http://schemas.microsoft.com/office/drawing/2014/main" id="{C465FA8A-7EAA-407B-A3FB-627E3E91E7CC}"/>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3" name="テキスト ボックス 42">
          <a:extLst>
            <a:ext uri="{FF2B5EF4-FFF2-40B4-BE49-F238E27FC236}">
              <a16:creationId xmlns:a16="http://schemas.microsoft.com/office/drawing/2014/main" id="{669DF359-DED2-43D6-B041-B7DD61ADEAC8}"/>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03C76605-414E-4D5E-A0F7-EBC6637A0131}"/>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5" name="テキスト ボックス 44">
          <a:extLst>
            <a:ext uri="{FF2B5EF4-FFF2-40B4-BE49-F238E27FC236}">
              <a16:creationId xmlns:a16="http://schemas.microsoft.com/office/drawing/2014/main" id="{6B77BAF2-70A4-4C48-8163-13756ED35892}"/>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6" name="直線コネクタ 45">
          <a:extLst>
            <a:ext uri="{FF2B5EF4-FFF2-40B4-BE49-F238E27FC236}">
              <a16:creationId xmlns:a16="http://schemas.microsoft.com/office/drawing/2014/main" id="{C68FF5CC-D557-4EF4-8807-ADA1B408E634}"/>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7" name="矢印: 右 46">
          <a:extLst>
            <a:ext uri="{FF2B5EF4-FFF2-40B4-BE49-F238E27FC236}">
              <a16:creationId xmlns:a16="http://schemas.microsoft.com/office/drawing/2014/main" id="{47BF0117-BB2D-4AD4-9005-6FFF1480BAAC}"/>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8" name="テキスト ボックス 47">
          <a:extLst>
            <a:ext uri="{FF2B5EF4-FFF2-40B4-BE49-F238E27FC236}">
              <a16:creationId xmlns:a16="http://schemas.microsoft.com/office/drawing/2014/main" id="{32F5C684-638C-4960-8A28-69F076F69D43}"/>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9" name="フリーフォーム: 図形 48">
          <a:extLst>
            <a:ext uri="{FF2B5EF4-FFF2-40B4-BE49-F238E27FC236}">
              <a16:creationId xmlns:a16="http://schemas.microsoft.com/office/drawing/2014/main" id="{C3A0FFBC-0C7A-4E73-9460-A3E2138E4310}"/>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50" name="テキスト ボックス 49">
          <a:extLst>
            <a:ext uri="{FF2B5EF4-FFF2-40B4-BE49-F238E27FC236}">
              <a16:creationId xmlns:a16="http://schemas.microsoft.com/office/drawing/2014/main" id="{72AF3FE8-79C5-46B1-A49B-E2568732497A}"/>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1" name="直線コネクタ 50">
          <a:extLst>
            <a:ext uri="{FF2B5EF4-FFF2-40B4-BE49-F238E27FC236}">
              <a16:creationId xmlns:a16="http://schemas.microsoft.com/office/drawing/2014/main" id="{043DC6DF-D642-472F-BE5B-2E8759262C1A}"/>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2" name="矢印: 右 51">
          <a:extLst>
            <a:ext uri="{FF2B5EF4-FFF2-40B4-BE49-F238E27FC236}">
              <a16:creationId xmlns:a16="http://schemas.microsoft.com/office/drawing/2014/main" id="{7E719B28-1823-45F7-9C9A-19401B9ADFE7}"/>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3" name="テキスト ボックス 52">
          <a:extLst>
            <a:ext uri="{FF2B5EF4-FFF2-40B4-BE49-F238E27FC236}">
              <a16:creationId xmlns:a16="http://schemas.microsoft.com/office/drawing/2014/main" id="{6B4E7863-88CB-4D19-9F57-07086B24CC34}"/>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69E49578-2703-4219-BAD9-288557811A00}"/>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5" name="テキスト ボックス 54">
          <a:extLst>
            <a:ext uri="{FF2B5EF4-FFF2-40B4-BE49-F238E27FC236}">
              <a16:creationId xmlns:a16="http://schemas.microsoft.com/office/drawing/2014/main" id="{69B6E90B-1EE9-419A-BA4E-73761964D4C4}"/>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6" name="直線コネクタ 55">
          <a:extLst>
            <a:ext uri="{FF2B5EF4-FFF2-40B4-BE49-F238E27FC236}">
              <a16:creationId xmlns:a16="http://schemas.microsoft.com/office/drawing/2014/main" id="{0F4E8CD5-731C-400E-8A76-A7BD012E2B13}"/>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7" name="矢印: 右 56">
          <a:extLst>
            <a:ext uri="{FF2B5EF4-FFF2-40B4-BE49-F238E27FC236}">
              <a16:creationId xmlns:a16="http://schemas.microsoft.com/office/drawing/2014/main" id="{0C0C58BD-9050-4BD3-9805-6824F0D6A0A4}"/>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8" name="テキスト ボックス 57">
          <a:extLst>
            <a:ext uri="{FF2B5EF4-FFF2-40B4-BE49-F238E27FC236}">
              <a16:creationId xmlns:a16="http://schemas.microsoft.com/office/drawing/2014/main" id="{C5BC1A64-89B8-4C2A-852B-7BA965442B51}"/>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385C20BF-04C5-4E11-8E77-00408BC6DB4E}"/>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60" name="テキスト ボックス 59">
          <a:extLst>
            <a:ext uri="{FF2B5EF4-FFF2-40B4-BE49-F238E27FC236}">
              <a16:creationId xmlns:a16="http://schemas.microsoft.com/office/drawing/2014/main" id="{B9D5E729-6B4C-409C-BE42-8B243E130204}"/>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126120</xdr:colOff>
      <xdr:row>19</xdr:row>
      <xdr:rowOff>56617</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94AE55C0-D689-40CF-B8AD-BB59A281A007}"/>
            </a:ext>
          </a:extLst>
        </xdr:cNvPr>
        <xdr:cNvSpPr/>
      </xdr:nvSpPr>
      <xdr:spPr>
        <a:xfrm>
          <a:off x="11346570" y="4914367"/>
          <a:ext cx="381157" cy="67209"/>
        </a:xfrm>
        <a:custGeom>
          <a:avLst/>
          <a:gdLst/>
          <a:ahLst/>
          <a:cxnLst/>
          <a:rect l="0" t="0" r="0" b="0"/>
          <a:pathLst>
            <a:path w="381157" h="67209">
              <a:moveTo>
                <a:pt x="0" y="0"/>
              </a:moveTo>
              <a:cubicBezTo>
                <a:pt x="92722" y="29235"/>
                <a:pt x="92722" y="29235"/>
                <a:pt x="92722" y="29235"/>
              </a:cubicBezTo>
              <a:cubicBezTo>
                <a:pt x="187638" y="50277"/>
                <a:pt x="187638" y="50277"/>
                <a:pt x="187638" y="50277"/>
              </a:cubicBezTo>
              <a:cubicBezTo>
                <a:pt x="284028" y="62967"/>
                <a:pt x="284028" y="62967"/>
                <a:pt x="284028" y="62967"/>
              </a:cubicBezTo>
              <a:cubicBezTo>
                <a:pt x="381156" y="67208"/>
                <a:pt x="381156" y="67208"/>
                <a:pt x="381156" y="6720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302629</xdr:colOff>
      <xdr:row>17</xdr:row>
      <xdr:rowOff>222973</xdr:rowOff>
    </xdr:from>
    <xdr:to>
      <xdr:col>20</xdr:col>
      <xdr:colOff>469863</xdr:colOff>
      <xdr:row>19</xdr:row>
      <xdr:rowOff>34552</xdr:rowOff>
    </xdr:to>
    <xdr:sp macro="" textlink="">
      <xdr:nvSpPr>
        <xdr:cNvPr id="62" name="テキスト ボックス 61">
          <a:extLst>
            <a:ext uri="{FF2B5EF4-FFF2-40B4-BE49-F238E27FC236}">
              <a16:creationId xmlns:a16="http://schemas.microsoft.com/office/drawing/2014/main" id="{F4A23A54-D9D6-4F27-AEBD-42D12035CF64}"/>
            </a:ext>
          </a:extLst>
        </xdr:cNvPr>
        <xdr:cNvSpPr txBox="1"/>
      </xdr:nvSpPr>
      <xdr:spPr>
        <a:xfrm>
          <a:off x="10970629" y="4585423"/>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175857</xdr:rowOff>
    </xdr:from>
    <xdr:to>
      <xdr:col>23</xdr:col>
      <xdr:colOff>13501</xdr:colOff>
      <xdr:row>20</xdr:row>
      <xdr:rowOff>1</xdr:rowOff>
    </xdr:to>
    <xdr:sp macro="" textlink="">
      <xdr:nvSpPr>
        <xdr:cNvPr id="63" name="フリーフォーム: 図形 62">
          <a:extLst>
            <a:ext uri="{FF2B5EF4-FFF2-40B4-BE49-F238E27FC236}">
              <a16:creationId xmlns:a16="http://schemas.microsoft.com/office/drawing/2014/main" id="{05FEDC56-1093-4A23-9E35-196AE23AA7FE}"/>
            </a:ext>
          </a:extLst>
        </xdr:cNvPr>
        <xdr:cNvSpPr/>
      </xdr:nvSpPr>
      <xdr:spPr>
        <a:xfrm>
          <a:off x="11727726" y="4290657"/>
          <a:ext cx="1163575" cy="814744"/>
        </a:xfrm>
        <a:custGeom>
          <a:avLst/>
          <a:gdLst/>
          <a:ahLst/>
          <a:cxnLst/>
          <a:rect l="0" t="0" r="0" b="0"/>
          <a:pathLst>
            <a:path w="1163575" h="814744">
              <a:moveTo>
                <a:pt x="0" y="814743"/>
              </a:moveTo>
              <a:cubicBezTo>
                <a:pt x="107921" y="810031"/>
                <a:pt x="107921" y="810031"/>
                <a:pt x="107921" y="810031"/>
              </a:cubicBezTo>
              <a:cubicBezTo>
                <a:pt x="215020" y="795931"/>
                <a:pt x="215020" y="795931"/>
                <a:pt x="215020" y="795931"/>
              </a:cubicBezTo>
              <a:cubicBezTo>
                <a:pt x="320483" y="772551"/>
                <a:pt x="320483" y="772551"/>
                <a:pt x="320483" y="772551"/>
              </a:cubicBezTo>
              <a:cubicBezTo>
                <a:pt x="423507" y="740067"/>
                <a:pt x="423507" y="740067"/>
                <a:pt x="423507" y="740067"/>
              </a:cubicBezTo>
              <a:cubicBezTo>
                <a:pt x="523307" y="698729"/>
                <a:pt x="523307" y="698729"/>
                <a:pt x="523307" y="698729"/>
              </a:cubicBezTo>
              <a:cubicBezTo>
                <a:pt x="619125" y="648849"/>
                <a:pt x="619125" y="648849"/>
                <a:pt x="619125" y="648849"/>
              </a:cubicBezTo>
              <a:cubicBezTo>
                <a:pt x="710231" y="590808"/>
                <a:pt x="710231" y="590808"/>
                <a:pt x="710231" y="590808"/>
              </a:cubicBezTo>
              <a:cubicBezTo>
                <a:pt x="795931" y="525048"/>
                <a:pt x="795931" y="525048"/>
                <a:pt x="795931" y="525048"/>
              </a:cubicBezTo>
              <a:cubicBezTo>
                <a:pt x="875574" y="452068"/>
                <a:pt x="875574" y="452068"/>
                <a:pt x="875574" y="452068"/>
              </a:cubicBezTo>
              <a:cubicBezTo>
                <a:pt x="948555" y="372425"/>
                <a:pt x="948555" y="372425"/>
                <a:pt x="948555" y="372425"/>
              </a:cubicBezTo>
              <a:cubicBezTo>
                <a:pt x="1014315" y="286724"/>
                <a:pt x="1014315" y="286724"/>
                <a:pt x="1014315" y="286724"/>
              </a:cubicBezTo>
              <a:cubicBezTo>
                <a:pt x="1072355" y="195618"/>
                <a:pt x="1072355" y="195618"/>
                <a:pt x="1072355" y="195618"/>
              </a:cubicBezTo>
              <a:cubicBezTo>
                <a:pt x="1122235" y="99800"/>
                <a:pt x="1122235" y="99800"/>
                <a:pt x="1122235" y="99800"/>
              </a:cubicBezTo>
              <a:cubicBezTo>
                <a:pt x="1163574" y="0"/>
                <a:pt x="1163574" y="0"/>
                <a:pt x="116357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25758</xdr:colOff>
      <xdr:row>18</xdr:row>
      <xdr:rowOff>17214</xdr:rowOff>
    </xdr:from>
    <xdr:to>
      <xdr:col>22</xdr:col>
      <xdr:colOff>257112</xdr:colOff>
      <xdr:row>19</xdr:row>
      <xdr:rowOff>76443</xdr:rowOff>
    </xdr:to>
    <xdr:sp macro="" textlink="">
      <xdr:nvSpPr>
        <xdr:cNvPr id="64" name="テキスト ボックス 63">
          <a:extLst>
            <a:ext uri="{FF2B5EF4-FFF2-40B4-BE49-F238E27FC236}">
              <a16:creationId xmlns:a16="http://schemas.microsoft.com/office/drawing/2014/main" id="{2129C49B-C74E-4C09-BF3C-495D214BEEF8}"/>
            </a:ext>
          </a:extLst>
        </xdr:cNvPr>
        <xdr:cNvSpPr txBox="1"/>
      </xdr:nvSpPr>
      <xdr:spPr>
        <a:xfrm>
          <a:off x="11798658" y="462731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54853</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D5E1750E-968D-4846-AA0C-6F878F6C7810}"/>
            </a:ext>
          </a:extLst>
        </xdr:cNvPr>
        <xdr:cNvSpPr/>
      </xdr:nvSpPr>
      <xdr:spPr>
        <a:xfrm>
          <a:off x="10439946" y="3426703"/>
          <a:ext cx="1287781" cy="1728228"/>
        </a:xfrm>
        <a:custGeom>
          <a:avLst/>
          <a:gdLst/>
          <a:ahLst/>
          <a:cxnLst/>
          <a:rect l="0" t="0" r="0" b="0"/>
          <a:pathLst>
            <a:path w="1287781" h="1728228">
              <a:moveTo>
                <a:pt x="77662" y="0"/>
              </a:moveTo>
              <a:cubicBezTo>
                <a:pt x="43880" y="107145"/>
                <a:pt x="43880" y="107145"/>
                <a:pt x="43880" y="107145"/>
              </a:cubicBezTo>
              <a:cubicBezTo>
                <a:pt x="19564" y="216826"/>
                <a:pt x="19564" y="216826"/>
                <a:pt x="19564" y="216826"/>
              </a:cubicBezTo>
              <a:cubicBezTo>
                <a:pt x="4900" y="328209"/>
                <a:pt x="4900" y="328209"/>
                <a:pt x="4900" y="328209"/>
              </a:cubicBezTo>
              <a:cubicBezTo>
                <a:pt x="0" y="440447"/>
                <a:pt x="0" y="440447"/>
                <a:pt x="0" y="440447"/>
              </a:cubicBezTo>
              <a:cubicBezTo>
                <a:pt x="4900" y="552684"/>
                <a:pt x="4900" y="552684"/>
                <a:pt x="4900" y="552684"/>
              </a:cubicBezTo>
              <a:cubicBezTo>
                <a:pt x="19564" y="664067"/>
                <a:pt x="19564" y="664067"/>
                <a:pt x="19564" y="664067"/>
              </a:cubicBezTo>
              <a:cubicBezTo>
                <a:pt x="43880" y="773749"/>
                <a:pt x="43880" y="773749"/>
                <a:pt x="43880" y="773749"/>
              </a:cubicBezTo>
              <a:cubicBezTo>
                <a:pt x="77662" y="880893"/>
                <a:pt x="77662" y="880893"/>
                <a:pt x="77662" y="880893"/>
              </a:cubicBezTo>
              <a:cubicBezTo>
                <a:pt x="120655" y="984686"/>
                <a:pt x="120655" y="984686"/>
                <a:pt x="120655" y="984686"/>
              </a:cubicBezTo>
              <a:cubicBezTo>
                <a:pt x="172529" y="1084337"/>
                <a:pt x="172529" y="1084337"/>
                <a:pt x="172529" y="1084337"/>
              </a:cubicBezTo>
              <a:cubicBezTo>
                <a:pt x="232892" y="1179087"/>
                <a:pt x="232892" y="1179087"/>
                <a:pt x="232892" y="1179087"/>
              </a:cubicBezTo>
              <a:cubicBezTo>
                <a:pt x="301283" y="1268216"/>
                <a:pt x="301283" y="1268216"/>
                <a:pt x="301283" y="1268216"/>
              </a:cubicBezTo>
              <a:cubicBezTo>
                <a:pt x="377182" y="1351045"/>
                <a:pt x="377182" y="1351045"/>
                <a:pt x="377182" y="1351045"/>
              </a:cubicBezTo>
              <a:cubicBezTo>
                <a:pt x="460010" y="1426943"/>
                <a:pt x="460010" y="1426943"/>
                <a:pt x="460010" y="1426943"/>
              </a:cubicBezTo>
              <a:cubicBezTo>
                <a:pt x="549139" y="1495335"/>
                <a:pt x="549139" y="1495335"/>
                <a:pt x="549139" y="1495335"/>
              </a:cubicBezTo>
              <a:cubicBezTo>
                <a:pt x="643890" y="1555697"/>
                <a:pt x="643890" y="1555697"/>
                <a:pt x="643890" y="1555697"/>
              </a:cubicBezTo>
              <a:cubicBezTo>
                <a:pt x="743540" y="1607572"/>
                <a:pt x="743540" y="1607572"/>
                <a:pt x="743540" y="1607572"/>
              </a:cubicBezTo>
              <a:cubicBezTo>
                <a:pt x="847332" y="1650564"/>
                <a:pt x="847332" y="1650564"/>
                <a:pt x="847332" y="1650564"/>
              </a:cubicBezTo>
              <a:cubicBezTo>
                <a:pt x="954478" y="1684347"/>
                <a:pt x="954478" y="1684347"/>
                <a:pt x="954478" y="1684347"/>
              </a:cubicBezTo>
              <a:cubicBezTo>
                <a:pt x="1064159" y="1708663"/>
                <a:pt x="1064159" y="1708663"/>
                <a:pt x="1064159" y="1708663"/>
              </a:cubicBezTo>
              <a:cubicBezTo>
                <a:pt x="1175542" y="1723326"/>
                <a:pt x="1175542" y="1723326"/>
                <a:pt x="1175542" y="1723326"/>
              </a:cubicBezTo>
              <a:cubicBezTo>
                <a:pt x="1287779" y="1728227"/>
                <a:pt x="1287779" y="1728227"/>
                <a:pt x="1287779" y="1728227"/>
              </a:cubicBezTo>
              <a:cubicBezTo>
                <a:pt x="1287780" y="1728227"/>
                <a:pt x="1287780" y="1728227"/>
                <a:pt x="1287780" y="172822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456300</xdr:colOff>
      <xdr:row>16</xdr:row>
      <xdr:rowOff>236839</xdr:rowOff>
    </xdr:from>
    <xdr:to>
      <xdr:col>19</xdr:col>
      <xdr:colOff>135204</xdr:colOff>
      <xdr:row>18</xdr:row>
      <xdr:rowOff>48418</xdr:rowOff>
    </xdr:to>
    <xdr:sp macro="" textlink="">
      <xdr:nvSpPr>
        <xdr:cNvPr id="66" name="テキスト ボックス 65">
          <a:extLst>
            <a:ext uri="{FF2B5EF4-FFF2-40B4-BE49-F238E27FC236}">
              <a16:creationId xmlns:a16="http://schemas.microsoft.com/office/drawing/2014/main" id="{859C55C4-6538-4328-8C4F-DBB39C0E3409}"/>
            </a:ext>
          </a:extLst>
        </xdr:cNvPr>
        <xdr:cNvSpPr txBox="1"/>
      </xdr:nvSpPr>
      <xdr:spPr>
        <a:xfrm>
          <a:off x="10019400" y="435163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437625</xdr:colOff>
      <xdr:row>20</xdr:row>
      <xdr:rowOff>173356</xdr:rowOff>
    </xdr:to>
    <xdr:sp macro="" textlink="">
      <xdr:nvSpPr>
        <xdr:cNvPr id="67" name="フリーフォーム: 図形 66">
          <a:extLst>
            <a:ext uri="{FF2B5EF4-FFF2-40B4-BE49-F238E27FC236}">
              <a16:creationId xmlns:a16="http://schemas.microsoft.com/office/drawing/2014/main" id="{43FAB840-2757-418D-8E68-494D469CB91F}"/>
            </a:ext>
          </a:extLst>
        </xdr:cNvPr>
        <xdr:cNvSpPr/>
      </xdr:nvSpPr>
      <xdr:spPr>
        <a:xfrm>
          <a:off x="10316121" y="2455545"/>
          <a:ext cx="1894404" cy="2823211"/>
        </a:xfrm>
        <a:custGeom>
          <a:avLst/>
          <a:gdLst/>
          <a:ahLst/>
          <a:cxnLst/>
          <a:rect l="0" t="0" r="0" b="0"/>
          <a:pathLst>
            <a:path w="1894404" h="2823211">
              <a:moveTo>
                <a:pt x="1894403" y="85130"/>
              </a:moveTo>
              <a:cubicBezTo>
                <a:pt x="1776956" y="48099"/>
                <a:pt x="1776956" y="48099"/>
                <a:pt x="1776956" y="48099"/>
              </a:cubicBez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121029</xdr:colOff>
      <xdr:row>12</xdr:row>
      <xdr:rowOff>243676</xdr:rowOff>
    </xdr:from>
    <xdr:to>
      <xdr:col>18</xdr:col>
      <xdr:colOff>352383</xdr:colOff>
      <xdr:row>14</xdr:row>
      <xdr:rowOff>55255</xdr:rowOff>
    </xdr:to>
    <xdr:sp macro="" textlink="">
      <xdr:nvSpPr>
        <xdr:cNvPr id="68" name="テキスト ボックス 67">
          <a:extLst>
            <a:ext uri="{FF2B5EF4-FFF2-40B4-BE49-F238E27FC236}">
              <a16:creationId xmlns:a16="http://schemas.microsoft.com/office/drawing/2014/main" id="{6D5B1021-3AC9-4166-B068-6FF769052FD0}"/>
            </a:ext>
          </a:extLst>
        </xdr:cNvPr>
        <xdr:cNvSpPr txBox="1"/>
      </xdr:nvSpPr>
      <xdr:spPr>
        <a:xfrm>
          <a:off x="9684129" y="336787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9" name="直線コネクタ 68">
          <a:extLst>
            <a:ext uri="{FF2B5EF4-FFF2-40B4-BE49-F238E27FC236}">
              <a16:creationId xmlns:a16="http://schemas.microsoft.com/office/drawing/2014/main" id="{D4939EAB-7B8C-45FA-A5F3-CF6B4C01A108}"/>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70" name="矢印: 右 69">
          <a:extLst>
            <a:ext uri="{FF2B5EF4-FFF2-40B4-BE49-F238E27FC236}">
              <a16:creationId xmlns:a16="http://schemas.microsoft.com/office/drawing/2014/main" id="{38FF90BD-E236-48BC-9490-061951207EAB}"/>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71" name="テキスト ボックス 70">
          <a:extLst>
            <a:ext uri="{FF2B5EF4-FFF2-40B4-BE49-F238E27FC236}">
              <a16:creationId xmlns:a16="http://schemas.microsoft.com/office/drawing/2014/main" id="{CF68CB3C-AF69-4E0E-B8F0-3C1C210197E4}"/>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5ADD0B8C-9992-4B03-8E97-29AA4AAE957A}"/>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3" name="テキスト ボックス 72">
          <a:extLst>
            <a:ext uri="{FF2B5EF4-FFF2-40B4-BE49-F238E27FC236}">
              <a16:creationId xmlns:a16="http://schemas.microsoft.com/office/drawing/2014/main" id="{35731BCD-668B-4176-A668-4E6CD35120F3}"/>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4" name="直線コネクタ 73">
          <a:extLst>
            <a:ext uri="{FF2B5EF4-FFF2-40B4-BE49-F238E27FC236}">
              <a16:creationId xmlns:a16="http://schemas.microsoft.com/office/drawing/2014/main" id="{7CA94DC3-4AD9-43EB-A9F7-420E06371229}"/>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5" name="矢印: 右 74">
          <a:extLst>
            <a:ext uri="{FF2B5EF4-FFF2-40B4-BE49-F238E27FC236}">
              <a16:creationId xmlns:a16="http://schemas.microsoft.com/office/drawing/2014/main" id="{C288C0B0-5BEC-4265-B347-B5EFE31FCED8}"/>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6" name="テキスト ボックス 75">
          <a:extLst>
            <a:ext uri="{FF2B5EF4-FFF2-40B4-BE49-F238E27FC236}">
              <a16:creationId xmlns:a16="http://schemas.microsoft.com/office/drawing/2014/main" id="{6B053668-9F81-46B7-AC71-EC1C86871D28}"/>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7" name="フリーフォーム: 図形 76">
          <a:extLst>
            <a:ext uri="{FF2B5EF4-FFF2-40B4-BE49-F238E27FC236}">
              <a16:creationId xmlns:a16="http://schemas.microsoft.com/office/drawing/2014/main" id="{B4635BC5-9310-4740-8A53-C6080FD01115}"/>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8" name="テキスト ボックス 77">
          <a:extLst>
            <a:ext uri="{FF2B5EF4-FFF2-40B4-BE49-F238E27FC236}">
              <a16:creationId xmlns:a16="http://schemas.microsoft.com/office/drawing/2014/main" id="{DFDCA89F-910B-49F9-BC96-6E430863B004}"/>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9" name="直線コネクタ 78">
          <a:extLst>
            <a:ext uri="{FF2B5EF4-FFF2-40B4-BE49-F238E27FC236}">
              <a16:creationId xmlns:a16="http://schemas.microsoft.com/office/drawing/2014/main" id="{E2CA6FC2-F1B5-4B7F-81D9-FD4D6237E029}"/>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80" name="矢印: 右 79">
          <a:extLst>
            <a:ext uri="{FF2B5EF4-FFF2-40B4-BE49-F238E27FC236}">
              <a16:creationId xmlns:a16="http://schemas.microsoft.com/office/drawing/2014/main" id="{5FE8CA5B-4436-436A-9B55-EC49E44D7F64}"/>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81" name="テキスト ボックス 80">
          <a:extLst>
            <a:ext uri="{FF2B5EF4-FFF2-40B4-BE49-F238E27FC236}">
              <a16:creationId xmlns:a16="http://schemas.microsoft.com/office/drawing/2014/main" id="{AEE4C7AC-6AD8-459C-9821-AC40FEDF9ED9}"/>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DC4CD846-225F-4894-AC10-FA661B932173}"/>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3" name="テキスト ボックス 82">
          <a:extLst>
            <a:ext uri="{FF2B5EF4-FFF2-40B4-BE49-F238E27FC236}">
              <a16:creationId xmlns:a16="http://schemas.microsoft.com/office/drawing/2014/main" id="{85E8948C-0C5E-46E9-8807-8BA778ABAE61}"/>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4" name="直線コネクタ 83">
          <a:extLst>
            <a:ext uri="{FF2B5EF4-FFF2-40B4-BE49-F238E27FC236}">
              <a16:creationId xmlns:a16="http://schemas.microsoft.com/office/drawing/2014/main" id="{FFFC1405-1CAA-42B8-8AB5-FB4317BBFF79}"/>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5" name="矢印: 右 84">
          <a:extLst>
            <a:ext uri="{FF2B5EF4-FFF2-40B4-BE49-F238E27FC236}">
              <a16:creationId xmlns:a16="http://schemas.microsoft.com/office/drawing/2014/main" id="{AFB85804-41C4-403B-AEF6-B9FB0DB79D67}"/>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6" name="テキスト ボックス 85">
          <a:extLst>
            <a:ext uri="{FF2B5EF4-FFF2-40B4-BE49-F238E27FC236}">
              <a16:creationId xmlns:a16="http://schemas.microsoft.com/office/drawing/2014/main" id="{46E4159D-920A-46E5-AA3C-651B380A55E7}"/>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0B1A6481-9953-434C-8AA1-039B65C5EACA}"/>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8" name="テキスト ボックス 87">
          <a:extLst>
            <a:ext uri="{FF2B5EF4-FFF2-40B4-BE49-F238E27FC236}">
              <a16:creationId xmlns:a16="http://schemas.microsoft.com/office/drawing/2014/main" id="{1CE4EB84-C2C9-4F92-971B-18FD4BECA10D}"/>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D7D6F42C-B5BA-4DCA-9A67-3D17B0039975}"/>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D0CF6AE8-D4C6-4C6E-B9F9-D057D1097695}"/>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2132700B-1B09-4D6E-B1B1-55071771B965}"/>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58CC84C9-CA8E-4889-8F32-BD9D53E9FE18}"/>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2CA6517B-B7AF-4EFB-8CAE-0B53FEB03ED4}"/>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A11FEDF3-1FDE-4422-B4FA-42FD93FB1E1E}"/>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BAE7DC65-EB6B-4AC2-A801-C4A38077D13C}"/>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EDF3E2DC-180B-429E-B92C-556D956CF3B8}"/>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4D182687-6199-405F-BAA3-7DBEFD4982EA}"/>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9162FB09-36E4-4602-9BFB-D4519B7CB944}"/>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85526AFD-81E3-4BA8-B889-353FDBD000AB}"/>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A42C0609-49A3-4B35-819C-EA6EC7C6DFA3}"/>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1027B956-5BDA-4853-AACF-A55E9D1A59E7}"/>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510451B2-84FA-4564-A92C-3C4A8C4A65A8}"/>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D95B8022-E6EC-4518-90FE-B6A0D709671A}"/>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EE268823-FB88-4A19-9C31-3B22BDE9C0D7}"/>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2CE59F9E-BBCF-4B90-ADEE-D592C0B74ABF}"/>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33E22DFB-62CD-4624-9812-2E73BC16CE8C}"/>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E041BDD5-B824-48BF-A714-F2186D3446F9}"/>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36B93DF4-5295-4EFA-B71F-3018214D4B98}"/>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1613DD35-EF92-4C7C-AF0F-8F5978C7C692}"/>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8F9478B9-31DB-40B3-9B9C-E22B3BD97D67}"/>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24CF0F48-2938-40A4-877D-C73DF23AA0CD}"/>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BA2236C9-DC51-4426-B1F9-8FFA4591D9E2}"/>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592C2750-F550-44B5-9187-A2B3349D3E56}"/>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EAB626B4-9503-4B7E-8ABB-AEDA1FC3A50F}"/>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671D91BD-C486-4F92-A0A6-F2A1E465872A}"/>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ED0C72EC-BE83-49A9-B474-2AA284D1D92F}"/>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6F3011C8-C64A-4FA0-A04F-C9F88497151E}"/>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90E3CD97-2CED-49F3-AF35-EF31F33C1EA7}"/>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FCEA3D1D-85E6-4C10-9400-50FB52E055E2}"/>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337CF952-3D2D-4398-8C43-E755CCAAC568}"/>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B237C85C-73A8-4CCE-99C4-6E5539178341}"/>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1B844F13-E907-4D36-BB2F-26F2AAA0C725}"/>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70172887-3FEC-4346-86F7-3C37D5B23497}"/>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58E96549-AAC0-476F-A04A-4A2DA0901951}"/>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46511824-3091-41C5-B53B-4E60F3F0AFAA}"/>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0D2CC5D0-341D-4EFC-9F38-DF4AE307C6D0}"/>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11875E31-3A5F-4527-91D2-465A314EBB73}"/>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38FBAB2B-4A91-4B22-8056-3B2B685D7660}"/>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F85C707E-041B-4331-9CA5-01628FC22147}"/>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94683CEC-3F4B-41AC-964F-FF0AFC5BA34E}"/>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6EB047BA-4F77-46DD-B24B-B26746589081}"/>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4FC41724-E535-4291-9388-BD4FE3CBED7B}"/>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96F43263-EF26-495A-91F0-89D746248D0F}"/>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948ABFBA-4CD2-4F64-ABBF-666AFE43E4B4}"/>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37E0558A-72B5-4378-B647-63C032B6E106}"/>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793AEBB1-A0B3-405F-95DA-7A01BBAA8209}"/>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B6AC1AB4-9047-41B2-B4A3-5D75349F459F}"/>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20C2A1C0-A8F0-41E7-B0BE-1A50058E2F44}"/>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805F4664-59FD-4E69-A894-4890FBD876D4}"/>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E00CEA3F-8536-4274-ACDD-4DD24A095141}"/>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A4D9BAB5-9691-42C3-A996-28210FC269C5}"/>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4522546F-3E45-4E03-A63C-6CB4CDE33063}"/>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7EFE953C-4C65-48E5-94B6-DFBD72B2C288}"/>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63A8C969-169D-4506-AD64-E588204BA1D7}"/>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75901B86-21CD-4061-A589-E90414FA6BE2}"/>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038F3C8B-2081-464E-8EF2-67A3B8781C59}"/>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6C9F06B3-99DC-49C9-A92C-9538F7D9F3A1}"/>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B1A1950A-E4DD-428D-80BA-4D222EBDF809}"/>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BDEC4E54-C9EA-4DBB-B3E6-9A7468764926}"/>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3672C44B-43A1-492F-8856-CF1CC12744A7}"/>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3B270FDF-F356-4F36-95DA-AE242F620D67}"/>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103135C1-9ECA-4295-9086-F5F47B3B301A}"/>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8FCE247D-31E9-421D-B249-FA5B4FFB390B}"/>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1CD39DC6-EC7B-42EF-A276-3BC170B8CBA6}"/>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AB13D969-116B-493F-91F5-F4E0EEEA09EE}"/>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3D4292A3-F54D-488A-94D5-105C47EFCC11}"/>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22F0C6BD-F6BD-4B9B-B988-8F450CC9346C}"/>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BF6A2B44-A8BF-48B6-A691-E4B59ADB446D}"/>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EDB56BCA-DE01-40F6-984E-7096C1245D5D}"/>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ADDA8521-92FF-4EDB-BE07-B3D09A98C136}"/>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2ACD7D7B-411A-4D9A-ADA4-D623CC813DE1}"/>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897E7001-AC05-4B39-A7A4-D3C1D4E96499}"/>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6E9784CA-32E1-4A36-B83D-AE91FF44B240}"/>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5008F83A-2317-4979-B5E1-2BD52F2DBF23}"/>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794B06B1-1A4D-47EC-A86B-39E2AC425CB7}"/>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DC5B6156-24E9-44C4-BC71-617B34A8023E}"/>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2E1A393D-9BE2-41FA-8852-5D252F99CA59}"/>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9054E6C9-DCD1-44A9-8C5D-D8C61A6958C7}"/>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56A97F45-C3DA-4751-9989-782BEFF3663F}"/>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7D31EC94-4342-434C-8583-A1AB59775D66}"/>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D6FB3BC9-8BC4-49E9-A39B-60A9935D463C}"/>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B491B315-16A8-4882-AA2A-4C6A7C560085}"/>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EA4C3216-3513-44BD-80E3-9B39BB83CE4C}"/>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AE331781-1FDA-4BFC-8D8B-06BD6F48FBEB}"/>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E7A142CB-F633-47DB-8A91-D3A744946B7F}"/>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70059D70-DD64-4BDD-831D-74B590821502}"/>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734628AE-903B-4541-94A6-E6503A0E8302}"/>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2050236F-9BE0-4BE1-B8F9-989B0F3AEA82}"/>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B2E136AF-A45E-457D-8C60-3A95FC6321BA}"/>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0CE6C717-D100-4EB5-AC0D-26B74B577979}"/>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4843DC9E-16E2-4860-AE0F-2E11DE82EF9F}"/>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78C82C6-511A-4454-BBC6-D1AAED873C7C}"/>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57625BCC-B63C-4D53-B43D-DFEE794C2865}"/>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3D3D7F5E-B083-43F3-BAD4-8342FD4699D7}"/>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B632F7DE-301D-4F20-A716-9A17702A2C33}"/>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D6B7D4A7-1274-41FE-90CB-17EB8952D071}"/>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8116B038-3B13-4F9F-938A-2D08DF22E55C}"/>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64B20950-7862-41F7-ACB8-4B62263E6CCC}"/>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79D9C79E-E21C-4513-8ED1-5E7E3FE088C0}"/>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71A443E2-1757-4091-B6F1-E39589E7F8DD}"/>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5417AAF7-3D32-4FF7-88D6-E15B980911D8}"/>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DB7F40DA-368E-429B-ABD4-4D91930C07E3}"/>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34F7B8F8-8F3D-4ADB-BEFE-A25DCDCB3D92}"/>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6B6099DE-3881-4B25-96D8-9C404E6B59BD}"/>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CE38B7D2-034A-4EC2-8F2D-B3619A0748A6}"/>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69C89E94-0C20-43A4-A9AD-F8143E167F25}"/>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AB5DCA1B-5CD4-45C0-8E41-95CD1FEA31CD}"/>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59AB9ED5-5761-478D-894D-64FAE9B199DE}"/>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793CD0D5-6FEE-4C17-9D7B-FE8307CE5600}"/>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AB898906-E26C-482A-8608-F909376007D9}"/>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A037CDB2-7C6E-4BC9-A016-58C9593F26C5}"/>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9EB0F20C-E5A9-4810-9DBF-E5DA33617A0A}"/>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5306B4B4-989D-4265-BDE0-B2FC484D1814}"/>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B7D2ABEF-7F20-4BA7-BAB0-02633149A08A}"/>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81B5E027-A9FC-4BBD-99D0-4F03B44FB4EA}"/>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F04BBFAA-FE3C-4F05-891D-50C871CE2AA5}"/>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167B7A03-F481-4326-A2F6-F79357D4F244}"/>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083408CC-B0F4-4DB8-A8E7-2FBF1D8FABC6}"/>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C525FFA6-8BB7-4290-A19F-E4A889D99569}"/>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5010F40C-FB2D-4686-BA9E-D58D445A044C}"/>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20EF9A16-C073-4498-97E8-C34A55964D7A}"/>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61F74CF3-6640-46DA-901D-A755CC8EB639}"/>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CD9788A7-1D18-4087-AADE-C97C06CDBA3B}"/>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9973BE00-13A0-48B9-951E-554A4967218F}"/>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AD70BF13-CC0E-405F-813E-A3116110B4C8}"/>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CA0B8C87-0B5B-41F6-89C5-FC531670C270}"/>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10A64EE0-B899-4496-984C-68142067F4C0}"/>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9C3DE449-DB0C-4629-BE49-26D6B5A04ABE}"/>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7122349A-03F5-485A-9DA8-72579FE49556}"/>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A27A889D-AA04-41BB-A0C3-04CF50520A4C}"/>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176927</xdr:colOff>
      <xdr:row>118</xdr:row>
      <xdr:rowOff>144538</xdr:rowOff>
    </xdr:from>
    <xdr:to>
      <xdr:col>6</xdr:col>
      <xdr:colOff>1117044</xdr:colOff>
      <xdr:row>121</xdr:row>
      <xdr:rowOff>128589</xdr:rowOff>
    </xdr:to>
    <xdr:sp macro="" textlink="">
      <xdr:nvSpPr>
        <xdr:cNvPr id="138" name="正方形/長方形 137">
          <a:extLst>
            <a:ext uri="{FF2B5EF4-FFF2-40B4-BE49-F238E27FC236}">
              <a16:creationId xmlns:a16="http://schemas.microsoft.com/office/drawing/2014/main" id="{237F7D46-2954-4D7E-9E9F-DBF46426D2E2}"/>
            </a:ext>
          </a:extLst>
        </xdr:cNvPr>
        <xdr:cNvSpPr/>
      </xdr:nvSpPr>
      <xdr:spPr>
        <a:xfrm>
          <a:off x="5177552" y="20347063"/>
          <a:ext cx="940117" cy="498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166467</xdr:rowOff>
    </xdr:from>
    <xdr:to>
      <xdr:col>6</xdr:col>
      <xdr:colOff>1117044</xdr:colOff>
      <xdr:row>118</xdr:row>
      <xdr:rowOff>144538</xdr:rowOff>
    </xdr:to>
    <xdr:sp macro="" textlink="">
      <xdr:nvSpPr>
        <xdr:cNvPr id="136" name="正方形/長方形 135">
          <a:extLst>
            <a:ext uri="{FF2B5EF4-FFF2-40B4-BE49-F238E27FC236}">
              <a16:creationId xmlns:a16="http://schemas.microsoft.com/office/drawing/2014/main" id="{115FC964-2F0C-43FD-BC9E-DEF4B629379C}"/>
            </a:ext>
          </a:extLst>
        </xdr:cNvPr>
        <xdr:cNvSpPr/>
      </xdr:nvSpPr>
      <xdr:spPr>
        <a:xfrm>
          <a:off x="5177552" y="20197542"/>
          <a:ext cx="940117" cy="149521"/>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16946</xdr:rowOff>
    </xdr:from>
    <xdr:to>
      <xdr:col>6</xdr:col>
      <xdr:colOff>1117044</xdr:colOff>
      <xdr:row>117</xdr:row>
      <xdr:rowOff>166467</xdr:rowOff>
    </xdr:to>
    <xdr:sp macro="" textlink="">
      <xdr:nvSpPr>
        <xdr:cNvPr id="134" name="正方形/長方形 133">
          <a:extLst>
            <a:ext uri="{FF2B5EF4-FFF2-40B4-BE49-F238E27FC236}">
              <a16:creationId xmlns:a16="http://schemas.microsoft.com/office/drawing/2014/main" id="{7C49A768-20E4-4DE9-BA32-96B80A847A27}"/>
            </a:ext>
          </a:extLst>
        </xdr:cNvPr>
        <xdr:cNvSpPr/>
      </xdr:nvSpPr>
      <xdr:spPr>
        <a:xfrm>
          <a:off x="5177552" y="20048021"/>
          <a:ext cx="940117" cy="1495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82734</xdr:rowOff>
    </xdr:from>
    <xdr:to>
      <xdr:col>6</xdr:col>
      <xdr:colOff>1117044</xdr:colOff>
      <xdr:row>115</xdr:row>
      <xdr:rowOff>60806</xdr:rowOff>
    </xdr:to>
    <xdr:sp macro="" textlink="">
      <xdr:nvSpPr>
        <xdr:cNvPr id="131" name="正方形/長方形 130">
          <a:extLst>
            <a:ext uri="{FF2B5EF4-FFF2-40B4-BE49-F238E27FC236}">
              <a16:creationId xmlns:a16="http://schemas.microsoft.com/office/drawing/2014/main" id="{F50F9865-3570-4505-80F0-E4BBE122875E}"/>
            </a:ext>
          </a:extLst>
        </xdr:cNvPr>
        <xdr:cNvSpPr/>
      </xdr:nvSpPr>
      <xdr:spPr>
        <a:xfrm>
          <a:off x="5177552" y="19599459"/>
          <a:ext cx="940117" cy="14952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52831</xdr:rowOff>
    </xdr:from>
    <xdr:to>
      <xdr:col>6</xdr:col>
      <xdr:colOff>1117044</xdr:colOff>
      <xdr:row>114</xdr:row>
      <xdr:rowOff>82734</xdr:rowOff>
    </xdr:to>
    <xdr:sp macro="" textlink="">
      <xdr:nvSpPr>
        <xdr:cNvPr id="129" name="正方形/長方形 128">
          <a:extLst>
            <a:ext uri="{FF2B5EF4-FFF2-40B4-BE49-F238E27FC236}">
              <a16:creationId xmlns:a16="http://schemas.microsoft.com/office/drawing/2014/main" id="{8AE0C4F2-C8F7-4D1E-8C27-564187D07647}"/>
            </a:ext>
          </a:extLst>
        </xdr:cNvPr>
        <xdr:cNvSpPr/>
      </xdr:nvSpPr>
      <xdr:spPr>
        <a:xfrm>
          <a:off x="5177552" y="19569556"/>
          <a:ext cx="940117" cy="2990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42863</xdr:rowOff>
    </xdr:from>
    <xdr:to>
      <xdr:col>6</xdr:col>
      <xdr:colOff>1117044</xdr:colOff>
      <xdr:row>114</xdr:row>
      <xdr:rowOff>52831</xdr:rowOff>
    </xdr:to>
    <xdr:sp macro="" textlink="">
      <xdr:nvSpPr>
        <xdr:cNvPr id="127" name="正方形/長方形 126">
          <a:extLst>
            <a:ext uri="{FF2B5EF4-FFF2-40B4-BE49-F238E27FC236}">
              <a16:creationId xmlns:a16="http://schemas.microsoft.com/office/drawing/2014/main" id="{7EC1E619-107B-4041-BD19-6A74E83259B4}"/>
            </a:ext>
          </a:extLst>
        </xdr:cNvPr>
        <xdr:cNvSpPr/>
      </xdr:nvSpPr>
      <xdr:spPr>
        <a:xfrm>
          <a:off x="5177552" y="19559588"/>
          <a:ext cx="940117" cy="9968"/>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134</xdr:row>
      <xdr:rowOff>48985</xdr:rowOff>
    </xdr:from>
    <xdr:to>
      <xdr:col>0</xdr:col>
      <xdr:colOff>1117044</xdr:colOff>
      <xdr:row>138</xdr:row>
      <xdr:rowOff>128586</xdr:rowOff>
    </xdr:to>
    <xdr:sp macro="" textlink="">
      <xdr:nvSpPr>
        <xdr:cNvPr id="124" name="正方形/長方形 123">
          <a:extLst>
            <a:ext uri="{FF2B5EF4-FFF2-40B4-BE49-F238E27FC236}">
              <a16:creationId xmlns:a16="http://schemas.microsoft.com/office/drawing/2014/main" id="{14B72C5A-F923-46C6-9EF3-94084DD7CB31}"/>
            </a:ext>
          </a:extLst>
        </xdr:cNvPr>
        <xdr:cNvSpPr/>
      </xdr:nvSpPr>
      <xdr:spPr>
        <a:xfrm>
          <a:off x="176927" y="22994710"/>
          <a:ext cx="940117" cy="765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132</xdr:row>
      <xdr:rowOff>162265</xdr:rowOff>
    </xdr:from>
    <xdr:to>
      <xdr:col>0</xdr:col>
      <xdr:colOff>1117044</xdr:colOff>
      <xdr:row>134</xdr:row>
      <xdr:rowOff>48985</xdr:rowOff>
    </xdr:to>
    <xdr:sp macro="" textlink="">
      <xdr:nvSpPr>
        <xdr:cNvPr id="122" name="正方形/長方形 121">
          <a:extLst>
            <a:ext uri="{FF2B5EF4-FFF2-40B4-BE49-F238E27FC236}">
              <a16:creationId xmlns:a16="http://schemas.microsoft.com/office/drawing/2014/main" id="{4317B1EF-883F-49C2-B004-B5C4BE8EB86B}"/>
            </a:ext>
          </a:extLst>
        </xdr:cNvPr>
        <xdr:cNvSpPr/>
      </xdr:nvSpPr>
      <xdr:spPr>
        <a:xfrm>
          <a:off x="176927" y="22765090"/>
          <a:ext cx="940117" cy="229620"/>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104094</xdr:rowOff>
    </xdr:from>
    <xdr:to>
      <xdr:col>0</xdr:col>
      <xdr:colOff>1117044</xdr:colOff>
      <xdr:row>132</xdr:row>
      <xdr:rowOff>162265</xdr:rowOff>
    </xdr:to>
    <xdr:sp macro="" textlink="">
      <xdr:nvSpPr>
        <xdr:cNvPr id="120" name="正方形/長方形 119">
          <a:extLst>
            <a:ext uri="{FF2B5EF4-FFF2-40B4-BE49-F238E27FC236}">
              <a16:creationId xmlns:a16="http://schemas.microsoft.com/office/drawing/2014/main" id="{EA81A3C4-D6F5-4956-B11D-C935E8D91C5B}"/>
            </a:ext>
          </a:extLst>
        </xdr:cNvPr>
        <xdr:cNvSpPr/>
      </xdr:nvSpPr>
      <xdr:spPr>
        <a:xfrm>
          <a:off x="176927" y="22535469"/>
          <a:ext cx="940117" cy="2296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58170</xdr:rowOff>
    </xdr:from>
    <xdr:to>
      <xdr:col>0</xdr:col>
      <xdr:colOff>1117044</xdr:colOff>
      <xdr:row>131</xdr:row>
      <xdr:rowOff>104094</xdr:rowOff>
    </xdr:to>
    <xdr:sp macro="" textlink="">
      <xdr:nvSpPr>
        <xdr:cNvPr id="118" name="正方形/長方形 117">
          <a:extLst>
            <a:ext uri="{FF2B5EF4-FFF2-40B4-BE49-F238E27FC236}">
              <a16:creationId xmlns:a16="http://schemas.microsoft.com/office/drawing/2014/main" id="{B34FEDC7-8D94-421C-9463-FA19BAC87FC0}"/>
            </a:ext>
          </a:extLst>
        </xdr:cNvPr>
        <xdr:cNvSpPr/>
      </xdr:nvSpPr>
      <xdr:spPr>
        <a:xfrm>
          <a:off x="176927" y="22489545"/>
          <a:ext cx="940117" cy="45924"/>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42863</xdr:rowOff>
    </xdr:from>
    <xdr:to>
      <xdr:col>0</xdr:col>
      <xdr:colOff>1117044</xdr:colOff>
      <xdr:row>131</xdr:row>
      <xdr:rowOff>58170</xdr:rowOff>
    </xdr:to>
    <xdr:sp macro="" textlink="">
      <xdr:nvSpPr>
        <xdr:cNvPr id="116" name="正方形/長方形 115">
          <a:extLst>
            <a:ext uri="{FF2B5EF4-FFF2-40B4-BE49-F238E27FC236}">
              <a16:creationId xmlns:a16="http://schemas.microsoft.com/office/drawing/2014/main" id="{D17244AC-CEDC-4ED7-A56C-6A70CD0CADD9}"/>
            </a:ext>
          </a:extLst>
        </xdr:cNvPr>
        <xdr:cNvSpPr/>
      </xdr:nvSpPr>
      <xdr:spPr>
        <a:xfrm>
          <a:off x="176927" y="22474238"/>
          <a:ext cx="940117" cy="1530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115</xdr:row>
      <xdr:rowOff>47625</xdr:rowOff>
    </xdr:from>
    <xdr:to>
      <xdr:col>0</xdr:col>
      <xdr:colOff>1117044</xdr:colOff>
      <xdr:row>118</xdr:row>
      <xdr:rowOff>104775</xdr:rowOff>
    </xdr:to>
    <xdr:sp macro="" textlink="">
      <xdr:nvSpPr>
        <xdr:cNvPr id="112" name="正方形/長方形 111">
          <a:extLst>
            <a:ext uri="{FF2B5EF4-FFF2-40B4-BE49-F238E27FC236}">
              <a16:creationId xmlns:a16="http://schemas.microsoft.com/office/drawing/2014/main" id="{FCECD05A-193C-499F-9EC8-D2D40EB4C3B7}"/>
            </a:ext>
          </a:extLst>
        </xdr:cNvPr>
        <xdr:cNvSpPr/>
      </xdr:nvSpPr>
      <xdr:spPr>
        <a:xfrm>
          <a:off x="176927" y="19735800"/>
          <a:ext cx="940117" cy="571500"/>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104775</xdr:rowOff>
    </xdr:from>
    <xdr:to>
      <xdr:col>0</xdr:col>
      <xdr:colOff>1117044</xdr:colOff>
      <xdr:row>115</xdr:row>
      <xdr:rowOff>47625</xdr:rowOff>
    </xdr:to>
    <xdr:sp macro="" textlink="">
      <xdr:nvSpPr>
        <xdr:cNvPr id="110" name="正方形/長方形 109">
          <a:extLst>
            <a:ext uri="{FF2B5EF4-FFF2-40B4-BE49-F238E27FC236}">
              <a16:creationId xmlns:a16="http://schemas.microsoft.com/office/drawing/2014/main" id="{B38565C9-FC07-493B-B67C-30FBE9D498B5}"/>
            </a:ext>
          </a:extLst>
        </xdr:cNvPr>
        <xdr:cNvSpPr/>
      </xdr:nvSpPr>
      <xdr:spPr>
        <a:xfrm>
          <a:off x="176927" y="19621500"/>
          <a:ext cx="940117" cy="1143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66675</xdr:rowOff>
    </xdr:from>
    <xdr:to>
      <xdr:col>0</xdr:col>
      <xdr:colOff>1117044</xdr:colOff>
      <xdr:row>114</xdr:row>
      <xdr:rowOff>104775</xdr:rowOff>
    </xdr:to>
    <xdr:sp macro="" textlink="">
      <xdr:nvSpPr>
        <xdr:cNvPr id="108" name="正方形/長方形 107">
          <a:extLst>
            <a:ext uri="{FF2B5EF4-FFF2-40B4-BE49-F238E27FC236}">
              <a16:creationId xmlns:a16="http://schemas.microsoft.com/office/drawing/2014/main" id="{D9C98221-2488-4428-BAC2-E4CD415469D3}"/>
            </a:ext>
          </a:extLst>
        </xdr:cNvPr>
        <xdr:cNvSpPr/>
      </xdr:nvSpPr>
      <xdr:spPr>
        <a:xfrm>
          <a:off x="176927" y="19583400"/>
          <a:ext cx="940117" cy="3810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85725</xdr:rowOff>
    </xdr:from>
    <xdr:to>
      <xdr:col>6</xdr:col>
      <xdr:colOff>1117044</xdr:colOff>
      <xdr:row>99</xdr:row>
      <xdr:rowOff>123825</xdr:rowOff>
    </xdr:to>
    <xdr:sp macro="" textlink="">
      <xdr:nvSpPr>
        <xdr:cNvPr id="104" name="正方形/長方形 103">
          <a:extLst>
            <a:ext uri="{FF2B5EF4-FFF2-40B4-BE49-F238E27FC236}">
              <a16:creationId xmlns:a16="http://schemas.microsoft.com/office/drawing/2014/main" id="{95211749-8487-4752-99C5-CBAFD3F5A44D}"/>
            </a:ext>
          </a:extLst>
        </xdr:cNvPr>
        <xdr:cNvSpPr/>
      </xdr:nvSpPr>
      <xdr:spPr>
        <a:xfrm>
          <a:off x="5177552" y="170307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47625</xdr:rowOff>
    </xdr:from>
    <xdr:to>
      <xdr:col>6</xdr:col>
      <xdr:colOff>1117044</xdr:colOff>
      <xdr:row>99</xdr:row>
      <xdr:rowOff>85725</xdr:rowOff>
    </xdr:to>
    <xdr:sp macro="" textlink="">
      <xdr:nvSpPr>
        <xdr:cNvPr id="102" name="正方形/長方形 101">
          <a:extLst>
            <a:ext uri="{FF2B5EF4-FFF2-40B4-BE49-F238E27FC236}">
              <a16:creationId xmlns:a16="http://schemas.microsoft.com/office/drawing/2014/main" id="{693EB94F-1487-4512-8F6D-EB5CDBB7807B}"/>
            </a:ext>
          </a:extLst>
        </xdr:cNvPr>
        <xdr:cNvSpPr/>
      </xdr:nvSpPr>
      <xdr:spPr>
        <a:xfrm>
          <a:off x="5177552" y="169926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84</xdr:row>
      <xdr:rowOff>113156</xdr:rowOff>
    </xdr:from>
    <xdr:to>
      <xdr:col>6</xdr:col>
      <xdr:colOff>1117044</xdr:colOff>
      <xdr:row>84</xdr:row>
      <xdr:rowOff>128586</xdr:rowOff>
    </xdr:to>
    <xdr:sp macro="" textlink="">
      <xdr:nvSpPr>
        <xdr:cNvPr id="98" name="正方形/長方形 97">
          <a:extLst>
            <a:ext uri="{FF2B5EF4-FFF2-40B4-BE49-F238E27FC236}">
              <a16:creationId xmlns:a16="http://schemas.microsoft.com/office/drawing/2014/main" id="{2D35FB63-B2BF-477B-B70F-0839FC76C62D}"/>
            </a:ext>
          </a:extLst>
        </xdr:cNvPr>
        <xdr:cNvSpPr/>
      </xdr:nvSpPr>
      <xdr:spPr>
        <a:xfrm>
          <a:off x="5177552" y="14486381"/>
          <a:ext cx="940117" cy="1543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104584</xdr:rowOff>
    </xdr:from>
    <xdr:to>
      <xdr:col>6</xdr:col>
      <xdr:colOff>1117044</xdr:colOff>
      <xdr:row>81</xdr:row>
      <xdr:rowOff>164592</xdr:rowOff>
    </xdr:to>
    <xdr:sp macro="" textlink="">
      <xdr:nvSpPr>
        <xdr:cNvPr id="95" name="正方形/長方形 94">
          <a:extLst>
            <a:ext uri="{FF2B5EF4-FFF2-40B4-BE49-F238E27FC236}">
              <a16:creationId xmlns:a16="http://schemas.microsoft.com/office/drawing/2014/main" id="{731BB686-EECC-4142-A9A2-189E81FE7597}"/>
            </a:ext>
          </a:extLst>
        </xdr:cNvPr>
        <xdr:cNvSpPr/>
      </xdr:nvSpPr>
      <xdr:spPr>
        <a:xfrm>
          <a:off x="5177552" y="13792009"/>
          <a:ext cx="940117" cy="231458"/>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58293</xdr:rowOff>
    </xdr:from>
    <xdr:to>
      <xdr:col>6</xdr:col>
      <xdr:colOff>1117044</xdr:colOff>
      <xdr:row>80</xdr:row>
      <xdr:rowOff>104584</xdr:rowOff>
    </xdr:to>
    <xdr:sp macro="" textlink="">
      <xdr:nvSpPr>
        <xdr:cNvPr id="93" name="正方形/長方形 92">
          <a:extLst>
            <a:ext uri="{FF2B5EF4-FFF2-40B4-BE49-F238E27FC236}">
              <a16:creationId xmlns:a16="http://schemas.microsoft.com/office/drawing/2014/main" id="{6C229910-117B-4AA0-BDE0-B0A31C631A0C}"/>
            </a:ext>
          </a:extLst>
        </xdr:cNvPr>
        <xdr:cNvSpPr/>
      </xdr:nvSpPr>
      <xdr:spPr>
        <a:xfrm>
          <a:off x="5177552" y="13745718"/>
          <a:ext cx="940117" cy="46291"/>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42863</xdr:rowOff>
    </xdr:from>
    <xdr:to>
      <xdr:col>6</xdr:col>
      <xdr:colOff>1117044</xdr:colOff>
      <xdr:row>80</xdr:row>
      <xdr:rowOff>58293</xdr:rowOff>
    </xdr:to>
    <xdr:sp macro="" textlink="">
      <xdr:nvSpPr>
        <xdr:cNvPr id="91" name="正方形/長方形 90">
          <a:extLst>
            <a:ext uri="{FF2B5EF4-FFF2-40B4-BE49-F238E27FC236}">
              <a16:creationId xmlns:a16="http://schemas.microsoft.com/office/drawing/2014/main" id="{D33F72A8-01E8-400C-95EA-CBC64C16CC28}"/>
            </a:ext>
          </a:extLst>
        </xdr:cNvPr>
        <xdr:cNvSpPr/>
      </xdr:nvSpPr>
      <xdr:spPr>
        <a:xfrm>
          <a:off x="5177552" y="13730288"/>
          <a:ext cx="940117" cy="1543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116342</xdr:rowOff>
    </xdr:from>
    <xdr:to>
      <xdr:col>6</xdr:col>
      <xdr:colOff>1117044</xdr:colOff>
      <xdr:row>50</xdr:row>
      <xdr:rowOff>128588</xdr:rowOff>
    </xdr:to>
    <xdr:sp macro="" textlink="">
      <xdr:nvSpPr>
        <xdr:cNvPr id="60" name="正方形/長方形 59">
          <a:extLst>
            <a:ext uri="{FF2B5EF4-FFF2-40B4-BE49-F238E27FC236}">
              <a16:creationId xmlns:a16="http://schemas.microsoft.com/office/drawing/2014/main" id="{250E7E6F-05A9-499C-8EEA-56F3F69A7ED5}"/>
            </a:ext>
          </a:extLst>
        </xdr:cNvPr>
        <xdr:cNvSpPr/>
      </xdr:nvSpPr>
      <xdr:spPr>
        <a:xfrm>
          <a:off x="5177552" y="8660267"/>
          <a:ext cx="940117" cy="12246"/>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104095</xdr:rowOff>
    </xdr:from>
    <xdr:to>
      <xdr:col>6</xdr:col>
      <xdr:colOff>1117044</xdr:colOff>
      <xdr:row>50</xdr:row>
      <xdr:rowOff>116342</xdr:rowOff>
    </xdr:to>
    <xdr:sp macro="" textlink="">
      <xdr:nvSpPr>
        <xdr:cNvPr id="58" name="正方形/長方形 57">
          <a:extLst>
            <a:ext uri="{FF2B5EF4-FFF2-40B4-BE49-F238E27FC236}">
              <a16:creationId xmlns:a16="http://schemas.microsoft.com/office/drawing/2014/main" id="{DF40B598-D59D-461E-BC53-D4A210EF1871}"/>
            </a:ext>
          </a:extLst>
        </xdr:cNvPr>
        <xdr:cNvSpPr/>
      </xdr:nvSpPr>
      <xdr:spPr>
        <a:xfrm>
          <a:off x="5177552" y="8648020"/>
          <a:ext cx="940117" cy="1224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67356</xdr:rowOff>
    </xdr:from>
    <xdr:to>
      <xdr:col>6</xdr:col>
      <xdr:colOff>1117044</xdr:colOff>
      <xdr:row>48</xdr:row>
      <xdr:rowOff>79602</xdr:rowOff>
    </xdr:to>
    <xdr:sp macro="" textlink="">
      <xdr:nvSpPr>
        <xdr:cNvPr id="55" name="正方形/長方形 54">
          <a:extLst>
            <a:ext uri="{FF2B5EF4-FFF2-40B4-BE49-F238E27FC236}">
              <a16:creationId xmlns:a16="http://schemas.microsoft.com/office/drawing/2014/main" id="{08BC30CD-AEC2-4048-9ACC-43A9A1495AA2}"/>
            </a:ext>
          </a:extLst>
        </xdr:cNvPr>
        <xdr:cNvSpPr/>
      </xdr:nvSpPr>
      <xdr:spPr>
        <a:xfrm>
          <a:off x="5177552" y="8096931"/>
          <a:ext cx="940117" cy="183696"/>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55109</xdr:rowOff>
    </xdr:from>
    <xdr:to>
      <xdr:col>6</xdr:col>
      <xdr:colOff>1117044</xdr:colOff>
      <xdr:row>47</xdr:row>
      <xdr:rowOff>67356</xdr:rowOff>
    </xdr:to>
    <xdr:sp macro="" textlink="">
      <xdr:nvSpPr>
        <xdr:cNvPr id="53" name="正方形/長方形 52">
          <a:extLst>
            <a:ext uri="{FF2B5EF4-FFF2-40B4-BE49-F238E27FC236}">
              <a16:creationId xmlns:a16="http://schemas.microsoft.com/office/drawing/2014/main" id="{AB0438A1-9560-4036-9959-0C8E7902DE03}"/>
            </a:ext>
          </a:extLst>
        </xdr:cNvPr>
        <xdr:cNvSpPr/>
      </xdr:nvSpPr>
      <xdr:spPr>
        <a:xfrm>
          <a:off x="5177552" y="8084684"/>
          <a:ext cx="940117" cy="12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165327</xdr:rowOff>
    </xdr:from>
    <xdr:to>
      <xdr:col>6</xdr:col>
      <xdr:colOff>1117044</xdr:colOff>
      <xdr:row>47</xdr:row>
      <xdr:rowOff>55109</xdr:rowOff>
    </xdr:to>
    <xdr:sp macro="" textlink="">
      <xdr:nvSpPr>
        <xdr:cNvPr id="51" name="正方形/長方形 50">
          <a:extLst>
            <a:ext uri="{FF2B5EF4-FFF2-40B4-BE49-F238E27FC236}">
              <a16:creationId xmlns:a16="http://schemas.microsoft.com/office/drawing/2014/main" id="{F9CCB5E3-532F-4326-9374-EE59FAAC5E2C}"/>
            </a:ext>
          </a:extLst>
        </xdr:cNvPr>
        <xdr:cNvSpPr/>
      </xdr:nvSpPr>
      <xdr:spPr>
        <a:xfrm>
          <a:off x="5177552" y="8023452"/>
          <a:ext cx="940117" cy="61232"/>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165327</xdr:rowOff>
    </xdr:to>
    <xdr:sp macro="" textlink="">
      <xdr:nvSpPr>
        <xdr:cNvPr id="49" name="正方形/長方形 48">
          <a:extLst>
            <a:ext uri="{FF2B5EF4-FFF2-40B4-BE49-F238E27FC236}">
              <a16:creationId xmlns:a16="http://schemas.microsoft.com/office/drawing/2014/main" id="{2C2FFCD0-77DA-49AA-AF39-164513A100A4}"/>
            </a:ext>
          </a:extLst>
        </xdr:cNvPr>
        <xdr:cNvSpPr/>
      </xdr:nvSpPr>
      <xdr:spPr>
        <a:xfrm>
          <a:off x="5177552" y="7900988"/>
          <a:ext cx="940117" cy="122464"/>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67</xdr:row>
      <xdr:rowOff>116143</xdr:rowOff>
    </xdr:from>
    <xdr:to>
      <xdr:col>0</xdr:col>
      <xdr:colOff>1117044</xdr:colOff>
      <xdr:row>67</xdr:row>
      <xdr:rowOff>128588</xdr:rowOff>
    </xdr:to>
    <xdr:sp macro="" textlink="">
      <xdr:nvSpPr>
        <xdr:cNvPr id="45" name="正方形/長方形 44">
          <a:extLst>
            <a:ext uri="{FF2B5EF4-FFF2-40B4-BE49-F238E27FC236}">
              <a16:creationId xmlns:a16="http://schemas.microsoft.com/office/drawing/2014/main" id="{4F7249EE-2DD5-4FDE-A672-8BAA967D2B19}"/>
            </a:ext>
          </a:extLst>
        </xdr:cNvPr>
        <xdr:cNvSpPr/>
      </xdr:nvSpPr>
      <xdr:spPr>
        <a:xfrm>
          <a:off x="176927" y="11574718"/>
          <a:ext cx="940117" cy="1244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70516</xdr:rowOff>
    </xdr:from>
    <xdr:to>
      <xdr:col>0</xdr:col>
      <xdr:colOff>1117044</xdr:colOff>
      <xdr:row>65</xdr:row>
      <xdr:rowOff>85725</xdr:rowOff>
    </xdr:to>
    <xdr:sp macro="" textlink="">
      <xdr:nvSpPr>
        <xdr:cNvPr id="42" name="正方形/長方形 41">
          <a:extLst>
            <a:ext uri="{FF2B5EF4-FFF2-40B4-BE49-F238E27FC236}">
              <a16:creationId xmlns:a16="http://schemas.microsoft.com/office/drawing/2014/main" id="{EB16E356-A329-484B-B1F2-D4B7F36189E2}"/>
            </a:ext>
          </a:extLst>
        </xdr:cNvPr>
        <xdr:cNvSpPr/>
      </xdr:nvSpPr>
      <xdr:spPr>
        <a:xfrm>
          <a:off x="176927" y="110147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58072</xdr:rowOff>
    </xdr:from>
    <xdr:to>
      <xdr:col>0</xdr:col>
      <xdr:colOff>1117044</xdr:colOff>
      <xdr:row>64</xdr:row>
      <xdr:rowOff>70516</xdr:rowOff>
    </xdr:to>
    <xdr:sp macro="" textlink="">
      <xdr:nvSpPr>
        <xdr:cNvPr id="40" name="正方形/長方形 39">
          <a:extLst>
            <a:ext uri="{FF2B5EF4-FFF2-40B4-BE49-F238E27FC236}">
              <a16:creationId xmlns:a16="http://schemas.microsoft.com/office/drawing/2014/main" id="{BD6E5F75-56DE-4F35-868D-F797DB020353}"/>
            </a:ext>
          </a:extLst>
        </xdr:cNvPr>
        <xdr:cNvSpPr/>
      </xdr:nvSpPr>
      <xdr:spPr>
        <a:xfrm>
          <a:off x="176927" y="1100229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167302</xdr:rowOff>
    </xdr:from>
    <xdr:to>
      <xdr:col>0</xdr:col>
      <xdr:colOff>1117044</xdr:colOff>
      <xdr:row>64</xdr:row>
      <xdr:rowOff>58072</xdr:rowOff>
    </xdr:to>
    <xdr:sp macro="" textlink="">
      <xdr:nvSpPr>
        <xdr:cNvPr id="38" name="正方形/長方形 37">
          <a:extLst>
            <a:ext uri="{FF2B5EF4-FFF2-40B4-BE49-F238E27FC236}">
              <a16:creationId xmlns:a16="http://schemas.microsoft.com/office/drawing/2014/main" id="{5ADCCBFB-F965-4607-9924-D861FC75565D}"/>
            </a:ext>
          </a:extLst>
        </xdr:cNvPr>
        <xdr:cNvSpPr/>
      </xdr:nvSpPr>
      <xdr:spPr>
        <a:xfrm>
          <a:off x="176927" y="10940077"/>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42863</xdr:rowOff>
    </xdr:from>
    <xdr:to>
      <xdr:col>0</xdr:col>
      <xdr:colOff>1117044</xdr:colOff>
      <xdr:row>63</xdr:row>
      <xdr:rowOff>167302</xdr:rowOff>
    </xdr:to>
    <xdr:sp macro="" textlink="">
      <xdr:nvSpPr>
        <xdr:cNvPr id="36" name="正方形/長方形 35">
          <a:extLst>
            <a:ext uri="{FF2B5EF4-FFF2-40B4-BE49-F238E27FC236}">
              <a16:creationId xmlns:a16="http://schemas.microsoft.com/office/drawing/2014/main" id="{2EF93160-47D2-4D5F-A6D8-72446A1CF71C}"/>
            </a:ext>
          </a:extLst>
        </xdr:cNvPr>
        <xdr:cNvSpPr/>
      </xdr:nvSpPr>
      <xdr:spPr>
        <a:xfrm>
          <a:off x="176927" y="108156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E74FF510-D513-4FF9-8EE6-A0EA321BB110}"/>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546861</xdr:colOff>
      <xdr:row>19</xdr:row>
      <xdr:rowOff>3810</xdr:rowOff>
    </xdr:to>
    <xdr:sp macro="" textlink="">
      <xdr:nvSpPr>
        <xdr:cNvPr id="3" name="正方形/長方形 2">
          <a:extLst>
            <a:ext uri="{FF2B5EF4-FFF2-40B4-BE49-F238E27FC236}">
              <a16:creationId xmlns:a16="http://schemas.microsoft.com/office/drawing/2014/main" id="{F7330FA5-6B49-456A-AD65-FE84753003A5}"/>
            </a:ext>
          </a:extLst>
        </xdr:cNvPr>
        <xdr:cNvSpPr/>
      </xdr:nvSpPr>
      <xdr:spPr>
        <a:xfrm>
          <a:off x="302181" y="1861185"/>
          <a:ext cx="244680"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367371</xdr:colOff>
      <xdr:row>10</xdr:row>
      <xdr:rowOff>13335</xdr:rowOff>
    </xdr:from>
    <xdr:to>
      <xdr:col>0</xdr:col>
      <xdr:colOff>481671</xdr:colOff>
      <xdr:row>10</xdr:row>
      <xdr:rowOff>137160</xdr:rowOff>
    </xdr:to>
    <xdr:sp macro="" textlink="">
      <xdr:nvSpPr>
        <xdr:cNvPr id="4" name="テキスト ボックス 3">
          <a:extLst>
            <a:ext uri="{FF2B5EF4-FFF2-40B4-BE49-F238E27FC236}">
              <a16:creationId xmlns:a16="http://schemas.microsoft.com/office/drawing/2014/main" id="{6CCF78B6-1475-4D5F-AC31-170BA059461B}"/>
            </a:ext>
          </a:extLst>
        </xdr:cNvPr>
        <xdr:cNvSpPr txBox="1"/>
      </xdr:nvSpPr>
      <xdr:spPr>
        <a:xfrm>
          <a:off x="3673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546861</xdr:colOff>
      <xdr:row>11</xdr:row>
      <xdr:rowOff>3810</xdr:rowOff>
    </xdr:from>
    <xdr:to>
      <xdr:col>0</xdr:col>
      <xdr:colOff>608031</xdr:colOff>
      <xdr:row>19</xdr:row>
      <xdr:rowOff>3810</xdr:rowOff>
    </xdr:to>
    <xdr:sp macro="" textlink="">
      <xdr:nvSpPr>
        <xdr:cNvPr id="5" name="正方形/長方形 4">
          <a:extLst>
            <a:ext uri="{FF2B5EF4-FFF2-40B4-BE49-F238E27FC236}">
              <a16:creationId xmlns:a16="http://schemas.microsoft.com/office/drawing/2014/main" id="{823234D1-C1AD-425F-A3C5-6C68DC7F2D71}"/>
            </a:ext>
          </a:extLst>
        </xdr:cNvPr>
        <xdr:cNvSpPr/>
      </xdr:nvSpPr>
      <xdr:spPr>
        <a:xfrm>
          <a:off x="546861" y="1861185"/>
          <a:ext cx="6117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520296</xdr:colOff>
      <xdr:row>10</xdr:row>
      <xdr:rowOff>13335</xdr:rowOff>
    </xdr:from>
    <xdr:to>
      <xdr:col>0</xdr:col>
      <xdr:colOff>634596</xdr:colOff>
      <xdr:row>10</xdr:row>
      <xdr:rowOff>137160</xdr:rowOff>
    </xdr:to>
    <xdr:sp macro="" textlink="">
      <xdr:nvSpPr>
        <xdr:cNvPr id="6" name="テキスト ボックス 5">
          <a:extLst>
            <a:ext uri="{FF2B5EF4-FFF2-40B4-BE49-F238E27FC236}">
              <a16:creationId xmlns:a16="http://schemas.microsoft.com/office/drawing/2014/main" id="{8A0A6DBA-6525-4AD7-9A42-073FD3113E94}"/>
            </a:ext>
          </a:extLst>
        </xdr:cNvPr>
        <xdr:cNvSpPr txBox="1"/>
      </xdr:nvSpPr>
      <xdr:spPr>
        <a:xfrm>
          <a:off x="52029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673222</xdr:colOff>
      <xdr:row>10</xdr:row>
      <xdr:rowOff>13335</xdr:rowOff>
    </xdr:from>
    <xdr:to>
      <xdr:col>0</xdr:col>
      <xdr:colOff>787522</xdr:colOff>
      <xdr:row>10</xdr:row>
      <xdr:rowOff>137160</xdr:rowOff>
    </xdr:to>
    <xdr:sp macro="" textlink="">
      <xdr:nvSpPr>
        <xdr:cNvPr id="7" name="テキスト ボックス 6">
          <a:extLst>
            <a:ext uri="{FF2B5EF4-FFF2-40B4-BE49-F238E27FC236}">
              <a16:creationId xmlns:a16="http://schemas.microsoft.com/office/drawing/2014/main" id="{338A9BF4-74F0-41B8-9526-6A7BE3E7A89C}"/>
            </a:ext>
          </a:extLst>
        </xdr:cNvPr>
        <xdr:cNvSpPr txBox="1"/>
      </xdr:nvSpPr>
      <xdr:spPr>
        <a:xfrm>
          <a:off x="67322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852712</xdr:colOff>
      <xdr:row>11</xdr:row>
      <xdr:rowOff>3810</xdr:rowOff>
    </xdr:from>
    <xdr:to>
      <xdr:col>0</xdr:col>
      <xdr:colOff>882074</xdr:colOff>
      <xdr:row>19</xdr:row>
      <xdr:rowOff>3810</xdr:rowOff>
    </xdr:to>
    <xdr:sp macro="" textlink="">
      <xdr:nvSpPr>
        <xdr:cNvPr id="8" name="正方形/長方形 7">
          <a:extLst>
            <a:ext uri="{FF2B5EF4-FFF2-40B4-BE49-F238E27FC236}">
              <a16:creationId xmlns:a16="http://schemas.microsoft.com/office/drawing/2014/main" id="{8D2CBB72-B4C5-4ED7-809C-B97B00F15ABD}"/>
            </a:ext>
          </a:extLst>
        </xdr:cNvPr>
        <xdr:cNvSpPr/>
      </xdr:nvSpPr>
      <xdr:spPr>
        <a:xfrm>
          <a:off x="852712" y="1861185"/>
          <a:ext cx="29362"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810243</xdr:colOff>
      <xdr:row>10</xdr:row>
      <xdr:rowOff>13335</xdr:rowOff>
    </xdr:from>
    <xdr:to>
      <xdr:col>0</xdr:col>
      <xdr:colOff>924543</xdr:colOff>
      <xdr:row>10</xdr:row>
      <xdr:rowOff>137160</xdr:rowOff>
    </xdr:to>
    <xdr:sp macro="" textlink="">
      <xdr:nvSpPr>
        <xdr:cNvPr id="9" name="テキスト ボックス 8">
          <a:extLst>
            <a:ext uri="{FF2B5EF4-FFF2-40B4-BE49-F238E27FC236}">
              <a16:creationId xmlns:a16="http://schemas.microsoft.com/office/drawing/2014/main" id="{5F650D42-F2EC-4D9A-938A-EBC11C73C5E4}"/>
            </a:ext>
          </a:extLst>
        </xdr:cNvPr>
        <xdr:cNvSpPr txBox="1"/>
      </xdr:nvSpPr>
      <xdr:spPr>
        <a:xfrm>
          <a:off x="81024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882074</xdr:colOff>
      <xdr:row>11</xdr:row>
      <xdr:rowOff>3810</xdr:rowOff>
    </xdr:from>
    <xdr:to>
      <xdr:col>0</xdr:col>
      <xdr:colOff>906542</xdr:colOff>
      <xdr:row>19</xdr:row>
      <xdr:rowOff>3810</xdr:rowOff>
    </xdr:to>
    <xdr:sp macro="" textlink="">
      <xdr:nvSpPr>
        <xdr:cNvPr id="10" name="正方形/長方形 9">
          <a:extLst>
            <a:ext uri="{FF2B5EF4-FFF2-40B4-BE49-F238E27FC236}">
              <a16:creationId xmlns:a16="http://schemas.microsoft.com/office/drawing/2014/main" id="{1EC8FAEB-8EB2-466C-9F65-749E06860227}"/>
            </a:ext>
          </a:extLst>
        </xdr:cNvPr>
        <xdr:cNvSpPr/>
      </xdr:nvSpPr>
      <xdr:spPr>
        <a:xfrm>
          <a:off x="882074" y="1861185"/>
          <a:ext cx="24468"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873108</xdr:colOff>
      <xdr:row>10</xdr:row>
      <xdr:rowOff>13335</xdr:rowOff>
    </xdr:from>
    <xdr:to>
      <xdr:col>0</xdr:col>
      <xdr:colOff>987408</xdr:colOff>
      <xdr:row>10</xdr:row>
      <xdr:rowOff>137160</xdr:rowOff>
    </xdr:to>
    <xdr:sp macro="" textlink="">
      <xdr:nvSpPr>
        <xdr:cNvPr id="11" name="テキスト ボックス 10">
          <a:extLst>
            <a:ext uri="{FF2B5EF4-FFF2-40B4-BE49-F238E27FC236}">
              <a16:creationId xmlns:a16="http://schemas.microsoft.com/office/drawing/2014/main" id="{6614A381-6626-4E7C-B2B7-68811708EC41}"/>
            </a:ext>
          </a:extLst>
        </xdr:cNvPr>
        <xdr:cNvSpPr txBox="1"/>
      </xdr:nvSpPr>
      <xdr:spPr>
        <a:xfrm>
          <a:off x="873108"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2" name="テキスト ボックス 11">
          <a:extLst>
            <a:ext uri="{FF2B5EF4-FFF2-40B4-BE49-F238E27FC236}">
              <a16:creationId xmlns:a16="http://schemas.microsoft.com/office/drawing/2014/main" id="{FBE2FC40-8688-4DAC-8D4D-2637B46342EA}"/>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3" name="テキスト ボックス 12">
          <a:extLst>
            <a:ext uri="{FF2B5EF4-FFF2-40B4-BE49-F238E27FC236}">
              <a16:creationId xmlns:a16="http://schemas.microsoft.com/office/drawing/2014/main" id="{0651D999-F950-4803-841E-BD3652211238}"/>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557185</xdr:colOff>
      <xdr:row>36</xdr:row>
      <xdr:rowOff>3810</xdr:rowOff>
    </xdr:to>
    <xdr:sp macro="" textlink="">
      <xdr:nvSpPr>
        <xdr:cNvPr id="14" name="正方形/長方形 13">
          <a:extLst>
            <a:ext uri="{FF2B5EF4-FFF2-40B4-BE49-F238E27FC236}">
              <a16:creationId xmlns:a16="http://schemas.microsoft.com/office/drawing/2014/main" id="{357E3AE7-E15A-4F4F-8E50-DEAB18565F95}"/>
            </a:ext>
          </a:extLst>
        </xdr:cNvPr>
        <xdr:cNvSpPr/>
      </xdr:nvSpPr>
      <xdr:spPr>
        <a:xfrm>
          <a:off x="302181" y="4775835"/>
          <a:ext cx="255004"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372533</xdr:colOff>
      <xdr:row>27</xdr:row>
      <xdr:rowOff>13335</xdr:rowOff>
    </xdr:from>
    <xdr:to>
      <xdr:col>0</xdr:col>
      <xdr:colOff>486833</xdr:colOff>
      <xdr:row>27</xdr:row>
      <xdr:rowOff>137160</xdr:rowOff>
    </xdr:to>
    <xdr:sp macro="" textlink="">
      <xdr:nvSpPr>
        <xdr:cNvPr id="15" name="テキスト ボックス 14">
          <a:extLst>
            <a:ext uri="{FF2B5EF4-FFF2-40B4-BE49-F238E27FC236}">
              <a16:creationId xmlns:a16="http://schemas.microsoft.com/office/drawing/2014/main" id="{C83E07AD-AC6F-492B-B2C0-6B2B85CC41D1}"/>
            </a:ext>
          </a:extLst>
        </xdr:cNvPr>
        <xdr:cNvSpPr txBox="1"/>
      </xdr:nvSpPr>
      <xdr:spPr>
        <a:xfrm>
          <a:off x="372533"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557185</xdr:colOff>
      <xdr:row>28</xdr:row>
      <xdr:rowOff>3810</xdr:rowOff>
    </xdr:from>
    <xdr:to>
      <xdr:col>0</xdr:col>
      <xdr:colOff>620937</xdr:colOff>
      <xdr:row>36</xdr:row>
      <xdr:rowOff>3810</xdr:rowOff>
    </xdr:to>
    <xdr:sp macro="" textlink="">
      <xdr:nvSpPr>
        <xdr:cNvPr id="16" name="正方形/長方形 15">
          <a:extLst>
            <a:ext uri="{FF2B5EF4-FFF2-40B4-BE49-F238E27FC236}">
              <a16:creationId xmlns:a16="http://schemas.microsoft.com/office/drawing/2014/main" id="{FFEF19EF-4422-457F-AC59-8206A6BD2D40}"/>
            </a:ext>
          </a:extLst>
        </xdr:cNvPr>
        <xdr:cNvSpPr/>
      </xdr:nvSpPr>
      <xdr:spPr>
        <a:xfrm>
          <a:off x="557185" y="4775835"/>
          <a:ext cx="6375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531911</xdr:colOff>
      <xdr:row>27</xdr:row>
      <xdr:rowOff>13335</xdr:rowOff>
    </xdr:from>
    <xdr:to>
      <xdr:col>0</xdr:col>
      <xdr:colOff>646211</xdr:colOff>
      <xdr:row>27</xdr:row>
      <xdr:rowOff>137160</xdr:rowOff>
    </xdr:to>
    <xdr:sp macro="" textlink="">
      <xdr:nvSpPr>
        <xdr:cNvPr id="17" name="テキスト ボックス 16">
          <a:extLst>
            <a:ext uri="{FF2B5EF4-FFF2-40B4-BE49-F238E27FC236}">
              <a16:creationId xmlns:a16="http://schemas.microsoft.com/office/drawing/2014/main" id="{FABD7AE8-4804-4E16-8A1E-A55E427DD55C}"/>
            </a:ext>
          </a:extLst>
        </xdr:cNvPr>
        <xdr:cNvSpPr txBox="1"/>
      </xdr:nvSpPr>
      <xdr:spPr>
        <a:xfrm>
          <a:off x="5319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691289</xdr:colOff>
      <xdr:row>27</xdr:row>
      <xdr:rowOff>13335</xdr:rowOff>
    </xdr:from>
    <xdr:to>
      <xdr:col>0</xdr:col>
      <xdr:colOff>805589</xdr:colOff>
      <xdr:row>27</xdr:row>
      <xdr:rowOff>137160</xdr:rowOff>
    </xdr:to>
    <xdr:sp macro="" textlink="">
      <xdr:nvSpPr>
        <xdr:cNvPr id="18" name="テキスト ボックス 17">
          <a:extLst>
            <a:ext uri="{FF2B5EF4-FFF2-40B4-BE49-F238E27FC236}">
              <a16:creationId xmlns:a16="http://schemas.microsoft.com/office/drawing/2014/main" id="{CBB8B5B1-B837-454D-9E78-D671FBE46C5D}"/>
            </a:ext>
          </a:extLst>
        </xdr:cNvPr>
        <xdr:cNvSpPr txBox="1"/>
      </xdr:nvSpPr>
      <xdr:spPr>
        <a:xfrm>
          <a:off x="69128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875941</xdr:colOff>
      <xdr:row>28</xdr:row>
      <xdr:rowOff>3810</xdr:rowOff>
    </xdr:from>
    <xdr:to>
      <xdr:col>0</xdr:col>
      <xdr:colOff>906542</xdr:colOff>
      <xdr:row>36</xdr:row>
      <xdr:rowOff>3810</xdr:rowOff>
    </xdr:to>
    <xdr:sp macro="" textlink="">
      <xdr:nvSpPr>
        <xdr:cNvPr id="19" name="正方形/長方形 18">
          <a:extLst>
            <a:ext uri="{FF2B5EF4-FFF2-40B4-BE49-F238E27FC236}">
              <a16:creationId xmlns:a16="http://schemas.microsoft.com/office/drawing/2014/main" id="{C3976254-E4EA-4B57-B8B4-A06A5C23D41F}"/>
            </a:ext>
          </a:extLst>
        </xdr:cNvPr>
        <xdr:cNvSpPr/>
      </xdr:nvSpPr>
      <xdr:spPr>
        <a:xfrm>
          <a:off x="875941" y="4775835"/>
          <a:ext cx="3060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834092</xdr:colOff>
      <xdr:row>27</xdr:row>
      <xdr:rowOff>13335</xdr:rowOff>
    </xdr:from>
    <xdr:to>
      <xdr:col>0</xdr:col>
      <xdr:colOff>948392</xdr:colOff>
      <xdr:row>27</xdr:row>
      <xdr:rowOff>137160</xdr:rowOff>
    </xdr:to>
    <xdr:sp macro="" textlink="">
      <xdr:nvSpPr>
        <xdr:cNvPr id="20" name="テキスト ボックス 19">
          <a:extLst>
            <a:ext uri="{FF2B5EF4-FFF2-40B4-BE49-F238E27FC236}">
              <a16:creationId xmlns:a16="http://schemas.microsoft.com/office/drawing/2014/main" id="{CFE0E7F5-3888-4234-B6F7-73D3DF807BDD}"/>
            </a:ext>
          </a:extLst>
        </xdr:cNvPr>
        <xdr:cNvSpPr txBox="1"/>
      </xdr:nvSpPr>
      <xdr:spPr>
        <a:xfrm>
          <a:off x="83409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1" name="テキスト ボックス 20">
          <a:extLst>
            <a:ext uri="{FF2B5EF4-FFF2-40B4-BE49-F238E27FC236}">
              <a16:creationId xmlns:a16="http://schemas.microsoft.com/office/drawing/2014/main" id="{4330D730-2516-41F5-BEB1-DAE0A11D1788}"/>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11</xdr:row>
      <xdr:rowOff>3810</xdr:rowOff>
    </xdr:from>
    <xdr:to>
      <xdr:col>6</xdr:col>
      <xdr:colOff>617791</xdr:colOff>
      <xdr:row>19</xdr:row>
      <xdr:rowOff>3810</xdr:rowOff>
    </xdr:to>
    <xdr:sp macro="" textlink="">
      <xdr:nvSpPr>
        <xdr:cNvPr id="22" name="正方形/長方形 21">
          <a:extLst>
            <a:ext uri="{FF2B5EF4-FFF2-40B4-BE49-F238E27FC236}">
              <a16:creationId xmlns:a16="http://schemas.microsoft.com/office/drawing/2014/main" id="{A2A1D34C-F97B-47D2-BC00-2ABB378D482C}"/>
            </a:ext>
          </a:extLst>
        </xdr:cNvPr>
        <xdr:cNvSpPr/>
      </xdr:nvSpPr>
      <xdr:spPr>
        <a:xfrm>
          <a:off x="5591556"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3" name="テキスト ボックス 22">
          <a:extLst>
            <a:ext uri="{FF2B5EF4-FFF2-40B4-BE49-F238E27FC236}">
              <a16:creationId xmlns:a16="http://schemas.microsoft.com/office/drawing/2014/main" id="{E6CE0DF8-923A-46F3-9125-8E4F05C7CBEB}"/>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13</xdr:row>
      <xdr:rowOff>97474</xdr:rowOff>
    </xdr:from>
    <xdr:to>
      <xdr:col>6</xdr:col>
      <xdr:colOff>683198</xdr:colOff>
      <xdr:row>16</xdr:row>
      <xdr:rowOff>81594</xdr:rowOff>
    </xdr:to>
    <xdr:sp macro="" textlink="">
      <xdr:nvSpPr>
        <xdr:cNvPr id="24" name="テキスト ボックス 23">
          <a:extLst>
            <a:ext uri="{FF2B5EF4-FFF2-40B4-BE49-F238E27FC236}">
              <a16:creationId xmlns:a16="http://schemas.microsoft.com/office/drawing/2014/main" id="{A368A3C5-2D39-4B6C-9DF7-BF28A8909A62}"/>
            </a:ext>
          </a:extLst>
        </xdr:cNvPr>
        <xdr:cNvSpPr txBox="1"/>
      </xdr:nvSpPr>
      <xdr:spPr>
        <a:xfrm>
          <a:off x="529608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13</xdr:row>
      <xdr:rowOff>97474</xdr:rowOff>
    </xdr:from>
    <xdr:to>
      <xdr:col>6</xdr:col>
      <xdr:colOff>1116458</xdr:colOff>
      <xdr:row>16</xdr:row>
      <xdr:rowOff>81594</xdr:rowOff>
    </xdr:to>
    <xdr:sp macro="" textlink="">
      <xdr:nvSpPr>
        <xdr:cNvPr id="25" name="テキスト ボックス 24">
          <a:extLst>
            <a:ext uri="{FF2B5EF4-FFF2-40B4-BE49-F238E27FC236}">
              <a16:creationId xmlns:a16="http://schemas.microsoft.com/office/drawing/2014/main" id="{437C0B73-550C-4463-9543-F8AAA20A8F4D}"/>
            </a:ext>
          </a:extLst>
        </xdr:cNvPr>
        <xdr:cNvSpPr txBox="1"/>
      </xdr:nvSpPr>
      <xdr:spPr>
        <a:xfrm>
          <a:off x="572934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28</xdr:row>
      <xdr:rowOff>3810</xdr:rowOff>
    </xdr:from>
    <xdr:to>
      <xdr:col>6</xdr:col>
      <xdr:colOff>617791</xdr:colOff>
      <xdr:row>36</xdr:row>
      <xdr:rowOff>3810</xdr:rowOff>
    </xdr:to>
    <xdr:sp macro="" textlink="">
      <xdr:nvSpPr>
        <xdr:cNvPr id="26" name="正方形/長方形 25">
          <a:extLst>
            <a:ext uri="{FF2B5EF4-FFF2-40B4-BE49-F238E27FC236}">
              <a16:creationId xmlns:a16="http://schemas.microsoft.com/office/drawing/2014/main" id="{14D340D8-F045-4B30-84DD-6CEBF11C4F81}"/>
            </a:ext>
          </a:extLst>
        </xdr:cNvPr>
        <xdr:cNvSpPr/>
      </xdr:nvSpPr>
      <xdr:spPr>
        <a:xfrm>
          <a:off x="5591556" y="477583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27</xdr:row>
      <xdr:rowOff>13335</xdr:rowOff>
    </xdr:from>
    <xdr:to>
      <xdr:col>6</xdr:col>
      <xdr:colOff>655161</xdr:colOff>
      <xdr:row>27</xdr:row>
      <xdr:rowOff>137160</xdr:rowOff>
    </xdr:to>
    <xdr:sp macro="" textlink="">
      <xdr:nvSpPr>
        <xdr:cNvPr id="27" name="テキスト ボックス 26">
          <a:extLst>
            <a:ext uri="{FF2B5EF4-FFF2-40B4-BE49-F238E27FC236}">
              <a16:creationId xmlns:a16="http://schemas.microsoft.com/office/drawing/2014/main" id="{C63D77BE-5DAC-450F-B714-4C1F0DE48B2C}"/>
            </a:ext>
          </a:extLst>
        </xdr:cNvPr>
        <xdr:cNvSpPr txBox="1"/>
      </xdr:nvSpPr>
      <xdr:spPr>
        <a:xfrm>
          <a:off x="5554186" y="461391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30</xdr:row>
      <xdr:rowOff>97474</xdr:rowOff>
    </xdr:from>
    <xdr:to>
      <xdr:col>6</xdr:col>
      <xdr:colOff>683198</xdr:colOff>
      <xdr:row>33</xdr:row>
      <xdr:rowOff>81594</xdr:rowOff>
    </xdr:to>
    <xdr:sp macro="" textlink="">
      <xdr:nvSpPr>
        <xdr:cNvPr id="28" name="テキスト ボックス 27">
          <a:extLst>
            <a:ext uri="{FF2B5EF4-FFF2-40B4-BE49-F238E27FC236}">
              <a16:creationId xmlns:a16="http://schemas.microsoft.com/office/drawing/2014/main" id="{045537AD-4082-44F0-8B52-3AA4D0BB1D11}"/>
            </a:ext>
          </a:extLst>
        </xdr:cNvPr>
        <xdr:cNvSpPr txBox="1"/>
      </xdr:nvSpPr>
      <xdr:spPr>
        <a:xfrm>
          <a:off x="529608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30</xdr:row>
      <xdr:rowOff>97474</xdr:rowOff>
    </xdr:from>
    <xdr:to>
      <xdr:col>6</xdr:col>
      <xdr:colOff>1116458</xdr:colOff>
      <xdr:row>33</xdr:row>
      <xdr:rowOff>81594</xdr:rowOff>
    </xdr:to>
    <xdr:sp macro="" textlink="">
      <xdr:nvSpPr>
        <xdr:cNvPr id="29" name="テキスト ボックス 28">
          <a:extLst>
            <a:ext uri="{FF2B5EF4-FFF2-40B4-BE49-F238E27FC236}">
              <a16:creationId xmlns:a16="http://schemas.microsoft.com/office/drawing/2014/main" id="{F193D22F-ECE3-4DDA-917A-87843F3C80D9}"/>
            </a:ext>
          </a:extLst>
        </xdr:cNvPr>
        <xdr:cNvSpPr txBox="1"/>
      </xdr:nvSpPr>
      <xdr:spPr>
        <a:xfrm>
          <a:off x="572934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553561</xdr:colOff>
      <xdr:row>44</xdr:row>
      <xdr:rowOff>13335</xdr:rowOff>
    </xdr:from>
    <xdr:to>
      <xdr:col>0</xdr:col>
      <xdr:colOff>655161</xdr:colOff>
      <xdr:row>44</xdr:row>
      <xdr:rowOff>137160</xdr:rowOff>
    </xdr:to>
    <xdr:sp macro="" textlink="">
      <xdr:nvSpPr>
        <xdr:cNvPr id="30" name="テキスト ボックス 29">
          <a:extLst>
            <a:ext uri="{FF2B5EF4-FFF2-40B4-BE49-F238E27FC236}">
              <a16:creationId xmlns:a16="http://schemas.microsoft.com/office/drawing/2014/main" id="{AD0A01B4-1714-4458-A7F0-04BBAC24FD30}"/>
            </a:ext>
          </a:extLst>
        </xdr:cNvPr>
        <xdr:cNvSpPr txBox="1"/>
      </xdr:nvSpPr>
      <xdr:spPr>
        <a:xfrm>
          <a:off x="553561" y="75285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228312</xdr:colOff>
      <xdr:row>47</xdr:row>
      <xdr:rowOff>97474</xdr:rowOff>
    </xdr:from>
    <xdr:to>
      <xdr:col>0</xdr:col>
      <xdr:colOff>616047</xdr:colOff>
      <xdr:row>50</xdr:row>
      <xdr:rowOff>81594</xdr:rowOff>
    </xdr:to>
    <xdr:sp macro="" textlink="">
      <xdr:nvSpPr>
        <xdr:cNvPr id="31" name="テキスト ボックス 30">
          <a:extLst>
            <a:ext uri="{FF2B5EF4-FFF2-40B4-BE49-F238E27FC236}">
              <a16:creationId xmlns:a16="http://schemas.microsoft.com/office/drawing/2014/main" id="{E453E580-D9CF-4687-A771-2DF4B9601CE6}"/>
            </a:ext>
          </a:extLst>
        </xdr:cNvPr>
        <xdr:cNvSpPr txBox="1"/>
      </xdr:nvSpPr>
      <xdr:spPr>
        <a:xfrm>
          <a:off x="228312"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523780</xdr:colOff>
      <xdr:row>45</xdr:row>
      <xdr:rowOff>3810</xdr:rowOff>
    </xdr:from>
    <xdr:to>
      <xdr:col>0</xdr:col>
      <xdr:colOff>550640</xdr:colOff>
      <xdr:row>53</xdr:row>
      <xdr:rowOff>3810</xdr:rowOff>
    </xdr:to>
    <xdr:sp macro="" textlink="">
      <xdr:nvSpPr>
        <xdr:cNvPr id="32" name="正方形/長方形 31">
          <a:extLst>
            <a:ext uri="{FF2B5EF4-FFF2-40B4-BE49-F238E27FC236}">
              <a16:creationId xmlns:a16="http://schemas.microsoft.com/office/drawing/2014/main" id="{7D064A61-1B51-4B8A-9D3A-DA1D65C4FD57}"/>
            </a:ext>
          </a:extLst>
        </xdr:cNvPr>
        <xdr:cNvSpPr/>
      </xdr:nvSpPr>
      <xdr:spPr>
        <a:xfrm>
          <a:off x="523780" y="76904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658082</xdr:colOff>
      <xdr:row>45</xdr:row>
      <xdr:rowOff>3810</xdr:rowOff>
    </xdr:from>
    <xdr:to>
      <xdr:col>0</xdr:col>
      <xdr:colOff>684943</xdr:colOff>
      <xdr:row>53</xdr:row>
      <xdr:rowOff>3810</xdr:rowOff>
    </xdr:to>
    <xdr:sp macro="" textlink="">
      <xdr:nvSpPr>
        <xdr:cNvPr id="33" name="正方形/長方形 32">
          <a:extLst>
            <a:ext uri="{FF2B5EF4-FFF2-40B4-BE49-F238E27FC236}">
              <a16:creationId xmlns:a16="http://schemas.microsoft.com/office/drawing/2014/main" id="{487789A8-6A34-46C5-99A3-9192062413F6}"/>
            </a:ext>
          </a:extLst>
        </xdr:cNvPr>
        <xdr:cNvSpPr/>
      </xdr:nvSpPr>
      <xdr:spPr>
        <a:xfrm>
          <a:off x="658082" y="7690485"/>
          <a:ext cx="26861"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795875</xdr:colOff>
      <xdr:row>47</xdr:row>
      <xdr:rowOff>97474</xdr:rowOff>
    </xdr:from>
    <xdr:to>
      <xdr:col>0</xdr:col>
      <xdr:colOff>1183610</xdr:colOff>
      <xdr:row>50</xdr:row>
      <xdr:rowOff>81594</xdr:rowOff>
    </xdr:to>
    <xdr:sp macro="" textlink="">
      <xdr:nvSpPr>
        <xdr:cNvPr id="34" name="テキスト ボックス 33">
          <a:extLst>
            <a:ext uri="{FF2B5EF4-FFF2-40B4-BE49-F238E27FC236}">
              <a16:creationId xmlns:a16="http://schemas.microsoft.com/office/drawing/2014/main" id="{E97FB2B2-430D-425C-B84C-888CFFB63CA7}"/>
            </a:ext>
          </a:extLst>
        </xdr:cNvPr>
        <xdr:cNvSpPr txBox="1"/>
      </xdr:nvSpPr>
      <xdr:spPr>
        <a:xfrm>
          <a:off x="795875"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60</xdr:row>
      <xdr:rowOff>135049</xdr:rowOff>
    </xdr:from>
    <xdr:to>
      <xdr:col>0</xdr:col>
      <xdr:colOff>943635</xdr:colOff>
      <xdr:row>62</xdr:row>
      <xdr:rowOff>77676</xdr:rowOff>
    </xdr:to>
    <xdr:sp macro="" textlink="">
      <xdr:nvSpPr>
        <xdr:cNvPr id="35" name="テキスト ボックス 34">
          <a:extLst>
            <a:ext uri="{FF2B5EF4-FFF2-40B4-BE49-F238E27FC236}">
              <a16:creationId xmlns:a16="http://schemas.microsoft.com/office/drawing/2014/main" id="{53A8E386-113A-4180-B9C6-C86B89F5CE21}"/>
            </a:ext>
          </a:extLst>
        </xdr:cNvPr>
        <xdr:cNvSpPr txBox="1"/>
      </xdr:nvSpPr>
      <xdr:spPr>
        <a:xfrm>
          <a:off x="528137"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37227</xdr:colOff>
      <xdr:row>63</xdr:row>
      <xdr:rowOff>43169</xdr:rowOff>
    </xdr:from>
    <xdr:to>
      <xdr:col>0</xdr:col>
      <xdr:colOff>151527</xdr:colOff>
      <xdr:row>63</xdr:row>
      <xdr:rowOff>166994</xdr:rowOff>
    </xdr:to>
    <xdr:sp macro="" textlink="">
      <xdr:nvSpPr>
        <xdr:cNvPr id="37" name="テキスト ボックス 36">
          <a:extLst>
            <a:ext uri="{FF2B5EF4-FFF2-40B4-BE49-F238E27FC236}">
              <a16:creationId xmlns:a16="http://schemas.microsoft.com/office/drawing/2014/main" id="{DEDD2C82-E3A6-41A4-AAE7-CAD04210C699}"/>
            </a:ext>
          </a:extLst>
        </xdr:cNvPr>
        <xdr:cNvSpPr txBox="1"/>
      </xdr:nvSpPr>
      <xdr:spPr>
        <a:xfrm>
          <a:off x="37227" y="1081594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63</xdr:row>
      <xdr:rowOff>136499</xdr:rowOff>
    </xdr:from>
    <xdr:to>
      <xdr:col>0</xdr:col>
      <xdr:colOff>151527</xdr:colOff>
      <xdr:row>64</xdr:row>
      <xdr:rowOff>88874</xdr:rowOff>
    </xdr:to>
    <xdr:sp macro="" textlink="">
      <xdr:nvSpPr>
        <xdr:cNvPr id="39" name="テキスト ボックス 38">
          <a:extLst>
            <a:ext uri="{FF2B5EF4-FFF2-40B4-BE49-F238E27FC236}">
              <a16:creationId xmlns:a16="http://schemas.microsoft.com/office/drawing/2014/main" id="{082FBD55-C900-4A99-B21F-C343D7F9C626}"/>
            </a:ext>
          </a:extLst>
        </xdr:cNvPr>
        <xdr:cNvSpPr txBox="1"/>
      </xdr:nvSpPr>
      <xdr:spPr>
        <a:xfrm>
          <a:off x="37227" y="109092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36868</xdr:rowOff>
    </xdr:from>
    <xdr:to>
      <xdr:col>0</xdr:col>
      <xdr:colOff>151527</xdr:colOff>
      <xdr:row>64</xdr:row>
      <xdr:rowOff>160693</xdr:rowOff>
    </xdr:to>
    <xdr:sp macro="" textlink="">
      <xdr:nvSpPr>
        <xdr:cNvPr id="41" name="テキスト ボックス 40">
          <a:extLst>
            <a:ext uri="{FF2B5EF4-FFF2-40B4-BE49-F238E27FC236}">
              <a16:creationId xmlns:a16="http://schemas.microsoft.com/office/drawing/2014/main" id="{1C27B636-F25F-40D4-A614-6853EC1F5345}"/>
            </a:ext>
          </a:extLst>
        </xdr:cNvPr>
        <xdr:cNvSpPr txBox="1"/>
      </xdr:nvSpPr>
      <xdr:spPr>
        <a:xfrm>
          <a:off x="37227" y="109810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108687</xdr:rowOff>
    </xdr:from>
    <xdr:to>
      <xdr:col>0</xdr:col>
      <xdr:colOff>151527</xdr:colOff>
      <xdr:row>65</xdr:row>
      <xdr:rowOff>61062</xdr:rowOff>
    </xdr:to>
    <xdr:sp macro="" textlink="">
      <xdr:nvSpPr>
        <xdr:cNvPr id="43" name="テキスト ボックス 42">
          <a:extLst>
            <a:ext uri="{FF2B5EF4-FFF2-40B4-BE49-F238E27FC236}">
              <a16:creationId xmlns:a16="http://schemas.microsoft.com/office/drawing/2014/main" id="{01F5959B-7279-4D8F-9AF5-AC7C2C0621CF}"/>
            </a:ext>
          </a:extLst>
        </xdr:cNvPr>
        <xdr:cNvSpPr txBox="1"/>
      </xdr:nvSpPr>
      <xdr:spPr>
        <a:xfrm>
          <a:off x="37227" y="1105291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66</xdr:row>
      <xdr:rowOff>39022</xdr:rowOff>
    </xdr:from>
    <xdr:to>
      <xdr:col>0</xdr:col>
      <xdr:colOff>151527</xdr:colOff>
      <xdr:row>66</xdr:row>
      <xdr:rowOff>162847</xdr:rowOff>
    </xdr:to>
    <xdr:sp macro="" textlink="">
      <xdr:nvSpPr>
        <xdr:cNvPr id="44" name="テキスト ボックス 43">
          <a:extLst>
            <a:ext uri="{FF2B5EF4-FFF2-40B4-BE49-F238E27FC236}">
              <a16:creationId xmlns:a16="http://schemas.microsoft.com/office/drawing/2014/main" id="{C8FAC0B5-36B2-45BB-84C8-7ED17DC27531}"/>
            </a:ext>
          </a:extLst>
        </xdr:cNvPr>
        <xdr:cNvSpPr txBox="1"/>
      </xdr:nvSpPr>
      <xdr:spPr>
        <a:xfrm>
          <a:off x="37227" y="113261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67</xdr:row>
      <xdr:rowOff>60453</xdr:rowOff>
    </xdr:from>
    <xdr:to>
      <xdr:col>0</xdr:col>
      <xdr:colOff>151527</xdr:colOff>
      <xdr:row>68</xdr:row>
      <xdr:rowOff>12828</xdr:rowOff>
    </xdr:to>
    <xdr:sp macro="" textlink="">
      <xdr:nvSpPr>
        <xdr:cNvPr id="46" name="テキスト ボックス 45">
          <a:extLst>
            <a:ext uri="{FF2B5EF4-FFF2-40B4-BE49-F238E27FC236}">
              <a16:creationId xmlns:a16="http://schemas.microsoft.com/office/drawing/2014/main" id="{A7876A7E-2EAD-4B49-874A-B1CB3F39F852}"/>
            </a:ext>
          </a:extLst>
        </xdr:cNvPr>
        <xdr:cNvSpPr txBox="1"/>
      </xdr:nvSpPr>
      <xdr:spPr>
        <a:xfrm>
          <a:off x="37227" y="115190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67</xdr:row>
      <xdr:rowOff>100124</xdr:rowOff>
    </xdr:from>
    <xdr:to>
      <xdr:col>0</xdr:col>
      <xdr:colOff>943635</xdr:colOff>
      <xdr:row>69</xdr:row>
      <xdr:rowOff>42751</xdr:rowOff>
    </xdr:to>
    <xdr:sp macro="" textlink="">
      <xdr:nvSpPr>
        <xdr:cNvPr id="47" name="テキスト ボックス 46">
          <a:extLst>
            <a:ext uri="{FF2B5EF4-FFF2-40B4-BE49-F238E27FC236}">
              <a16:creationId xmlns:a16="http://schemas.microsoft.com/office/drawing/2014/main" id="{3071205C-7243-43BC-B0E9-76A899BF3360}"/>
            </a:ext>
          </a:extLst>
        </xdr:cNvPr>
        <xdr:cNvSpPr txBox="1"/>
      </xdr:nvSpPr>
      <xdr:spPr>
        <a:xfrm>
          <a:off x="528137"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48" name="テキスト ボックス 47">
          <a:extLst>
            <a:ext uri="{FF2B5EF4-FFF2-40B4-BE49-F238E27FC236}">
              <a16:creationId xmlns:a16="http://schemas.microsoft.com/office/drawing/2014/main" id="{DDDCC1EB-44A0-44B4-9DED-4F0B969F8E88}"/>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46</xdr:row>
      <xdr:rowOff>42182</xdr:rowOff>
    </xdr:from>
    <xdr:to>
      <xdr:col>6</xdr:col>
      <xdr:colOff>151527</xdr:colOff>
      <xdr:row>46</xdr:row>
      <xdr:rowOff>166007</xdr:rowOff>
    </xdr:to>
    <xdr:sp macro="" textlink="">
      <xdr:nvSpPr>
        <xdr:cNvPr id="50" name="テキスト ボックス 49">
          <a:extLst>
            <a:ext uri="{FF2B5EF4-FFF2-40B4-BE49-F238E27FC236}">
              <a16:creationId xmlns:a16="http://schemas.microsoft.com/office/drawing/2014/main" id="{14A751BF-6C7F-4288-B7FD-E8878648AEE1}"/>
            </a:ext>
          </a:extLst>
        </xdr:cNvPr>
        <xdr:cNvSpPr txBox="1"/>
      </xdr:nvSpPr>
      <xdr:spPr>
        <a:xfrm>
          <a:off x="5037852" y="790030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134031</xdr:rowOff>
    </xdr:from>
    <xdr:to>
      <xdr:col>6</xdr:col>
      <xdr:colOff>151527</xdr:colOff>
      <xdr:row>47</xdr:row>
      <xdr:rowOff>86406</xdr:rowOff>
    </xdr:to>
    <xdr:sp macro="" textlink="">
      <xdr:nvSpPr>
        <xdr:cNvPr id="52" name="テキスト ボックス 51">
          <a:extLst>
            <a:ext uri="{FF2B5EF4-FFF2-40B4-BE49-F238E27FC236}">
              <a16:creationId xmlns:a16="http://schemas.microsoft.com/office/drawing/2014/main" id="{501812CC-974F-4112-9416-94C35F5D0F53}"/>
            </a:ext>
          </a:extLst>
        </xdr:cNvPr>
        <xdr:cNvSpPr txBox="1"/>
      </xdr:nvSpPr>
      <xdr:spPr>
        <a:xfrm>
          <a:off x="5037852" y="79921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34399</xdr:rowOff>
    </xdr:from>
    <xdr:to>
      <xdr:col>6</xdr:col>
      <xdr:colOff>151527</xdr:colOff>
      <xdr:row>47</xdr:row>
      <xdr:rowOff>158224</xdr:rowOff>
    </xdr:to>
    <xdr:sp macro="" textlink="">
      <xdr:nvSpPr>
        <xdr:cNvPr id="54" name="テキスト ボックス 53">
          <a:extLst>
            <a:ext uri="{FF2B5EF4-FFF2-40B4-BE49-F238E27FC236}">
              <a16:creationId xmlns:a16="http://schemas.microsoft.com/office/drawing/2014/main" id="{586042EB-39CB-45AA-AD2D-252CC9FC3FF3}"/>
            </a:ext>
          </a:extLst>
        </xdr:cNvPr>
        <xdr:cNvSpPr txBox="1"/>
      </xdr:nvSpPr>
      <xdr:spPr>
        <a:xfrm>
          <a:off x="5037852" y="80639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106218</xdr:rowOff>
    </xdr:from>
    <xdr:to>
      <xdr:col>6</xdr:col>
      <xdr:colOff>151527</xdr:colOff>
      <xdr:row>48</xdr:row>
      <xdr:rowOff>58593</xdr:rowOff>
    </xdr:to>
    <xdr:sp macro="" textlink="">
      <xdr:nvSpPr>
        <xdr:cNvPr id="56" name="テキスト ボックス 55">
          <a:extLst>
            <a:ext uri="{FF2B5EF4-FFF2-40B4-BE49-F238E27FC236}">
              <a16:creationId xmlns:a16="http://schemas.microsoft.com/office/drawing/2014/main" id="{E59E8DF9-B9E1-497B-9E62-3F1D79E28814}"/>
            </a:ext>
          </a:extLst>
        </xdr:cNvPr>
        <xdr:cNvSpPr txBox="1"/>
      </xdr:nvSpPr>
      <xdr:spPr>
        <a:xfrm>
          <a:off x="5037852" y="81357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29936</xdr:rowOff>
    </xdr:from>
    <xdr:to>
      <xdr:col>6</xdr:col>
      <xdr:colOff>151527</xdr:colOff>
      <xdr:row>49</xdr:row>
      <xdr:rowOff>153761</xdr:rowOff>
    </xdr:to>
    <xdr:sp macro="" textlink="">
      <xdr:nvSpPr>
        <xdr:cNvPr id="57" name="テキスト ボックス 56">
          <a:extLst>
            <a:ext uri="{FF2B5EF4-FFF2-40B4-BE49-F238E27FC236}">
              <a16:creationId xmlns:a16="http://schemas.microsoft.com/office/drawing/2014/main" id="{E2BE9E76-EAAE-417A-A06A-F2D2E8390610}"/>
            </a:ext>
          </a:extLst>
        </xdr:cNvPr>
        <xdr:cNvSpPr txBox="1"/>
      </xdr:nvSpPr>
      <xdr:spPr>
        <a:xfrm>
          <a:off x="5037852" y="84024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48306</xdr:rowOff>
    </xdr:from>
    <xdr:to>
      <xdr:col>6</xdr:col>
      <xdr:colOff>151527</xdr:colOff>
      <xdr:row>51</xdr:row>
      <xdr:rowOff>681</xdr:rowOff>
    </xdr:to>
    <xdr:sp macro="" textlink="">
      <xdr:nvSpPr>
        <xdr:cNvPr id="59" name="テキスト ボックス 58">
          <a:extLst>
            <a:ext uri="{FF2B5EF4-FFF2-40B4-BE49-F238E27FC236}">
              <a16:creationId xmlns:a16="http://schemas.microsoft.com/office/drawing/2014/main" id="{CD2BA2D7-2942-4687-9F09-25AE1593B560}"/>
            </a:ext>
          </a:extLst>
        </xdr:cNvPr>
        <xdr:cNvSpPr txBox="1"/>
      </xdr:nvSpPr>
      <xdr:spPr>
        <a:xfrm>
          <a:off x="5037852" y="859223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120124</xdr:rowOff>
    </xdr:from>
    <xdr:to>
      <xdr:col>6</xdr:col>
      <xdr:colOff>151527</xdr:colOff>
      <xdr:row>51</xdr:row>
      <xdr:rowOff>72499</xdr:rowOff>
    </xdr:to>
    <xdr:sp macro="" textlink="">
      <xdr:nvSpPr>
        <xdr:cNvPr id="61" name="テキスト ボックス 60">
          <a:extLst>
            <a:ext uri="{FF2B5EF4-FFF2-40B4-BE49-F238E27FC236}">
              <a16:creationId xmlns:a16="http://schemas.microsoft.com/office/drawing/2014/main" id="{ED6DC56C-09EB-4E2F-B71D-10CE48A32846}"/>
            </a:ext>
          </a:extLst>
        </xdr:cNvPr>
        <xdr:cNvSpPr txBox="1"/>
      </xdr:nvSpPr>
      <xdr:spPr>
        <a:xfrm>
          <a:off x="5037852" y="86640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62" name="テキスト ボックス 61">
          <a:extLst>
            <a:ext uri="{FF2B5EF4-FFF2-40B4-BE49-F238E27FC236}">
              <a16:creationId xmlns:a16="http://schemas.microsoft.com/office/drawing/2014/main" id="{2EB271C0-89E9-4080-A545-898142C2362F}"/>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34573</xdr:colOff>
      <xdr:row>64</xdr:row>
      <xdr:rowOff>97474</xdr:rowOff>
    </xdr:from>
    <xdr:to>
      <xdr:col>6</xdr:col>
      <xdr:colOff>422308</xdr:colOff>
      <xdr:row>67</xdr:row>
      <xdr:rowOff>81594</xdr:rowOff>
    </xdr:to>
    <xdr:sp macro="" textlink="">
      <xdr:nvSpPr>
        <xdr:cNvPr id="63" name="テキスト ボックス 62">
          <a:extLst>
            <a:ext uri="{FF2B5EF4-FFF2-40B4-BE49-F238E27FC236}">
              <a16:creationId xmlns:a16="http://schemas.microsoft.com/office/drawing/2014/main" id="{B6A60D96-CE99-4144-8434-5549356C0475}"/>
            </a:ext>
          </a:extLst>
        </xdr:cNvPr>
        <xdr:cNvSpPr txBox="1"/>
      </xdr:nvSpPr>
      <xdr:spPr>
        <a:xfrm>
          <a:off x="503519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330041</xdr:colOff>
      <xdr:row>62</xdr:row>
      <xdr:rowOff>3810</xdr:rowOff>
    </xdr:from>
    <xdr:to>
      <xdr:col>6</xdr:col>
      <xdr:colOff>368141</xdr:colOff>
      <xdr:row>70</xdr:row>
      <xdr:rowOff>3810</xdr:rowOff>
    </xdr:to>
    <xdr:sp macro="" textlink="">
      <xdr:nvSpPr>
        <xdr:cNvPr id="64" name="正方形/長方形 63">
          <a:extLst>
            <a:ext uri="{FF2B5EF4-FFF2-40B4-BE49-F238E27FC236}">
              <a16:creationId xmlns:a16="http://schemas.microsoft.com/office/drawing/2014/main" id="{5F03D51A-796E-471A-AC42-AE2B68D75873}"/>
            </a:ext>
          </a:extLst>
        </xdr:cNvPr>
        <xdr:cNvSpPr/>
      </xdr:nvSpPr>
      <xdr:spPr>
        <a:xfrm>
          <a:off x="533066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291941</xdr:colOff>
      <xdr:row>61</xdr:row>
      <xdr:rowOff>13335</xdr:rowOff>
    </xdr:from>
    <xdr:to>
      <xdr:col>6</xdr:col>
      <xdr:colOff>406241</xdr:colOff>
      <xdr:row>61</xdr:row>
      <xdr:rowOff>137160</xdr:rowOff>
    </xdr:to>
    <xdr:sp macro="" textlink="">
      <xdr:nvSpPr>
        <xdr:cNvPr id="65" name="テキスト ボックス 64">
          <a:extLst>
            <a:ext uri="{FF2B5EF4-FFF2-40B4-BE49-F238E27FC236}">
              <a16:creationId xmlns:a16="http://schemas.microsoft.com/office/drawing/2014/main" id="{B2B3AEFE-D8BF-458F-B113-A0055CC65C0B}"/>
            </a:ext>
          </a:extLst>
        </xdr:cNvPr>
        <xdr:cNvSpPr txBox="1"/>
      </xdr:nvSpPr>
      <xdr:spPr>
        <a:xfrm>
          <a:off x="529256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368141</xdr:colOff>
      <xdr:row>62</xdr:row>
      <xdr:rowOff>3810</xdr:rowOff>
    </xdr:from>
    <xdr:to>
      <xdr:col>6</xdr:col>
      <xdr:colOff>413861</xdr:colOff>
      <xdr:row>70</xdr:row>
      <xdr:rowOff>3810</xdr:rowOff>
    </xdr:to>
    <xdr:sp macro="" textlink="">
      <xdr:nvSpPr>
        <xdr:cNvPr id="66" name="正方形/長方形 65">
          <a:extLst>
            <a:ext uri="{FF2B5EF4-FFF2-40B4-BE49-F238E27FC236}">
              <a16:creationId xmlns:a16="http://schemas.microsoft.com/office/drawing/2014/main" id="{97F04477-D6A4-4879-8D3A-DCEB7781C5DB}"/>
            </a:ext>
          </a:extLst>
        </xdr:cNvPr>
        <xdr:cNvSpPr/>
      </xdr:nvSpPr>
      <xdr:spPr>
        <a:xfrm>
          <a:off x="536876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354806</xdr:colOff>
      <xdr:row>61</xdr:row>
      <xdr:rowOff>13335</xdr:rowOff>
    </xdr:from>
    <xdr:to>
      <xdr:col>6</xdr:col>
      <xdr:colOff>469106</xdr:colOff>
      <xdr:row>61</xdr:row>
      <xdr:rowOff>137160</xdr:rowOff>
    </xdr:to>
    <xdr:sp macro="" textlink="">
      <xdr:nvSpPr>
        <xdr:cNvPr id="67" name="テキスト ボックス 66">
          <a:extLst>
            <a:ext uri="{FF2B5EF4-FFF2-40B4-BE49-F238E27FC236}">
              <a16:creationId xmlns:a16="http://schemas.microsoft.com/office/drawing/2014/main" id="{72339EE2-CF66-4ECC-A796-3F617AC87E41}"/>
            </a:ext>
          </a:extLst>
        </xdr:cNvPr>
        <xdr:cNvSpPr txBox="1"/>
      </xdr:nvSpPr>
      <xdr:spPr>
        <a:xfrm>
          <a:off x="535543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547211</xdr:colOff>
      <xdr:row>61</xdr:row>
      <xdr:rowOff>13335</xdr:rowOff>
    </xdr:from>
    <xdr:to>
      <xdr:col>6</xdr:col>
      <xdr:colOff>661511</xdr:colOff>
      <xdr:row>61</xdr:row>
      <xdr:rowOff>137160</xdr:rowOff>
    </xdr:to>
    <xdr:sp macro="" textlink="">
      <xdr:nvSpPr>
        <xdr:cNvPr id="68" name="テキスト ボックス 67">
          <a:extLst>
            <a:ext uri="{FF2B5EF4-FFF2-40B4-BE49-F238E27FC236}">
              <a16:creationId xmlns:a16="http://schemas.microsoft.com/office/drawing/2014/main" id="{FA89E0F9-46B4-4567-80E4-5FB841C1F913}"/>
            </a:ext>
          </a:extLst>
        </xdr:cNvPr>
        <xdr:cNvSpPr txBox="1"/>
      </xdr:nvSpPr>
      <xdr:spPr>
        <a:xfrm>
          <a:off x="554783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794861</xdr:colOff>
      <xdr:row>62</xdr:row>
      <xdr:rowOff>3810</xdr:rowOff>
    </xdr:from>
    <xdr:to>
      <xdr:col>6</xdr:col>
      <xdr:colOff>840581</xdr:colOff>
      <xdr:row>70</xdr:row>
      <xdr:rowOff>3810</xdr:rowOff>
    </xdr:to>
    <xdr:sp macro="" textlink="">
      <xdr:nvSpPr>
        <xdr:cNvPr id="69" name="正方形/長方形 68">
          <a:extLst>
            <a:ext uri="{FF2B5EF4-FFF2-40B4-BE49-F238E27FC236}">
              <a16:creationId xmlns:a16="http://schemas.microsoft.com/office/drawing/2014/main" id="{3CC94F55-2DCA-40D5-A437-D938631C3886}"/>
            </a:ext>
          </a:extLst>
        </xdr:cNvPr>
        <xdr:cNvSpPr/>
      </xdr:nvSpPr>
      <xdr:spPr>
        <a:xfrm>
          <a:off x="579548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760571</xdr:colOff>
      <xdr:row>61</xdr:row>
      <xdr:rowOff>13335</xdr:rowOff>
    </xdr:from>
    <xdr:to>
      <xdr:col>6</xdr:col>
      <xdr:colOff>874871</xdr:colOff>
      <xdr:row>61</xdr:row>
      <xdr:rowOff>137160</xdr:rowOff>
    </xdr:to>
    <xdr:sp macro="" textlink="">
      <xdr:nvSpPr>
        <xdr:cNvPr id="70" name="テキスト ボックス 69">
          <a:extLst>
            <a:ext uri="{FF2B5EF4-FFF2-40B4-BE49-F238E27FC236}">
              <a16:creationId xmlns:a16="http://schemas.microsoft.com/office/drawing/2014/main" id="{F271838F-247E-4E33-90C7-4E729BCB94A0}"/>
            </a:ext>
          </a:extLst>
        </xdr:cNvPr>
        <xdr:cNvSpPr txBox="1"/>
      </xdr:nvSpPr>
      <xdr:spPr>
        <a:xfrm>
          <a:off x="576119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840581</xdr:colOff>
      <xdr:row>62</xdr:row>
      <xdr:rowOff>3810</xdr:rowOff>
    </xdr:from>
    <xdr:to>
      <xdr:col>6</xdr:col>
      <xdr:colOff>878681</xdr:colOff>
      <xdr:row>70</xdr:row>
      <xdr:rowOff>3810</xdr:rowOff>
    </xdr:to>
    <xdr:sp macro="" textlink="">
      <xdr:nvSpPr>
        <xdr:cNvPr id="71" name="正方形/長方形 70">
          <a:extLst>
            <a:ext uri="{FF2B5EF4-FFF2-40B4-BE49-F238E27FC236}">
              <a16:creationId xmlns:a16="http://schemas.microsoft.com/office/drawing/2014/main" id="{35392861-91F5-4EC5-9A0F-77D2D3231D1C}"/>
            </a:ext>
          </a:extLst>
        </xdr:cNvPr>
        <xdr:cNvSpPr/>
      </xdr:nvSpPr>
      <xdr:spPr>
        <a:xfrm>
          <a:off x="584120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823436</xdr:colOff>
      <xdr:row>61</xdr:row>
      <xdr:rowOff>13335</xdr:rowOff>
    </xdr:from>
    <xdr:to>
      <xdr:col>6</xdr:col>
      <xdr:colOff>937736</xdr:colOff>
      <xdr:row>61</xdr:row>
      <xdr:rowOff>137160</xdr:rowOff>
    </xdr:to>
    <xdr:sp macro="" textlink="">
      <xdr:nvSpPr>
        <xdr:cNvPr id="72" name="テキスト ボックス 71">
          <a:extLst>
            <a:ext uri="{FF2B5EF4-FFF2-40B4-BE49-F238E27FC236}">
              <a16:creationId xmlns:a16="http://schemas.microsoft.com/office/drawing/2014/main" id="{E13492E4-1643-4975-A7C3-08B57533659D}"/>
            </a:ext>
          </a:extLst>
        </xdr:cNvPr>
        <xdr:cNvSpPr txBox="1"/>
      </xdr:nvSpPr>
      <xdr:spPr>
        <a:xfrm>
          <a:off x="582406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989613</xdr:colOff>
      <xdr:row>64</xdr:row>
      <xdr:rowOff>97474</xdr:rowOff>
    </xdr:from>
    <xdr:to>
      <xdr:col>7</xdr:col>
      <xdr:colOff>34323</xdr:colOff>
      <xdr:row>67</xdr:row>
      <xdr:rowOff>81594</xdr:rowOff>
    </xdr:to>
    <xdr:sp macro="" textlink="">
      <xdr:nvSpPr>
        <xdr:cNvPr id="73" name="テキスト ボックス 72">
          <a:extLst>
            <a:ext uri="{FF2B5EF4-FFF2-40B4-BE49-F238E27FC236}">
              <a16:creationId xmlns:a16="http://schemas.microsoft.com/office/drawing/2014/main" id="{98205616-EB0F-4C28-B9E6-2AE3B2B61F60}"/>
            </a:ext>
          </a:extLst>
        </xdr:cNvPr>
        <xdr:cNvSpPr txBox="1"/>
      </xdr:nvSpPr>
      <xdr:spPr>
        <a:xfrm>
          <a:off x="599023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72673</xdr:colOff>
      <xdr:row>81</xdr:row>
      <xdr:rowOff>97475</xdr:rowOff>
    </xdr:from>
    <xdr:to>
      <xdr:col>0</xdr:col>
      <xdr:colOff>460408</xdr:colOff>
      <xdr:row>84</xdr:row>
      <xdr:rowOff>81595</xdr:rowOff>
    </xdr:to>
    <xdr:sp macro="" textlink="">
      <xdr:nvSpPr>
        <xdr:cNvPr id="74" name="テキスト ボックス 73">
          <a:extLst>
            <a:ext uri="{FF2B5EF4-FFF2-40B4-BE49-F238E27FC236}">
              <a16:creationId xmlns:a16="http://schemas.microsoft.com/office/drawing/2014/main" id="{48B6EB07-973A-4A61-BCCA-37D26F0969C7}"/>
            </a:ext>
          </a:extLst>
        </xdr:cNvPr>
        <xdr:cNvSpPr txBox="1"/>
      </xdr:nvSpPr>
      <xdr:spPr>
        <a:xfrm>
          <a:off x="7267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368141</xdr:colOff>
      <xdr:row>79</xdr:row>
      <xdr:rowOff>3811</xdr:rowOff>
    </xdr:from>
    <xdr:to>
      <xdr:col>0</xdr:col>
      <xdr:colOff>413861</xdr:colOff>
      <xdr:row>87</xdr:row>
      <xdr:rowOff>3811</xdr:rowOff>
    </xdr:to>
    <xdr:sp macro="" textlink="">
      <xdr:nvSpPr>
        <xdr:cNvPr id="75" name="正方形/長方形 74">
          <a:extLst>
            <a:ext uri="{FF2B5EF4-FFF2-40B4-BE49-F238E27FC236}">
              <a16:creationId xmlns:a16="http://schemas.microsoft.com/office/drawing/2014/main" id="{88F015C2-02EB-4F10-942B-C1F1EE407026}"/>
            </a:ext>
          </a:extLst>
        </xdr:cNvPr>
        <xdr:cNvSpPr/>
      </xdr:nvSpPr>
      <xdr:spPr>
        <a:xfrm>
          <a:off x="36814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78</xdr:row>
      <xdr:rowOff>13336</xdr:rowOff>
    </xdr:from>
    <xdr:to>
      <xdr:col>0</xdr:col>
      <xdr:colOff>448151</xdr:colOff>
      <xdr:row>78</xdr:row>
      <xdr:rowOff>137161</xdr:rowOff>
    </xdr:to>
    <xdr:sp macro="" textlink="">
      <xdr:nvSpPr>
        <xdr:cNvPr id="76" name="テキスト ボックス 75">
          <a:extLst>
            <a:ext uri="{FF2B5EF4-FFF2-40B4-BE49-F238E27FC236}">
              <a16:creationId xmlns:a16="http://schemas.microsoft.com/office/drawing/2014/main" id="{F73F69EC-00EC-4611-8C3F-BC97A5CBB7B6}"/>
            </a:ext>
          </a:extLst>
        </xdr:cNvPr>
        <xdr:cNvSpPr txBox="1"/>
      </xdr:nvSpPr>
      <xdr:spPr>
        <a:xfrm>
          <a:off x="33385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547211</xdr:colOff>
      <xdr:row>78</xdr:row>
      <xdr:rowOff>13336</xdr:rowOff>
    </xdr:from>
    <xdr:to>
      <xdr:col>0</xdr:col>
      <xdr:colOff>661511</xdr:colOff>
      <xdr:row>78</xdr:row>
      <xdr:rowOff>137161</xdr:rowOff>
    </xdr:to>
    <xdr:sp macro="" textlink="">
      <xdr:nvSpPr>
        <xdr:cNvPr id="77" name="テキスト ボックス 76">
          <a:extLst>
            <a:ext uri="{FF2B5EF4-FFF2-40B4-BE49-F238E27FC236}">
              <a16:creationId xmlns:a16="http://schemas.microsoft.com/office/drawing/2014/main" id="{3DDBADA5-FBBD-420D-8B15-26D350AF8314}"/>
            </a:ext>
          </a:extLst>
        </xdr:cNvPr>
        <xdr:cNvSpPr txBox="1"/>
      </xdr:nvSpPr>
      <xdr:spPr>
        <a:xfrm>
          <a:off x="54721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794861</xdr:colOff>
      <xdr:row>79</xdr:row>
      <xdr:rowOff>3811</xdr:rowOff>
    </xdr:from>
    <xdr:to>
      <xdr:col>0</xdr:col>
      <xdr:colOff>840581</xdr:colOff>
      <xdr:row>87</xdr:row>
      <xdr:rowOff>3811</xdr:rowOff>
    </xdr:to>
    <xdr:sp macro="" textlink="">
      <xdr:nvSpPr>
        <xdr:cNvPr id="78" name="正方形/長方形 77">
          <a:extLst>
            <a:ext uri="{FF2B5EF4-FFF2-40B4-BE49-F238E27FC236}">
              <a16:creationId xmlns:a16="http://schemas.microsoft.com/office/drawing/2014/main" id="{401CE78D-C157-48BE-AF27-220E5C4F6526}"/>
            </a:ext>
          </a:extLst>
        </xdr:cNvPr>
        <xdr:cNvSpPr/>
      </xdr:nvSpPr>
      <xdr:spPr>
        <a:xfrm>
          <a:off x="79486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760571</xdr:colOff>
      <xdr:row>78</xdr:row>
      <xdr:rowOff>13336</xdr:rowOff>
    </xdr:from>
    <xdr:to>
      <xdr:col>0</xdr:col>
      <xdr:colOff>874871</xdr:colOff>
      <xdr:row>78</xdr:row>
      <xdr:rowOff>137161</xdr:rowOff>
    </xdr:to>
    <xdr:sp macro="" textlink="">
      <xdr:nvSpPr>
        <xdr:cNvPr id="79" name="テキスト ボックス 78">
          <a:extLst>
            <a:ext uri="{FF2B5EF4-FFF2-40B4-BE49-F238E27FC236}">
              <a16:creationId xmlns:a16="http://schemas.microsoft.com/office/drawing/2014/main" id="{11CAAB74-DEED-4111-BFD2-039D8520A065}"/>
            </a:ext>
          </a:extLst>
        </xdr:cNvPr>
        <xdr:cNvSpPr txBox="1"/>
      </xdr:nvSpPr>
      <xdr:spPr>
        <a:xfrm>
          <a:off x="76057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951513</xdr:colOff>
      <xdr:row>81</xdr:row>
      <xdr:rowOff>97475</xdr:rowOff>
    </xdr:from>
    <xdr:to>
      <xdr:col>0</xdr:col>
      <xdr:colOff>1339248</xdr:colOff>
      <xdr:row>84</xdr:row>
      <xdr:rowOff>81595</xdr:rowOff>
    </xdr:to>
    <xdr:sp macro="" textlink="">
      <xdr:nvSpPr>
        <xdr:cNvPr id="80" name="テキスト ボックス 79">
          <a:extLst>
            <a:ext uri="{FF2B5EF4-FFF2-40B4-BE49-F238E27FC236}">
              <a16:creationId xmlns:a16="http://schemas.microsoft.com/office/drawing/2014/main" id="{A8D83746-9E10-4D38-A847-EE8A96BC13B0}"/>
            </a:ext>
          </a:extLst>
        </xdr:cNvPr>
        <xdr:cNvSpPr txBox="1"/>
      </xdr:nvSpPr>
      <xdr:spPr>
        <a:xfrm>
          <a:off x="95151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53623</xdr:colOff>
      <xdr:row>98</xdr:row>
      <xdr:rowOff>97475</xdr:rowOff>
    </xdr:from>
    <xdr:to>
      <xdr:col>0</xdr:col>
      <xdr:colOff>441358</xdr:colOff>
      <xdr:row>101</xdr:row>
      <xdr:rowOff>81595</xdr:rowOff>
    </xdr:to>
    <xdr:sp macro="" textlink="">
      <xdr:nvSpPr>
        <xdr:cNvPr id="81" name="テキスト ボックス 80">
          <a:extLst>
            <a:ext uri="{FF2B5EF4-FFF2-40B4-BE49-F238E27FC236}">
              <a16:creationId xmlns:a16="http://schemas.microsoft.com/office/drawing/2014/main" id="{B9A34722-7F5E-4782-BF25-58F4E503F799}"/>
            </a:ext>
          </a:extLst>
        </xdr:cNvPr>
        <xdr:cNvSpPr txBox="1"/>
      </xdr:nvSpPr>
      <xdr:spPr>
        <a:xfrm>
          <a:off x="5362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349091</xdr:colOff>
      <xdr:row>96</xdr:row>
      <xdr:rowOff>3811</xdr:rowOff>
    </xdr:from>
    <xdr:to>
      <xdr:col>0</xdr:col>
      <xdr:colOff>387191</xdr:colOff>
      <xdr:row>104</xdr:row>
      <xdr:rowOff>3811</xdr:rowOff>
    </xdr:to>
    <xdr:sp macro="" textlink="">
      <xdr:nvSpPr>
        <xdr:cNvPr id="82" name="正方形/長方形 81">
          <a:extLst>
            <a:ext uri="{FF2B5EF4-FFF2-40B4-BE49-F238E27FC236}">
              <a16:creationId xmlns:a16="http://schemas.microsoft.com/office/drawing/2014/main" id="{AFEE5A93-7D7E-4856-AED7-976D2D3B6FBB}"/>
            </a:ext>
          </a:extLst>
        </xdr:cNvPr>
        <xdr:cNvSpPr/>
      </xdr:nvSpPr>
      <xdr:spPr>
        <a:xfrm>
          <a:off x="349091" y="16434436"/>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310991</xdr:colOff>
      <xdr:row>95</xdr:row>
      <xdr:rowOff>13336</xdr:rowOff>
    </xdr:from>
    <xdr:to>
      <xdr:col>0</xdr:col>
      <xdr:colOff>425291</xdr:colOff>
      <xdr:row>95</xdr:row>
      <xdr:rowOff>137161</xdr:rowOff>
    </xdr:to>
    <xdr:sp macro="" textlink="">
      <xdr:nvSpPr>
        <xdr:cNvPr id="83" name="テキスト ボックス 82">
          <a:extLst>
            <a:ext uri="{FF2B5EF4-FFF2-40B4-BE49-F238E27FC236}">
              <a16:creationId xmlns:a16="http://schemas.microsoft.com/office/drawing/2014/main" id="{0226CCFC-6C8F-471A-BAF3-36209B0D64CA}"/>
            </a:ext>
          </a:extLst>
        </xdr:cNvPr>
        <xdr:cNvSpPr txBox="1"/>
      </xdr:nvSpPr>
      <xdr:spPr>
        <a:xfrm>
          <a:off x="31099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387191</xdr:colOff>
      <xdr:row>96</xdr:row>
      <xdr:rowOff>3811</xdr:rowOff>
    </xdr:from>
    <xdr:to>
      <xdr:col>0</xdr:col>
      <xdr:colOff>432911</xdr:colOff>
      <xdr:row>104</xdr:row>
      <xdr:rowOff>3811</xdr:rowOff>
    </xdr:to>
    <xdr:sp macro="" textlink="">
      <xdr:nvSpPr>
        <xdr:cNvPr id="84" name="正方形/長方形 83">
          <a:extLst>
            <a:ext uri="{FF2B5EF4-FFF2-40B4-BE49-F238E27FC236}">
              <a16:creationId xmlns:a16="http://schemas.microsoft.com/office/drawing/2014/main" id="{7380CA11-9B1D-49EC-BBE5-F0297FDBA6BB}"/>
            </a:ext>
          </a:extLst>
        </xdr:cNvPr>
        <xdr:cNvSpPr/>
      </xdr:nvSpPr>
      <xdr:spPr>
        <a:xfrm>
          <a:off x="38719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373856</xdr:colOff>
      <xdr:row>95</xdr:row>
      <xdr:rowOff>13336</xdr:rowOff>
    </xdr:from>
    <xdr:to>
      <xdr:col>0</xdr:col>
      <xdr:colOff>488156</xdr:colOff>
      <xdr:row>95</xdr:row>
      <xdr:rowOff>137161</xdr:rowOff>
    </xdr:to>
    <xdr:sp macro="" textlink="">
      <xdr:nvSpPr>
        <xdr:cNvPr id="85" name="テキスト ボックス 84">
          <a:extLst>
            <a:ext uri="{FF2B5EF4-FFF2-40B4-BE49-F238E27FC236}">
              <a16:creationId xmlns:a16="http://schemas.microsoft.com/office/drawing/2014/main" id="{0A062EE2-5F2E-47C3-98CC-407180890150}"/>
            </a:ext>
          </a:extLst>
        </xdr:cNvPr>
        <xdr:cNvSpPr txBox="1"/>
      </xdr:nvSpPr>
      <xdr:spPr>
        <a:xfrm>
          <a:off x="373856"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566261</xdr:colOff>
      <xdr:row>95</xdr:row>
      <xdr:rowOff>13336</xdr:rowOff>
    </xdr:from>
    <xdr:to>
      <xdr:col>0</xdr:col>
      <xdr:colOff>680561</xdr:colOff>
      <xdr:row>95</xdr:row>
      <xdr:rowOff>137161</xdr:rowOff>
    </xdr:to>
    <xdr:sp macro="" textlink="">
      <xdr:nvSpPr>
        <xdr:cNvPr id="86" name="テキスト ボックス 85">
          <a:extLst>
            <a:ext uri="{FF2B5EF4-FFF2-40B4-BE49-F238E27FC236}">
              <a16:creationId xmlns:a16="http://schemas.microsoft.com/office/drawing/2014/main" id="{5F89B024-D93B-49DB-A4ED-8FAF03C66901}"/>
            </a:ext>
          </a:extLst>
        </xdr:cNvPr>
        <xdr:cNvSpPr txBox="1"/>
      </xdr:nvSpPr>
      <xdr:spPr>
        <a:xfrm>
          <a:off x="56626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813911</xdr:colOff>
      <xdr:row>96</xdr:row>
      <xdr:rowOff>3811</xdr:rowOff>
    </xdr:from>
    <xdr:to>
      <xdr:col>0</xdr:col>
      <xdr:colOff>859631</xdr:colOff>
      <xdr:row>104</xdr:row>
      <xdr:rowOff>3811</xdr:rowOff>
    </xdr:to>
    <xdr:sp macro="" textlink="">
      <xdr:nvSpPr>
        <xdr:cNvPr id="87" name="正方形/長方形 86">
          <a:extLst>
            <a:ext uri="{FF2B5EF4-FFF2-40B4-BE49-F238E27FC236}">
              <a16:creationId xmlns:a16="http://schemas.microsoft.com/office/drawing/2014/main" id="{317612A0-041A-4D36-9131-F7B6302B284D}"/>
            </a:ext>
          </a:extLst>
        </xdr:cNvPr>
        <xdr:cNvSpPr/>
      </xdr:nvSpPr>
      <xdr:spPr>
        <a:xfrm>
          <a:off x="81391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779621</xdr:colOff>
      <xdr:row>95</xdr:row>
      <xdr:rowOff>13336</xdr:rowOff>
    </xdr:from>
    <xdr:to>
      <xdr:col>0</xdr:col>
      <xdr:colOff>893921</xdr:colOff>
      <xdr:row>95</xdr:row>
      <xdr:rowOff>137161</xdr:rowOff>
    </xdr:to>
    <xdr:sp macro="" textlink="">
      <xdr:nvSpPr>
        <xdr:cNvPr id="88" name="テキスト ボックス 87">
          <a:extLst>
            <a:ext uri="{FF2B5EF4-FFF2-40B4-BE49-F238E27FC236}">
              <a16:creationId xmlns:a16="http://schemas.microsoft.com/office/drawing/2014/main" id="{B685C6A8-5076-488E-867C-C96785437EA1}"/>
            </a:ext>
          </a:extLst>
        </xdr:cNvPr>
        <xdr:cNvSpPr txBox="1"/>
      </xdr:nvSpPr>
      <xdr:spPr>
        <a:xfrm>
          <a:off x="77962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970563</xdr:colOff>
      <xdr:row>98</xdr:row>
      <xdr:rowOff>97475</xdr:rowOff>
    </xdr:from>
    <xdr:to>
      <xdr:col>1</xdr:col>
      <xdr:colOff>15273</xdr:colOff>
      <xdr:row>101</xdr:row>
      <xdr:rowOff>81595</xdr:rowOff>
    </xdr:to>
    <xdr:sp macro="" textlink="">
      <xdr:nvSpPr>
        <xdr:cNvPr id="89" name="テキスト ボックス 88">
          <a:extLst>
            <a:ext uri="{FF2B5EF4-FFF2-40B4-BE49-F238E27FC236}">
              <a16:creationId xmlns:a16="http://schemas.microsoft.com/office/drawing/2014/main" id="{28AC504D-BCC3-4AED-8201-E9AE3DF3F4C3}"/>
            </a:ext>
          </a:extLst>
        </xdr:cNvPr>
        <xdr:cNvSpPr txBox="1"/>
      </xdr:nvSpPr>
      <xdr:spPr>
        <a:xfrm>
          <a:off x="97056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77</xdr:row>
      <xdr:rowOff>135049</xdr:rowOff>
    </xdr:from>
    <xdr:to>
      <xdr:col>6</xdr:col>
      <xdr:colOff>943635</xdr:colOff>
      <xdr:row>79</xdr:row>
      <xdr:rowOff>77676</xdr:rowOff>
    </xdr:to>
    <xdr:sp macro="" textlink="">
      <xdr:nvSpPr>
        <xdr:cNvPr id="90" name="テキスト ボックス 89">
          <a:extLst>
            <a:ext uri="{FF2B5EF4-FFF2-40B4-BE49-F238E27FC236}">
              <a16:creationId xmlns:a16="http://schemas.microsoft.com/office/drawing/2014/main" id="{9583D83A-FFBB-4999-9315-6F09C6DEFEF8}"/>
            </a:ext>
          </a:extLst>
        </xdr:cNvPr>
        <xdr:cNvSpPr txBox="1"/>
      </xdr:nvSpPr>
      <xdr:spPr>
        <a:xfrm>
          <a:off x="5528762" y="133081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79</xdr:row>
      <xdr:rowOff>160116</xdr:rowOff>
    </xdr:from>
    <xdr:to>
      <xdr:col>6</xdr:col>
      <xdr:colOff>151527</xdr:colOff>
      <xdr:row>80</xdr:row>
      <xdr:rowOff>112491</xdr:rowOff>
    </xdr:to>
    <xdr:sp macro="" textlink="">
      <xdr:nvSpPr>
        <xdr:cNvPr id="92" name="テキスト ボックス 91">
          <a:extLst>
            <a:ext uri="{FF2B5EF4-FFF2-40B4-BE49-F238E27FC236}">
              <a16:creationId xmlns:a16="http://schemas.microsoft.com/office/drawing/2014/main" id="{F83F4851-5C03-42DD-B6B0-589E74E64827}"/>
            </a:ext>
          </a:extLst>
        </xdr:cNvPr>
        <xdr:cNvSpPr txBox="1"/>
      </xdr:nvSpPr>
      <xdr:spPr>
        <a:xfrm>
          <a:off x="5037852" y="1367609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60485</xdr:rowOff>
    </xdr:from>
    <xdr:to>
      <xdr:col>6</xdr:col>
      <xdr:colOff>151527</xdr:colOff>
      <xdr:row>81</xdr:row>
      <xdr:rowOff>12860</xdr:rowOff>
    </xdr:to>
    <xdr:sp macro="" textlink="">
      <xdr:nvSpPr>
        <xdr:cNvPr id="94" name="テキスト ボックス 93">
          <a:extLst>
            <a:ext uri="{FF2B5EF4-FFF2-40B4-BE49-F238E27FC236}">
              <a16:creationId xmlns:a16="http://schemas.microsoft.com/office/drawing/2014/main" id="{7E68C904-0BA3-4E20-8DA0-22A1EE176189}"/>
            </a:ext>
          </a:extLst>
        </xdr:cNvPr>
        <xdr:cNvSpPr txBox="1"/>
      </xdr:nvSpPr>
      <xdr:spPr>
        <a:xfrm>
          <a:off x="5037852" y="13747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158401</xdr:rowOff>
    </xdr:from>
    <xdr:to>
      <xdr:col>6</xdr:col>
      <xdr:colOff>151527</xdr:colOff>
      <xdr:row>81</xdr:row>
      <xdr:rowOff>110776</xdr:rowOff>
    </xdr:to>
    <xdr:sp macro="" textlink="">
      <xdr:nvSpPr>
        <xdr:cNvPr id="96" name="テキスト ボックス 95">
          <a:extLst>
            <a:ext uri="{FF2B5EF4-FFF2-40B4-BE49-F238E27FC236}">
              <a16:creationId xmlns:a16="http://schemas.microsoft.com/office/drawing/2014/main" id="{2129868C-F95E-4494-906D-CCF8C8391EAC}"/>
            </a:ext>
          </a:extLst>
        </xdr:cNvPr>
        <xdr:cNvSpPr txBox="1"/>
      </xdr:nvSpPr>
      <xdr:spPr>
        <a:xfrm>
          <a:off x="5037852" y="1384582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82</xdr:row>
      <xdr:rowOff>162686</xdr:rowOff>
    </xdr:from>
    <xdr:to>
      <xdr:col>6</xdr:col>
      <xdr:colOff>151527</xdr:colOff>
      <xdr:row>83</xdr:row>
      <xdr:rowOff>115061</xdr:rowOff>
    </xdr:to>
    <xdr:sp macro="" textlink="">
      <xdr:nvSpPr>
        <xdr:cNvPr id="97" name="テキスト ボックス 96">
          <a:extLst>
            <a:ext uri="{FF2B5EF4-FFF2-40B4-BE49-F238E27FC236}">
              <a16:creationId xmlns:a16="http://schemas.microsoft.com/office/drawing/2014/main" id="{23E4285B-7EF7-4A0F-A6E2-793D8901750A}"/>
            </a:ext>
          </a:extLst>
        </xdr:cNvPr>
        <xdr:cNvSpPr txBox="1"/>
      </xdr:nvSpPr>
      <xdr:spPr>
        <a:xfrm>
          <a:off x="5037852" y="141930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84</xdr:row>
      <xdr:rowOff>58959</xdr:rowOff>
    </xdr:from>
    <xdr:to>
      <xdr:col>6</xdr:col>
      <xdr:colOff>151527</xdr:colOff>
      <xdr:row>85</xdr:row>
      <xdr:rowOff>11334</xdr:rowOff>
    </xdr:to>
    <xdr:sp macro="" textlink="">
      <xdr:nvSpPr>
        <xdr:cNvPr id="99" name="テキスト ボックス 98">
          <a:extLst>
            <a:ext uri="{FF2B5EF4-FFF2-40B4-BE49-F238E27FC236}">
              <a16:creationId xmlns:a16="http://schemas.microsoft.com/office/drawing/2014/main" id="{44D39EBD-2DF6-4F59-8A9A-BEB949207617}"/>
            </a:ext>
          </a:extLst>
        </xdr:cNvPr>
        <xdr:cNvSpPr txBox="1"/>
      </xdr:nvSpPr>
      <xdr:spPr>
        <a:xfrm>
          <a:off x="5037852" y="1443218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84</xdr:row>
      <xdr:rowOff>100122</xdr:rowOff>
    </xdr:from>
    <xdr:to>
      <xdr:col>6</xdr:col>
      <xdr:colOff>943635</xdr:colOff>
      <xdr:row>86</xdr:row>
      <xdr:rowOff>42749</xdr:rowOff>
    </xdr:to>
    <xdr:sp macro="" textlink="">
      <xdr:nvSpPr>
        <xdr:cNvPr id="100" name="テキスト ボックス 99">
          <a:extLst>
            <a:ext uri="{FF2B5EF4-FFF2-40B4-BE49-F238E27FC236}">
              <a16:creationId xmlns:a16="http://schemas.microsoft.com/office/drawing/2014/main" id="{40D71424-C0B1-4A1E-B042-36D60FEE4355}"/>
            </a:ext>
          </a:extLst>
        </xdr:cNvPr>
        <xdr:cNvSpPr txBox="1"/>
      </xdr:nvSpPr>
      <xdr:spPr>
        <a:xfrm>
          <a:off x="5528762" y="14473347"/>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96</xdr:row>
      <xdr:rowOff>139811</xdr:rowOff>
    </xdr:from>
    <xdr:to>
      <xdr:col>6</xdr:col>
      <xdr:colOff>943635</xdr:colOff>
      <xdr:row>98</xdr:row>
      <xdr:rowOff>82438</xdr:rowOff>
    </xdr:to>
    <xdr:sp macro="" textlink="">
      <xdr:nvSpPr>
        <xdr:cNvPr id="101" name="テキスト ボックス 100">
          <a:extLst>
            <a:ext uri="{FF2B5EF4-FFF2-40B4-BE49-F238E27FC236}">
              <a16:creationId xmlns:a16="http://schemas.microsoft.com/office/drawing/2014/main" id="{DB910CD2-7276-4911-995D-D839C4F7C640}"/>
            </a:ext>
          </a:extLst>
        </xdr:cNvPr>
        <xdr:cNvSpPr txBox="1"/>
      </xdr:nvSpPr>
      <xdr:spPr>
        <a:xfrm>
          <a:off x="5528762" y="165704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99</xdr:row>
      <xdr:rowOff>4763</xdr:rowOff>
    </xdr:from>
    <xdr:to>
      <xdr:col>6</xdr:col>
      <xdr:colOff>151527</xdr:colOff>
      <xdr:row>99</xdr:row>
      <xdr:rowOff>128588</xdr:rowOff>
    </xdr:to>
    <xdr:sp macro="" textlink="">
      <xdr:nvSpPr>
        <xdr:cNvPr id="103" name="テキスト ボックス 102">
          <a:extLst>
            <a:ext uri="{FF2B5EF4-FFF2-40B4-BE49-F238E27FC236}">
              <a16:creationId xmlns:a16="http://schemas.microsoft.com/office/drawing/2014/main" id="{62CA112E-A5AD-4E7D-9408-E67E091B9BE9}"/>
            </a:ext>
          </a:extLst>
        </xdr:cNvPr>
        <xdr:cNvSpPr txBox="1"/>
      </xdr:nvSpPr>
      <xdr:spPr>
        <a:xfrm>
          <a:off x="5037852" y="16949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99</xdr:row>
      <xdr:rowOff>76581</xdr:rowOff>
    </xdr:from>
    <xdr:to>
      <xdr:col>6</xdr:col>
      <xdr:colOff>151527</xdr:colOff>
      <xdr:row>100</xdr:row>
      <xdr:rowOff>28956</xdr:rowOff>
    </xdr:to>
    <xdr:sp macro="" textlink="">
      <xdr:nvSpPr>
        <xdr:cNvPr id="105" name="テキスト ボックス 104">
          <a:extLst>
            <a:ext uri="{FF2B5EF4-FFF2-40B4-BE49-F238E27FC236}">
              <a16:creationId xmlns:a16="http://schemas.microsoft.com/office/drawing/2014/main" id="{2CDFABC3-1CFB-4B6A-8722-1D6095FDEB78}"/>
            </a:ext>
          </a:extLst>
        </xdr:cNvPr>
        <xdr:cNvSpPr txBox="1"/>
      </xdr:nvSpPr>
      <xdr:spPr>
        <a:xfrm>
          <a:off x="5037852" y="170215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99</xdr:row>
      <xdr:rowOff>95361</xdr:rowOff>
    </xdr:from>
    <xdr:to>
      <xdr:col>6</xdr:col>
      <xdr:colOff>943635</xdr:colOff>
      <xdr:row>101</xdr:row>
      <xdr:rowOff>37988</xdr:rowOff>
    </xdr:to>
    <xdr:sp macro="" textlink="">
      <xdr:nvSpPr>
        <xdr:cNvPr id="106" name="テキスト ボックス 105">
          <a:extLst>
            <a:ext uri="{FF2B5EF4-FFF2-40B4-BE49-F238E27FC236}">
              <a16:creationId xmlns:a16="http://schemas.microsoft.com/office/drawing/2014/main" id="{B8040C0F-DCD7-4549-8A97-B3774CAB3CD3}"/>
            </a:ext>
          </a:extLst>
        </xdr:cNvPr>
        <xdr:cNvSpPr txBox="1"/>
      </xdr:nvSpPr>
      <xdr:spPr>
        <a:xfrm>
          <a:off x="5528762" y="170403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111</xdr:row>
      <xdr:rowOff>158861</xdr:rowOff>
    </xdr:from>
    <xdr:to>
      <xdr:col>0</xdr:col>
      <xdr:colOff>943635</xdr:colOff>
      <xdr:row>113</xdr:row>
      <xdr:rowOff>101488</xdr:rowOff>
    </xdr:to>
    <xdr:sp macro="" textlink="">
      <xdr:nvSpPr>
        <xdr:cNvPr id="107" name="テキスト ボックス 106">
          <a:extLst>
            <a:ext uri="{FF2B5EF4-FFF2-40B4-BE49-F238E27FC236}">
              <a16:creationId xmlns:a16="http://schemas.microsoft.com/office/drawing/2014/main" id="{4CABC640-E4E1-4CD3-BD81-F13B6C8E3B43}"/>
            </a:ext>
          </a:extLst>
        </xdr:cNvPr>
        <xdr:cNvSpPr txBox="1"/>
      </xdr:nvSpPr>
      <xdr:spPr>
        <a:xfrm>
          <a:off x="528137" y="191612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114</xdr:row>
      <xdr:rowOff>23813</xdr:rowOff>
    </xdr:from>
    <xdr:to>
      <xdr:col>0</xdr:col>
      <xdr:colOff>151527</xdr:colOff>
      <xdr:row>114</xdr:row>
      <xdr:rowOff>147638</xdr:rowOff>
    </xdr:to>
    <xdr:sp macro="" textlink="">
      <xdr:nvSpPr>
        <xdr:cNvPr id="109" name="テキスト ボックス 108">
          <a:extLst>
            <a:ext uri="{FF2B5EF4-FFF2-40B4-BE49-F238E27FC236}">
              <a16:creationId xmlns:a16="http://schemas.microsoft.com/office/drawing/2014/main" id="{0764C054-5662-4B2D-B676-CEAA34D5F069}"/>
            </a:ext>
          </a:extLst>
        </xdr:cNvPr>
        <xdr:cNvSpPr txBox="1"/>
      </xdr:nvSpPr>
      <xdr:spPr>
        <a:xfrm>
          <a:off x="37227" y="195405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114</xdr:row>
      <xdr:rowOff>100013</xdr:rowOff>
    </xdr:from>
    <xdr:to>
      <xdr:col>0</xdr:col>
      <xdr:colOff>151527</xdr:colOff>
      <xdr:row>115</xdr:row>
      <xdr:rowOff>52388</xdr:rowOff>
    </xdr:to>
    <xdr:sp macro="" textlink="">
      <xdr:nvSpPr>
        <xdr:cNvPr id="111" name="テキスト ボックス 110">
          <a:extLst>
            <a:ext uri="{FF2B5EF4-FFF2-40B4-BE49-F238E27FC236}">
              <a16:creationId xmlns:a16="http://schemas.microsoft.com/office/drawing/2014/main" id="{B73B36B5-FEB2-453F-8F0B-6B762A8F881B}"/>
            </a:ext>
          </a:extLst>
        </xdr:cNvPr>
        <xdr:cNvSpPr txBox="1"/>
      </xdr:nvSpPr>
      <xdr:spPr>
        <a:xfrm>
          <a:off x="37227" y="19616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116</xdr:row>
      <xdr:rowOff>100013</xdr:rowOff>
    </xdr:from>
    <xdr:to>
      <xdr:col>0</xdr:col>
      <xdr:colOff>151527</xdr:colOff>
      <xdr:row>117</xdr:row>
      <xdr:rowOff>52388</xdr:rowOff>
    </xdr:to>
    <xdr:sp macro="" textlink="">
      <xdr:nvSpPr>
        <xdr:cNvPr id="113" name="テキスト ボックス 112">
          <a:extLst>
            <a:ext uri="{FF2B5EF4-FFF2-40B4-BE49-F238E27FC236}">
              <a16:creationId xmlns:a16="http://schemas.microsoft.com/office/drawing/2014/main" id="{988FEF64-D976-45E6-8A7F-08A458234FAA}"/>
            </a:ext>
          </a:extLst>
        </xdr:cNvPr>
        <xdr:cNvSpPr txBox="1"/>
      </xdr:nvSpPr>
      <xdr:spPr>
        <a:xfrm>
          <a:off x="37227" y="199596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118</xdr:row>
      <xdr:rowOff>76311</xdr:rowOff>
    </xdr:from>
    <xdr:to>
      <xdr:col>0</xdr:col>
      <xdr:colOff>943635</xdr:colOff>
      <xdr:row>120</xdr:row>
      <xdr:rowOff>18938</xdr:rowOff>
    </xdr:to>
    <xdr:sp macro="" textlink="">
      <xdr:nvSpPr>
        <xdr:cNvPr id="114" name="テキスト ボックス 113">
          <a:extLst>
            <a:ext uri="{FF2B5EF4-FFF2-40B4-BE49-F238E27FC236}">
              <a16:creationId xmlns:a16="http://schemas.microsoft.com/office/drawing/2014/main" id="{83DCB07C-4269-4BDD-BD05-248038C23492}"/>
            </a:ext>
          </a:extLst>
        </xdr:cNvPr>
        <xdr:cNvSpPr txBox="1"/>
      </xdr:nvSpPr>
      <xdr:spPr>
        <a:xfrm>
          <a:off x="528137" y="202788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128</xdr:row>
      <xdr:rowOff>135049</xdr:rowOff>
    </xdr:from>
    <xdr:to>
      <xdr:col>0</xdr:col>
      <xdr:colOff>943635</xdr:colOff>
      <xdr:row>130</xdr:row>
      <xdr:rowOff>77676</xdr:rowOff>
    </xdr:to>
    <xdr:sp macro="" textlink="">
      <xdr:nvSpPr>
        <xdr:cNvPr id="115" name="テキスト ボックス 114">
          <a:extLst>
            <a:ext uri="{FF2B5EF4-FFF2-40B4-BE49-F238E27FC236}">
              <a16:creationId xmlns:a16="http://schemas.microsoft.com/office/drawing/2014/main" id="{A1C707A2-72AD-4DE6-BE34-8A98C174A43F}"/>
            </a:ext>
          </a:extLst>
        </xdr:cNvPr>
        <xdr:cNvSpPr txBox="1"/>
      </xdr:nvSpPr>
      <xdr:spPr>
        <a:xfrm>
          <a:off x="528137" y="220520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130</xdr:row>
      <xdr:rowOff>160054</xdr:rowOff>
    </xdr:from>
    <xdr:to>
      <xdr:col>0</xdr:col>
      <xdr:colOff>151527</xdr:colOff>
      <xdr:row>131</xdr:row>
      <xdr:rowOff>112429</xdr:rowOff>
    </xdr:to>
    <xdr:sp macro="" textlink="">
      <xdr:nvSpPr>
        <xdr:cNvPr id="117" name="テキスト ボックス 116">
          <a:extLst>
            <a:ext uri="{FF2B5EF4-FFF2-40B4-BE49-F238E27FC236}">
              <a16:creationId xmlns:a16="http://schemas.microsoft.com/office/drawing/2014/main" id="{06FA07F9-B9CC-489C-A035-20F6BF1D5C71}"/>
            </a:ext>
          </a:extLst>
        </xdr:cNvPr>
        <xdr:cNvSpPr txBox="1"/>
      </xdr:nvSpPr>
      <xdr:spPr>
        <a:xfrm>
          <a:off x="37227" y="2241997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60423</xdr:rowOff>
    </xdr:from>
    <xdr:to>
      <xdr:col>0</xdr:col>
      <xdr:colOff>151527</xdr:colOff>
      <xdr:row>132</xdr:row>
      <xdr:rowOff>12798</xdr:rowOff>
    </xdr:to>
    <xdr:sp macro="" textlink="">
      <xdr:nvSpPr>
        <xdr:cNvPr id="119" name="テキスト ボックス 118">
          <a:extLst>
            <a:ext uri="{FF2B5EF4-FFF2-40B4-BE49-F238E27FC236}">
              <a16:creationId xmlns:a16="http://schemas.microsoft.com/office/drawing/2014/main" id="{5D98C060-BE3E-4262-BC74-5F9BE51C4D38}"/>
            </a:ext>
          </a:extLst>
        </xdr:cNvPr>
        <xdr:cNvSpPr txBox="1"/>
      </xdr:nvSpPr>
      <xdr:spPr>
        <a:xfrm>
          <a:off x="37227" y="224917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156992</xdr:rowOff>
    </xdr:from>
    <xdr:to>
      <xdr:col>0</xdr:col>
      <xdr:colOff>151527</xdr:colOff>
      <xdr:row>132</xdr:row>
      <xdr:rowOff>109367</xdr:rowOff>
    </xdr:to>
    <xdr:sp macro="" textlink="">
      <xdr:nvSpPr>
        <xdr:cNvPr id="121" name="テキスト ボックス 120">
          <a:extLst>
            <a:ext uri="{FF2B5EF4-FFF2-40B4-BE49-F238E27FC236}">
              <a16:creationId xmlns:a16="http://schemas.microsoft.com/office/drawing/2014/main" id="{E76AD466-9BEC-4E06-9407-0ADCA4B7679C}"/>
            </a:ext>
          </a:extLst>
        </xdr:cNvPr>
        <xdr:cNvSpPr txBox="1"/>
      </xdr:nvSpPr>
      <xdr:spPr>
        <a:xfrm>
          <a:off x="37227" y="2258836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133</xdr:row>
      <xdr:rowOff>43712</xdr:rowOff>
    </xdr:from>
    <xdr:to>
      <xdr:col>0</xdr:col>
      <xdr:colOff>151527</xdr:colOff>
      <xdr:row>133</xdr:row>
      <xdr:rowOff>167537</xdr:rowOff>
    </xdr:to>
    <xdr:sp macro="" textlink="">
      <xdr:nvSpPr>
        <xdr:cNvPr id="123" name="テキスト ボックス 122">
          <a:extLst>
            <a:ext uri="{FF2B5EF4-FFF2-40B4-BE49-F238E27FC236}">
              <a16:creationId xmlns:a16="http://schemas.microsoft.com/office/drawing/2014/main" id="{A11F3AEC-7497-4302-9534-760A84FD851C}"/>
            </a:ext>
          </a:extLst>
        </xdr:cNvPr>
        <xdr:cNvSpPr txBox="1"/>
      </xdr:nvSpPr>
      <xdr:spPr>
        <a:xfrm>
          <a:off x="37227" y="228179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136</xdr:row>
      <xdr:rowOff>26873</xdr:rowOff>
    </xdr:from>
    <xdr:to>
      <xdr:col>0</xdr:col>
      <xdr:colOff>151527</xdr:colOff>
      <xdr:row>136</xdr:row>
      <xdr:rowOff>150698</xdr:rowOff>
    </xdr:to>
    <xdr:sp macro="" textlink="">
      <xdr:nvSpPr>
        <xdr:cNvPr id="125" name="テキスト ボックス 124">
          <a:extLst>
            <a:ext uri="{FF2B5EF4-FFF2-40B4-BE49-F238E27FC236}">
              <a16:creationId xmlns:a16="http://schemas.microsoft.com/office/drawing/2014/main" id="{3F1F084C-25CD-4852-8EC7-83D126E1166F}"/>
            </a:ext>
          </a:extLst>
        </xdr:cNvPr>
        <xdr:cNvSpPr txBox="1"/>
      </xdr:nvSpPr>
      <xdr:spPr>
        <a:xfrm>
          <a:off x="37227" y="233154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111</xdr:row>
      <xdr:rowOff>135049</xdr:rowOff>
    </xdr:from>
    <xdr:to>
      <xdr:col>6</xdr:col>
      <xdr:colOff>943635</xdr:colOff>
      <xdr:row>113</xdr:row>
      <xdr:rowOff>77676</xdr:rowOff>
    </xdr:to>
    <xdr:sp macro="" textlink="">
      <xdr:nvSpPr>
        <xdr:cNvPr id="126" name="テキスト ボックス 125">
          <a:extLst>
            <a:ext uri="{FF2B5EF4-FFF2-40B4-BE49-F238E27FC236}">
              <a16:creationId xmlns:a16="http://schemas.microsoft.com/office/drawing/2014/main" id="{96C79278-D6C8-45C3-BE2A-D13B0237F0CF}"/>
            </a:ext>
          </a:extLst>
        </xdr:cNvPr>
        <xdr:cNvSpPr txBox="1"/>
      </xdr:nvSpPr>
      <xdr:spPr>
        <a:xfrm>
          <a:off x="5528762" y="191374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113</xdr:row>
      <xdr:rowOff>157384</xdr:rowOff>
    </xdr:from>
    <xdr:to>
      <xdr:col>6</xdr:col>
      <xdr:colOff>151527</xdr:colOff>
      <xdr:row>114</xdr:row>
      <xdr:rowOff>109759</xdr:rowOff>
    </xdr:to>
    <xdr:sp macro="" textlink="">
      <xdr:nvSpPr>
        <xdr:cNvPr id="128" name="テキスト ボックス 127">
          <a:extLst>
            <a:ext uri="{FF2B5EF4-FFF2-40B4-BE49-F238E27FC236}">
              <a16:creationId xmlns:a16="http://schemas.microsoft.com/office/drawing/2014/main" id="{71172FF6-624A-4392-9ACC-B60C7F46814B}"/>
            </a:ext>
          </a:extLst>
        </xdr:cNvPr>
        <xdr:cNvSpPr txBox="1"/>
      </xdr:nvSpPr>
      <xdr:spPr>
        <a:xfrm>
          <a:off x="5037852" y="195026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57753</xdr:rowOff>
    </xdr:from>
    <xdr:to>
      <xdr:col>6</xdr:col>
      <xdr:colOff>151527</xdr:colOff>
      <xdr:row>115</xdr:row>
      <xdr:rowOff>10128</xdr:rowOff>
    </xdr:to>
    <xdr:sp macro="" textlink="">
      <xdr:nvSpPr>
        <xdr:cNvPr id="130" name="テキスト ボックス 129">
          <a:extLst>
            <a:ext uri="{FF2B5EF4-FFF2-40B4-BE49-F238E27FC236}">
              <a16:creationId xmlns:a16="http://schemas.microsoft.com/office/drawing/2014/main" id="{F56C644E-43DC-44EB-9F45-D4CD57616478}"/>
            </a:ext>
          </a:extLst>
        </xdr:cNvPr>
        <xdr:cNvSpPr txBox="1"/>
      </xdr:nvSpPr>
      <xdr:spPr>
        <a:xfrm>
          <a:off x="5037852" y="1957447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129572</xdr:rowOff>
    </xdr:from>
    <xdr:to>
      <xdr:col>6</xdr:col>
      <xdr:colOff>151527</xdr:colOff>
      <xdr:row>115</xdr:row>
      <xdr:rowOff>81947</xdr:rowOff>
    </xdr:to>
    <xdr:sp macro="" textlink="">
      <xdr:nvSpPr>
        <xdr:cNvPr id="132" name="テキスト ボックス 131">
          <a:extLst>
            <a:ext uri="{FF2B5EF4-FFF2-40B4-BE49-F238E27FC236}">
              <a16:creationId xmlns:a16="http://schemas.microsoft.com/office/drawing/2014/main" id="{CDE7D34E-EC3F-45E6-9583-C3253E41C59D}"/>
            </a:ext>
          </a:extLst>
        </xdr:cNvPr>
        <xdr:cNvSpPr txBox="1"/>
      </xdr:nvSpPr>
      <xdr:spPr>
        <a:xfrm>
          <a:off x="5037852" y="1964629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115</xdr:row>
      <xdr:rowOff>148414</xdr:rowOff>
    </xdr:from>
    <xdr:to>
      <xdr:col>6</xdr:col>
      <xdr:colOff>151527</xdr:colOff>
      <xdr:row>116</xdr:row>
      <xdr:rowOff>100789</xdr:rowOff>
    </xdr:to>
    <xdr:sp macro="" textlink="">
      <xdr:nvSpPr>
        <xdr:cNvPr id="133" name="テキスト ボックス 132">
          <a:extLst>
            <a:ext uri="{FF2B5EF4-FFF2-40B4-BE49-F238E27FC236}">
              <a16:creationId xmlns:a16="http://schemas.microsoft.com/office/drawing/2014/main" id="{05946CC3-8317-4222-A0DB-5B40281E4D75}"/>
            </a:ext>
          </a:extLst>
        </xdr:cNvPr>
        <xdr:cNvSpPr txBox="1"/>
      </xdr:nvSpPr>
      <xdr:spPr>
        <a:xfrm>
          <a:off x="5037852" y="1983658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117</xdr:row>
      <xdr:rowOff>29794</xdr:rowOff>
    </xdr:from>
    <xdr:to>
      <xdr:col>6</xdr:col>
      <xdr:colOff>151527</xdr:colOff>
      <xdr:row>117</xdr:row>
      <xdr:rowOff>153619</xdr:rowOff>
    </xdr:to>
    <xdr:sp macro="" textlink="">
      <xdr:nvSpPr>
        <xdr:cNvPr id="135" name="テキスト ボックス 134">
          <a:extLst>
            <a:ext uri="{FF2B5EF4-FFF2-40B4-BE49-F238E27FC236}">
              <a16:creationId xmlns:a16="http://schemas.microsoft.com/office/drawing/2014/main" id="{6C2910B6-D58C-4F5C-B034-7FD3AFB0F0F1}"/>
            </a:ext>
          </a:extLst>
        </xdr:cNvPr>
        <xdr:cNvSpPr txBox="1"/>
      </xdr:nvSpPr>
      <xdr:spPr>
        <a:xfrm>
          <a:off x="5037852" y="2006086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118</xdr:row>
      <xdr:rowOff>7865</xdr:rowOff>
    </xdr:from>
    <xdr:to>
      <xdr:col>6</xdr:col>
      <xdr:colOff>151527</xdr:colOff>
      <xdr:row>118</xdr:row>
      <xdr:rowOff>131690</xdr:rowOff>
    </xdr:to>
    <xdr:sp macro="" textlink="">
      <xdr:nvSpPr>
        <xdr:cNvPr id="137" name="テキスト ボックス 136">
          <a:extLst>
            <a:ext uri="{FF2B5EF4-FFF2-40B4-BE49-F238E27FC236}">
              <a16:creationId xmlns:a16="http://schemas.microsoft.com/office/drawing/2014/main" id="{28C90475-024F-4520-B8ED-1B7B06B7DF5F}"/>
            </a:ext>
          </a:extLst>
        </xdr:cNvPr>
        <xdr:cNvSpPr txBox="1"/>
      </xdr:nvSpPr>
      <xdr:spPr>
        <a:xfrm>
          <a:off x="5037852" y="2021039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119</xdr:row>
      <xdr:rowOff>160376</xdr:rowOff>
    </xdr:from>
    <xdr:to>
      <xdr:col>6</xdr:col>
      <xdr:colOff>151527</xdr:colOff>
      <xdr:row>120</xdr:row>
      <xdr:rowOff>112751</xdr:rowOff>
    </xdr:to>
    <xdr:sp macro="" textlink="">
      <xdr:nvSpPr>
        <xdr:cNvPr id="139" name="テキスト ボックス 138">
          <a:extLst>
            <a:ext uri="{FF2B5EF4-FFF2-40B4-BE49-F238E27FC236}">
              <a16:creationId xmlns:a16="http://schemas.microsoft.com/office/drawing/2014/main" id="{172AD648-D2D8-4708-94F8-9A74F534A1E4}"/>
            </a:ext>
          </a:extLst>
        </xdr:cNvPr>
        <xdr:cNvSpPr txBox="1"/>
      </xdr:nvSpPr>
      <xdr:spPr>
        <a:xfrm>
          <a:off x="5037852" y="205343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6712</xdr:colOff>
      <xdr:row>132</xdr:row>
      <xdr:rowOff>97475</xdr:rowOff>
    </xdr:from>
    <xdr:to>
      <xdr:col>6</xdr:col>
      <xdr:colOff>394447</xdr:colOff>
      <xdr:row>135</xdr:row>
      <xdr:rowOff>81595</xdr:rowOff>
    </xdr:to>
    <xdr:sp macro="" textlink="">
      <xdr:nvSpPr>
        <xdr:cNvPr id="140" name="テキスト ボックス 139">
          <a:extLst>
            <a:ext uri="{FF2B5EF4-FFF2-40B4-BE49-F238E27FC236}">
              <a16:creationId xmlns:a16="http://schemas.microsoft.com/office/drawing/2014/main" id="{8E3CE94E-AEE3-43D2-BFF2-E7A41A5886B1}"/>
            </a:ext>
          </a:extLst>
        </xdr:cNvPr>
        <xdr:cNvSpPr txBox="1"/>
      </xdr:nvSpPr>
      <xdr:spPr>
        <a:xfrm>
          <a:off x="5007337" y="227003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130</xdr:row>
      <xdr:rowOff>3811</xdr:rowOff>
    </xdr:from>
    <xdr:to>
      <xdr:col>6</xdr:col>
      <xdr:colOff>309719</xdr:colOff>
      <xdr:row>138</xdr:row>
      <xdr:rowOff>3811</xdr:rowOff>
    </xdr:to>
    <xdr:sp macro="" textlink="">
      <xdr:nvSpPr>
        <xdr:cNvPr id="141" name="正方形/長方形 140">
          <a:extLst>
            <a:ext uri="{FF2B5EF4-FFF2-40B4-BE49-F238E27FC236}">
              <a16:creationId xmlns:a16="http://schemas.microsoft.com/office/drawing/2014/main" id="{1262E667-8FCE-4849-854C-DB8EF6E8BFC2}"/>
            </a:ext>
          </a:extLst>
        </xdr:cNvPr>
        <xdr:cNvSpPr/>
      </xdr:nvSpPr>
      <xdr:spPr>
        <a:xfrm>
          <a:off x="5302805" y="22263736"/>
          <a:ext cx="7539"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248800</xdr:colOff>
      <xdr:row>129</xdr:row>
      <xdr:rowOff>13336</xdr:rowOff>
    </xdr:from>
    <xdr:to>
      <xdr:col>6</xdr:col>
      <xdr:colOff>363100</xdr:colOff>
      <xdr:row>129</xdr:row>
      <xdr:rowOff>137161</xdr:rowOff>
    </xdr:to>
    <xdr:sp macro="" textlink="">
      <xdr:nvSpPr>
        <xdr:cNvPr id="142" name="テキスト ボックス 141">
          <a:extLst>
            <a:ext uri="{FF2B5EF4-FFF2-40B4-BE49-F238E27FC236}">
              <a16:creationId xmlns:a16="http://schemas.microsoft.com/office/drawing/2014/main" id="{78CC23A6-F33D-4577-B38A-2090C86ABBFD}"/>
            </a:ext>
          </a:extLst>
        </xdr:cNvPr>
        <xdr:cNvSpPr txBox="1"/>
      </xdr:nvSpPr>
      <xdr:spPr>
        <a:xfrm>
          <a:off x="524942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311665</xdr:colOff>
      <xdr:row>129</xdr:row>
      <xdr:rowOff>13336</xdr:rowOff>
    </xdr:from>
    <xdr:to>
      <xdr:col>6</xdr:col>
      <xdr:colOff>425965</xdr:colOff>
      <xdr:row>129</xdr:row>
      <xdr:rowOff>137161</xdr:rowOff>
    </xdr:to>
    <xdr:sp macro="" textlink="">
      <xdr:nvSpPr>
        <xdr:cNvPr id="143" name="テキスト ボックス 142">
          <a:extLst>
            <a:ext uri="{FF2B5EF4-FFF2-40B4-BE49-F238E27FC236}">
              <a16:creationId xmlns:a16="http://schemas.microsoft.com/office/drawing/2014/main" id="{E3864110-E47F-4D8E-992F-46C55D5BB5E0}"/>
            </a:ext>
          </a:extLst>
        </xdr:cNvPr>
        <xdr:cNvSpPr txBox="1"/>
      </xdr:nvSpPr>
      <xdr:spPr>
        <a:xfrm>
          <a:off x="531229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372542</xdr:colOff>
      <xdr:row>130</xdr:row>
      <xdr:rowOff>3811</xdr:rowOff>
    </xdr:from>
    <xdr:to>
      <xdr:col>6</xdr:col>
      <xdr:colOff>435366</xdr:colOff>
      <xdr:row>138</xdr:row>
      <xdr:rowOff>3811</xdr:rowOff>
    </xdr:to>
    <xdr:sp macro="" textlink="">
      <xdr:nvSpPr>
        <xdr:cNvPr id="144" name="正方形/長方形 143">
          <a:extLst>
            <a:ext uri="{FF2B5EF4-FFF2-40B4-BE49-F238E27FC236}">
              <a16:creationId xmlns:a16="http://schemas.microsoft.com/office/drawing/2014/main" id="{36349FFD-B61E-4069-942D-5079B6BED54D}"/>
            </a:ext>
          </a:extLst>
        </xdr:cNvPr>
        <xdr:cNvSpPr/>
      </xdr:nvSpPr>
      <xdr:spPr>
        <a:xfrm>
          <a:off x="5373167" y="22263736"/>
          <a:ext cx="62824"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374530</xdr:colOff>
      <xdr:row>129</xdr:row>
      <xdr:rowOff>13336</xdr:rowOff>
    </xdr:from>
    <xdr:to>
      <xdr:col>6</xdr:col>
      <xdr:colOff>488830</xdr:colOff>
      <xdr:row>129</xdr:row>
      <xdr:rowOff>137161</xdr:rowOff>
    </xdr:to>
    <xdr:sp macro="" textlink="">
      <xdr:nvSpPr>
        <xdr:cNvPr id="145" name="テキスト ボックス 144">
          <a:extLst>
            <a:ext uri="{FF2B5EF4-FFF2-40B4-BE49-F238E27FC236}">
              <a16:creationId xmlns:a16="http://schemas.microsoft.com/office/drawing/2014/main" id="{ABE391DA-4F9F-413C-B236-7221A6578CC6}"/>
            </a:ext>
          </a:extLst>
        </xdr:cNvPr>
        <xdr:cNvSpPr txBox="1"/>
      </xdr:nvSpPr>
      <xdr:spPr>
        <a:xfrm>
          <a:off x="537515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437395</xdr:colOff>
      <xdr:row>129</xdr:row>
      <xdr:rowOff>13336</xdr:rowOff>
    </xdr:from>
    <xdr:to>
      <xdr:col>6</xdr:col>
      <xdr:colOff>551695</xdr:colOff>
      <xdr:row>129</xdr:row>
      <xdr:rowOff>137161</xdr:rowOff>
    </xdr:to>
    <xdr:sp macro="" textlink="">
      <xdr:nvSpPr>
        <xdr:cNvPr id="146" name="テキスト ボックス 145">
          <a:extLst>
            <a:ext uri="{FF2B5EF4-FFF2-40B4-BE49-F238E27FC236}">
              <a16:creationId xmlns:a16="http://schemas.microsoft.com/office/drawing/2014/main" id="{52CF80DD-ACFE-4C9C-88F1-1F933AA699C7}"/>
            </a:ext>
          </a:extLst>
        </xdr:cNvPr>
        <xdr:cNvSpPr txBox="1"/>
      </xdr:nvSpPr>
      <xdr:spPr>
        <a:xfrm>
          <a:off x="543802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498189</xdr:colOff>
      <xdr:row>130</xdr:row>
      <xdr:rowOff>3811</xdr:rowOff>
    </xdr:from>
    <xdr:to>
      <xdr:col>6</xdr:col>
      <xdr:colOff>592424</xdr:colOff>
      <xdr:row>138</xdr:row>
      <xdr:rowOff>3811</xdr:rowOff>
    </xdr:to>
    <xdr:sp macro="" textlink="">
      <xdr:nvSpPr>
        <xdr:cNvPr id="147" name="正方形/長方形 146">
          <a:extLst>
            <a:ext uri="{FF2B5EF4-FFF2-40B4-BE49-F238E27FC236}">
              <a16:creationId xmlns:a16="http://schemas.microsoft.com/office/drawing/2014/main" id="{1DD4DAFE-FA02-4699-B64E-00ACE5D2A05D}"/>
            </a:ext>
          </a:extLst>
        </xdr:cNvPr>
        <xdr:cNvSpPr/>
      </xdr:nvSpPr>
      <xdr:spPr>
        <a:xfrm>
          <a:off x="5498814" y="22263736"/>
          <a:ext cx="9423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500261</xdr:colOff>
      <xdr:row>129</xdr:row>
      <xdr:rowOff>13336</xdr:rowOff>
    </xdr:from>
    <xdr:to>
      <xdr:col>6</xdr:col>
      <xdr:colOff>614561</xdr:colOff>
      <xdr:row>129</xdr:row>
      <xdr:rowOff>137161</xdr:rowOff>
    </xdr:to>
    <xdr:sp macro="" textlink="">
      <xdr:nvSpPr>
        <xdr:cNvPr id="148" name="テキスト ボックス 147">
          <a:extLst>
            <a:ext uri="{FF2B5EF4-FFF2-40B4-BE49-F238E27FC236}">
              <a16:creationId xmlns:a16="http://schemas.microsoft.com/office/drawing/2014/main" id="{1B3E628A-3E53-47DE-899B-CD1AE69AEC01}"/>
            </a:ext>
          </a:extLst>
        </xdr:cNvPr>
        <xdr:cNvSpPr txBox="1"/>
      </xdr:nvSpPr>
      <xdr:spPr>
        <a:xfrm>
          <a:off x="5500886"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592424</xdr:colOff>
      <xdr:row>130</xdr:row>
      <xdr:rowOff>3811</xdr:rowOff>
    </xdr:from>
    <xdr:to>
      <xdr:col>6</xdr:col>
      <xdr:colOff>906541</xdr:colOff>
      <xdr:row>138</xdr:row>
      <xdr:rowOff>3811</xdr:rowOff>
    </xdr:to>
    <xdr:sp macro="" textlink="">
      <xdr:nvSpPr>
        <xdr:cNvPr id="149" name="正方形/長方形 148">
          <a:extLst>
            <a:ext uri="{FF2B5EF4-FFF2-40B4-BE49-F238E27FC236}">
              <a16:creationId xmlns:a16="http://schemas.microsoft.com/office/drawing/2014/main" id="{4B7F4EF6-3B18-4E6B-8814-A6AC8279AE19}"/>
            </a:ext>
          </a:extLst>
        </xdr:cNvPr>
        <xdr:cNvSpPr/>
      </xdr:nvSpPr>
      <xdr:spPr>
        <a:xfrm>
          <a:off x="5593049" y="22263736"/>
          <a:ext cx="314117" cy="1371600"/>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692333</xdr:colOff>
      <xdr:row>129</xdr:row>
      <xdr:rowOff>13336</xdr:rowOff>
    </xdr:from>
    <xdr:to>
      <xdr:col>6</xdr:col>
      <xdr:colOff>806633</xdr:colOff>
      <xdr:row>129</xdr:row>
      <xdr:rowOff>137161</xdr:rowOff>
    </xdr:to>
    <xdr:sp macro="" textlink="">
      <xdr:nvSpPr>
        <xdr:cNvPr id="150" name="テキスト ボックス 149">
          <a:extLst>
            <a:ext uri="{FF2B5EF4-FFF2-40B4-BE49-F238E27FC236}">
              <a16:creationId xmlns:a16="http://schemas.microsoft.com/office/drawing/2014/main" id="{CED11FAE-57CA-4889-B949-DEDD3BBA3CEE}"/>
            </a:ext>
          </a:extLst>
        </xdr:cNvPr>
        <xdr:cNvSpPr txBox="1"/>
      </xdr:nvSpPr>
      <xdr:spPr>
        <a:xfrm>
          <a:off x="5692958"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D85102B9-286F-46F4-85EA-A52322B4B7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2AD6DF69-B624-4A36-8505-25EB2102E3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F333B693-8D2E-4C28-8A66-BCA345EF08B8}"/>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B6266138-337C-42BA-8B54-EBE4A63A3C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CBB25785-741E-495A-8390-2AB734972C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E58932BD-CE23-4A5E-A269-A47CF5FBDA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89A16D3A-595B-4107-902C-962A3B7BC36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7DBD1FEA-7F52-458F-A9BF-D0B2DD5F69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80F90E2B-9B13-41E5-893C-4C56421902A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33360019-74FC-4338-AC41-2C06FBFB084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49BFB2D3-95F1-48A3-A4D3-A40073AF85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81772353-F169-4FE8-8692-63486096CD9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2AA5865A-423C-401A-AE7D-5EC415FCAD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A2D3D1E5-39F2-4279-8B10-6217F42382E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79094FBC-7959-4CB9-8A57-8869039AC18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B689591D-405E-442C-BBD2-469417E1D14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DDC0E223-3061-420D-A6D6-337A4292F0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723E36FB-C1FE-4080-ADFF-C4123A1E37C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2B1AA134-ADBD-47D5-8E66-9E4C8254918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F199AB22-DA9A-4F10-A625-3332DE6C6E1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3A9695EB-B0BF-40EC-B810-B6619A5D5D0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DAD54C6A-5EB8-4B7B-8535-339FC522B15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C738A922-F885-4A6E-A93C-8272DF0A112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DEB30DE9-ECFE-4649-A34E-BFE1EBDC85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A7008CD7-CF9D-4F5D-9530-563C2442BC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829727E4-3718-4C1D-8184-D9D43FC396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5D856AFD-2B69-4831-9724-0A81ACE2FB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DB7FD872-7540-4068-854E-02290AC5E3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625A51D2-64FC-4366-8888-B8232BA6E30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5B84FB23-12E0-467A-B781-5DFC642A117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D6D6DC0A-A3E8-41C7-AFBF-99C4F366494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F44AA1E7-E8E3-490F-A82A-FD193ECE027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11ECD0F7-BFD3-4379-A6D0-78910F8946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F94209A0-62AD-457C-97E7-5CC0E2110B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0C767FB3-C417-40CB-9957-7A1DD55BC98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BACC96B2-B302-46CA-9359-8E6DB6110B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9C11602C-0452-47E6-A63F-F051439DA59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3878BBE8-59D1-484E-B3EC-B3CEDB62559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3A1A6521-8E28-47C9-A170-CF232F3F1A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9C33A4B8-E879-4D3A-BFD1-E67E9E72665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431F80FB-C022-4D69-AF42-37DABF8AB2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998F23D8-D248-43C5-A435-D97E796A6B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5F2C9FDC-0414-46A6-A603-8EBD52E517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D69666E9-19EF-4A3A-BF9E-65E0B4612A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78E500D8-1FEF-425C-BEDE-8B0208AAB8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0D5192D2-0253-4A03-8B52-6F06032190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78F485D4-E8CE-4676-86E6-5B5DEB482DC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C6F3B309-9D3B-4E0C-9546-F92BE09E11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38C52FD3-18B8-4A2D-8BB7-BF6AA98D662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5BF77295-19A3-41CE-896A-A12B770BF10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AE9E018E-14D3-48D0-87E4-2CF5B34A6E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AFD03B4A-3741-49B2-A43C-055FDE632B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34F5FBFF-B820-4E40-8A5E-B4EC30263A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7B3C21DF-19FD-49C8-AFED-787D2635BA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B5A20E53-D225-47B2-A049-4EA590AD70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3FD91DB7-F802-447B-99F6-3DC3CA09025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ACCC5E00-F832-46B9-9DA4-871783B00B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67281678-4002-4A42-BE43-76B51B5223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6E0EE11D-386C-4FFA-8040-E9E4CC2FED5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E4E17DD0-D830-4BAE-ADB8-4AEFAADC28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08D170B7-7A1D-4EC7-98B9-4C52036386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32BE935B-BC41-41CA-A606-A6271731012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783B852A-4DBA-43DF-957F-6B1D11509B0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88ACBEAC-39F5-451B-96BF-85C5C72A4A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2617EC9F-B93E-4FD0-847F-90C8A8FDD6D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8401C8B9-4AB0-41B1-8CE1-FB46938567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49EA11EA-C212-448D-935F-0AD3CFC8ACC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61193337-CE30-44DA-9B80-90C157D2204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9BA4B1A4-7CED-4FF9-82D0-C901C3E0F4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4122E421-F0A9-4D61-8AED-2CA0AE6A30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7B0CBAB1-80C4-4A2E-B4FB-3443445264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C47585EA-1131-416E-90DE-365112626E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AF73D7B3-3AB3-4625-AAC1-27424BBD50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EFC31AEB-B42D-4379-AFB8-A9C5C2169DB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9BB3FB2E-0344-4CB0-8E8E-7C340B6D20A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E8CB82B2-33BC-4B0B-9586-9CB80525ED4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F29BC146-AF52-4309-8DA6-7204D4F9805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E9D6199D-45AE-4DC2-B3F3-DD65162CC96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A2BBB84D-6105-47AE-8C37-A2AC9106F0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933FFF74-9C32-4612-A8E2-10948395952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E1D52D3E-B0F9-4CB3-A245-61764E633DF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AF102EAE-7927-45E1-9BEF-C908DBE073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3BE4A060-8BEC-47F3-9EA3-B9B3B85B723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46A683FF-ABDE-4526-911F-931E7EEE083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1BF36529-6039-4051-83D1-FF88FE20A1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4109E159-0590-4055-87E6-35B402BACBF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C1EDE3DA-3D00-40E1-ADB4-5D644228E9C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1DB68C17-E89A-463D-A651-15C59D5FF1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2F4A990F-BEF6-4305-98B6-F092CD1ED2F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79DF033B-D5E6-4DA3-9312-BB999BD15A0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35FE6698-6EF2-47E4-A745-8D862928F9F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976F4C6D-F51A-49A2-BE9C-3350C572EF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3F2FCB2B-149B-4F45-8B72-6328D81AF12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AD97EF27-A12F-4CFD-856F-8A2A5AE93B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99722182-1DED-420C-B869-CA3B85BEBE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1B07C140-4963-4BDA-90CE-A791995F41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8B8BD59A-3398-4E2E-9C39-3506ECDB634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75AC9C06-C657-4C82-B7A3-32B0548867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A6279872-BEED-4B57-9BCF-1DEE300E97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5155EDEC-CAEA-4510-B588-0BC21DEC28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C1F0E3B9-D38E-43A0-BB43-A3C7E323CC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D28E3601-0406-4A7E-9FC4-16068EBA2E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EAA079EF-9E15-457D-BBF7-49F333D74E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8E4242F1-92B4-4EDB-85DA-51CBA69581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8A525016-D16E-41B0-9907-698AC6B7BA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E8D40547-D8EA-4E6D-8419-7422B6EB07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BCCB9067-0AD3-4231-A73D-D7C2A5B15E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252D344C-48C5-457D-B79E-AB645DC29A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E3CC70B1-0CCC-49C7-B051-EFC3B14DE2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7D34502C-1608-4BC5-88D6-0A4B69D878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ADCCD696-E0A7-4A1C-AAB7-4579B2852F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684A6493-D5C4-46EA-8C96-E386419F02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CBCF576C-9E2D-4EF2-9111-6921744569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79C46794-CD99-4E25-B4F0-750D6A5A85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3D26BE66-1952-4B9C-AC4E-8E7719DC8D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2FBE5794-1395-4C27-B742-52224B7BB8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4582BEA0-7C3D-421E-8DD4-727922B8A9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2A4DB550-7914-46F7-8F86-5774ED57B9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D2159A4F-BC35-4C23-B4B6-67181DD081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79B8B5B2-5BEE-4476-9AC4-F96EE492C9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EC55AD86-ABE6-433E-A4E2-2CE62168AD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86C71D93-230A-4D2D-89C0-DB470658C3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B319AF5C-FB0A-4C1C-8481-E018361A3F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A09CC4B9-718F-4D87-B824-8924A44C71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F77B7EC9-ED32-45A9-B090-9AD8A6891E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FDB35B41-EDCD-4050-8105-A6DC08C0B5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48DBB3C2-737D-444B-830E-DBFEB1EF5F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09F7D7AA-74DC-458F-BFFA-B26D8206B8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01720182-71FF-4874-ABB4-D02059AE80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A6B6535E-8159-4471-9109-890867271E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DB7BC094-B5F8-4216-96B4-5E8416985A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423500A5-F1A8-4D06-8926-7F83A8B7561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60A8714E-AFCD-490D-8237-90C3182E3C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21E0D66B-2943-4CF6-A1CE-7D97BD17A3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E08F4DE1-E3F6-46A8-BAD3-47635620FB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E862F011-6FF2-4BA0-9B01-34495571E9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70532D80-7B87-4793-B862-D15FC5130F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8906C517-6F25-4E11-AE6F-D39457CC34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52543322-D6C1-4EF8-8729-0EBBA143F9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D115DACC-3FE2-4957-B161-9841AB4EA3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2A85ED4E-7BC1-4EC7-9323-BEC15DDB1A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198333CF-663C-42C1-B68E-D7D6A21370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69822103-3BAA-4B46-8DED-2E28F01358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A4359F29-197E-486B-B19B-F47558B5DF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8213FF77-E765-440D-A2FD-5B9CB5FF50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C15E2643-7EA7-4E34-A43D-8A01256F03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3A4D12C-2D99-45EC-AD40-EB79D7F2F0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A290184F-E77A-4F43-8908-52BE69A362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81BEA448-7D38-4253-BDE3-FA07D6F837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E12EC22E-6F40-4328-B133-F98513D0C3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03AAB940-7679-4036-A780-E41E5EA557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34261F6B-DC7F-41A3-9021-ADA2F11578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925A0162-9B59-49FA-AFDB-F4B075043C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9FD40125-F5BD-40FD-AAE3-272C8FDA35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5655DA4C-36D3-4979-99A5-E99AE18623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E5F0F6AF-E59D-47BD-9161-270C37D63B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735B9E53-3DA3-4832-8D1E-2AC4B93579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2EA850E2-66AE-4904-943E-9362B61EA4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250E145A-25EF-435E-9C4F-5CF013F0CF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6B3A2267-9F00-4B4B-BDC6-696083C3B5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641C4ED8-94D6-4B35-9CB4-A209C55FBA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C5EF2122-B044-4039-A80A-4F479D9A78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C7E1008B-47A4-4A53-83B9-ABACFAB32C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3179654A-5D07-4580-BE38-23F26A1D32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E904CFC3-6591-427E-B00A-5311B3A264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AC027339-B6E4-4355-94B2-631C9D2356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0DE1BBDA-4B3E-4C6D-B10B-1489633FD6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A1A123D2-2C20-4E2B-99E2-E4B1B7FC68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233C0AA8-666B-47FF-9C55-B1ACF3E2AE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33E386A4-D719-4AC7-AFB2-923EC1518C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A20AAECE-0F58-4098-9F10-94AE63F51C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E3ED1AC0-95A8-431C-9A87-9C032DDF28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039A72B7-B3CE-4137-A63E-CAF04067DE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8B837A09-EEE3-4F71-9599-524276B186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2B18CE2B-6967-4F1C-9461-7EB2CABCF9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2740A1F5-59BF-421E-8796-0F8E23E985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D6019322-46D6-439F-A153-82C85C0122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08AD0459-0762-40F5-BD2A-5F01B6336E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56E6E704-6A94-4A08-B349-B6F49ABCDB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9D56C73F-765D-4BA5-B454-D55D499AA2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19497049-BD94-40E0-8968-FC3F676008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0D8489DA-54ED-4BFF-9BA7-86FCD9D642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4EFA9B9F-C6F6-43AD-B357-65C80F4412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396EEA26-139D-4C7B-AEDD-91E1A63E4C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5F5F2160-E943-426C-BD9B-D4669B6673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8CF8A5F7-53B4-4617-BDF2-E4A26272A2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F271D3AA-3177-465B-92EE-356538C410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F1A002FF-8EBF-4EF6-9DB9-603836FC50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05B32667-3B19-4513-9F9D-AE1BA75703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AA55E727-DCC1-4333-BC8A-D804B2EC9E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6778ED7A-4F55-4A01-A3E0-F5EE8443B3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73965800-71F2-461E-9171-C556AAD155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9769CBF2-5975-424A-8D5E-41857C8F67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4B5CF960-880E-45EC-8DF1-281979E6F3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75EAB3B4-4745-4354-9FA1-413C8C2382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FBB15E2C-6D99-4EBF-83CB-D52D4BEA2D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80FAE982-B290-4211-A5A0-8C9B34A233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7A4938FB-B683-49D2-9528-F89E523FB5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4B99409F-2FD9-4CCC-A05E-AFBCEFD19B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3A7B41D3-4F9C-48FE-86C3-42E0882D05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342AA7FF-9FDD-4D03-8A9D-734E8F104B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8B72B88C-614B-4F80-AD75-FF810EB606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CF62CECD-BB86-4FC1-B68A-71220C831D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39F3BBEE-415C-46FA-AB8E-C093FF6A02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EFC51278-83FB-4129-89D5-1202026DCF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AF0041F7-9A44-4FFF-A67A-EC922DFDDF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A102D8EB-403E-4A6C-9C55-C778F5F490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84705A6A-B439-4452-966F-674A48892B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9F304CE2-BD63-4C75-AF7F-02F4A0ED70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02E8F7BC-5813-4024-8A5C-B626B89364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A3F67FF8-ABF5-4767-AC7E-1775B3101A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1408680D-8A1F-456C-8FFD-A38D79A768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1935B52C-291C-4FA4-898F-0F3C8533C3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E553E267-9913-4F2E-A0CC-86D53CECED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A947ACAE-889E-48DA-BA36-A5331B17B7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0CA36DD3-856B-435A-BB28-5AB2B37BFA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F9E3F9E3-FC65-412B-8CDD-6B621F8D51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9EFE15FB-F85A-43E6-A583-8384868476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C7EE46B5-AD13-4C3D-A747-1EBCE8EA31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648C32D0-B341-4A2C-BC30-8B91E15BE5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AB79F2F8-6867-4C71-B155-92EA2C2E5F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DACC7DBA-8D7D-4F60-81F0-5DA39E9FD6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2B795758-36A5-4428-82A7-D70E2E4049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165C6B1C-0DD4-46C2-AA0B-72AC1BA2F3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47106D4B-BA69-45D8-A9F1-13F53293A2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8E794DC8-60FC-416E-B834-5C423C2918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CF2687BB-8977-47D5-8A83-F22CE21422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B87814BD-DB28-413A-A121-7C1EDA42CC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41BD1B2A-2C5C-4E85-B68E-2CE7C1967B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9FD3D5F0-E24E-40E0-A242-0AAF397437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23E41B19-E9B6-4060-97EF-7FBD81F76D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AF59AED4-AEC1-4680-8224-1F6F5D22B1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7EA0A4F0-45EE-4FDD-948A-4E3D5210EE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A185AA79-CC6E-4399-A18B-B24AC2B82A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FFE8056C-7E7D-4DA2-B2A0-DD7B7EF451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3F7E2329-5BAB-47BC-819C-313E78A38D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6070025E-9CD8-4E6E-AD69-156193382C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8A0E2A46-18B0-4500-90A3-EC9C7B7E27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5840794B-C58D-4715-A48E-B0B0E4C992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FBB84BB0-925F-444A-BD17-3EFF0F0CDA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32C21888-D98E-4D2E-B2A7-9ADD0ED018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6E957C13-D33D-46A0-AF59-61762BE93F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BC9726CE-CFDF-4B9E-9AA7-07A277B0B8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AE868C9B-D53D-46A2-B999-5428585854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664C5BF8-996E-4831-856A-D9C43FF4B9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E6A4661C-FC9B-44E6-BFE7-C6E7E1D614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D49CE025-7658-4B50-BE07-4DE4F907C5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522791CF-D39D-432B-A66B-FEB5871F22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FC005861-F07D-4C00-B3C0-A75967F7FF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9CA6BD12-1AFD-4095-8EEC-4C80EFA0B3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18E3D484-DBB7-4FB8-9BD9-FD688EEBDE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B2AADBCF-909F-422B-AE1D-8D82981312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6C1759DC-D4F8-4F82-92ED-41004FB53B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BDC7F1C2-56E0-4269-AD42-94D2A38BE4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813A0664-9450-499C-AEC0-BA5D5DC7AE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9ACACF6B-49C2-42A0-A26D-AC6429C80E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EF2B6CE0-7D5A-49C3-91AB-2D116F07F6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09352C29-9A5A-444A-8C54-ADF300629B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5FD4E5E7-A66F-4B0B-8897-F0F18164B1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CC1DB836-5461-44F5-A9AE-63AB60F1E6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2EDA2482-6E16-4161-8769-BE4B66ED62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793598C0-4AF2-4008-86A0-F9F3984174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AB9402F3-8B78-4550-924D-1C3DAC3D8D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AE7F454D-600C-4321-98DD-4A21E8399D1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2CC23EFB-3394-4672-9390-9AD46FE50C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DBD300D3-6515-4174-AD65-DA8F0DE6C7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AD6A9973-B3C6-4623-98F7-843429B93C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C7CC4BA7-D3BE-46C6-9D44-380CC4C8CE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A2551BA5-31A5-441A-90C8-6EE83643F2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0D1AD167-6E66-4EC7-AF14-B5E97ED794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C6844E21-E6A1-479C-8ABD-D4F1054790B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B5BCFEA7-372C-4B71-BD6B-4F1AE14728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85C8DF13-5DB2-44B9-8C56-267723A789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FD66DD45-642B-4358-B7ED-72E0BF72B6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31D2AB76-BBA5-4E1A-A930-ECCFB1C447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326D1F36-4ABE-44FF-A74F-313B7C61D7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A90F94C2-1280-426F-84A2-012455454B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5D36429E-5778-4702-903D-F2ABF1756D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476E483F-9370-4BCF-AAF3-267077A595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E7893F25-5558-4DAA-B94F-5688181F10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391CE300-D584-44AF-A548-E646F9DB78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82A91FC7-2B79-4DF5-A44A-19EF984A24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4A605EF1-A620-4346-927A-D628293764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0BBCC14B-0DF9-4D18-8A37-DBB8A39C021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7B03DFA0-E1B7-4DDC-8847-8412B142C1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219D3147-4DCE-424F-BA5F-BD502F628B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048394DF-3C4B-4822-9419-5C49C2B395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3F2DB764-C083-4126-ADAE-6B734DCA88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93FA77AB-0EBB-4695-9FF5-7A3AF97D1D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AD4CF242-D9D0-4921-84AB-FD5F6B4BB4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1FE0C132-BA5C-48B3-9CCE-84A67A6684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A960D6E4-5DF8-4EEF-8381-A5DD5B5CEFCD}"/>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6ED4377C-619C-465F-808E-1E44191CDA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4C14CF51-175D-4337-8BC1-E9A83437CA5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A20B36B-6FD0-4167-B411-6D20DCEF4E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52DA5A35-2465-4137-91CA-0D27348D14D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03885514-3CF9-4260-818F-AD6B85719C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D09DEFAB-334F-45D4-A98B-454183097E3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F827A832-F597-4857-9544-DE10A4F8FE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9BE60DC1-1BD3-4CE1-97CF-284433D75DA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6D3D8D5F-E184-4B6F-93D3-DB1DF235677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AC068E74-D6B3-4514-852A-9819558EAB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9CF9613F-FD08-419E-B924-279CF1C8DE7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E4FDF282-772F-4378-99DC-57F8607FE1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449AD7B8-E9C8-4E91-950E-57BD87179EF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7BC8AF7D-EE65-4A8D-8155-F3274155DF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A0CDD416-36BA-4A89-9268-C95D31DCDD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F619354F-D918-4997-8D9E-9E88C4328A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13A4CCA7-66C3-4478-BE0E-11E2611DA4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DB630FCF-5AC4-4FD3-846F-7EB3D62A42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08503996-5B0B-457D-B68F-15AD20AF72B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DA12DC05-A02D-4A7D-B0FE-E12F790A66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FCB8CD38-4EA0-4EF6-8B68-6EC27784EC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B148D861-1E28-476F-91C8-1AF1C448ED8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129689F0-A4EA-47D0-BAEE-FF38C86A3AA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A485072D-2E90-4118-A4AC-F362CE7217F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282FCA43-B234-4EC3-B864-0C80520DCCD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08E26D55-3B29-4E47-847E-E540F3E4261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376E23DE-0B09-4D77-9A0C-B3A919A60FF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246F373D-AC87-48B1-A0B0-2D6D169FCF2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1EE7DAD3-A4E1-4557-A814-99D3087E797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1EE23E96-9EEA-4906-AC6D-71FF8D3905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655EEFD6-86E7-4A98-A6C7-F8D5E60611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321AA0D1-8CC6-48D2-8C82-AF98B1DDEC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88A1D494-E1A0-421C-AECA-1193C7FCAA3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16888854-72B1-45C6-A44B-BE3023289E8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9BA2D1AE-A1C4-4112-B7A7-D773264A1D8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EF63294A-896C-4A60-A237-49FD03700A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1EAED062-DB3B-4C44-9D13-4353ADB5F79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7D6CF1CE-17D3-4435-8482-C7193614C40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9E999CCF-86B3-49F3-A8E9-0090D0DECD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93CE494D-6FDF-4164-BC62-2B860FB067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B2E8CD66-A94F-4C0D-98F1-4A67296D703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9C72E912-BB69-485F-8FAC-1A853FE240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DEC42EB5-A2EF-4233-8743-31F9B0655E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DCCE4D26-75DA-4C55-826E-745729AB343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ED2A8EEA-AFA4-4D08-8154-246856D326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3E10F9CF-5ED0-4DD5-9E1A-E486F16981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A5DE4F4D-8C59-43B5-9FC0-5F4D318842B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722578E4-4ADC-4972-8D7E-F435FE6F86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853C5F0C-1AA5-4EAE-82BA-5F1708DB2A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20C3724B-F9C2-4CCA-AFC4-517DF1DDE6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BBEFB1BD-1437-4BF5-B399-91286D89CD1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B515532B-A5C5-4616-BF78-95ECB91FAF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38D6A44B-BC5A-42F0-BCC5-1B50A4FB50C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7028121C-2E48-46FC-A094-1AFAD01F47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79F54D68-7BE3-47D2-90DF-EA842CB93A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91F68D34-4A67-42CA-AC69-45F1B1DCF26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BE69DCB2-4AAE-4F26-86D9-C4497342AE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8AE88ED3-10EA-419B-96E3-25B5A47300E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5D1B8816-37DF-4985-95B8-6CE4EB7287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7680B3FE-4E6B-4381-8726-E859F217795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292AD993-5261-40B2-9D3C-28A01DB8B5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BD86A96D-1A26-49D1-A5F7-994A319CE7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67609EF2-F4E1-4C3E-B900-28AE1109757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3BE79C4F-CB34-4E2A-AE28-EDFDD20C03D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966E194B-34C8-4AD2-B355-1EE9E2256CD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A338EF14-31AF-4048-AF74-21E87BB0C3C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2BDFF550-6009-427D-B552-6ECDE9E0D91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11B73C8C-142C-4003-9E94-D78E06F885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C08C4D48-3832-42B6-A5AC-E1EF9370C28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91FEA6BE-C8BA-4EC2-BDB2-6F3E12AD61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E0C6BF1B-B03B-408F-971C-E1226BA49E0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7E5B5394-8CB8-4FF8-AD95-0E94DE67B9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B012A0C-D2C8-4975-877B-9102D18048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1DEABDE8-CA72-4B6A-90DC-68755B22B77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6C0AF5C5-7F79-45A8-9DF8-3508425476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C7BB7329-1CD6-48C2-B27F-8DB0CBD82A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37F5FD04-6355-431C-BCA6-4E9D6DAB6AF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464217F1-2D65-4462-8E74-2DF3B680A7D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CEAB8A28-E5B4-49B3-A362-762B70EE5F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914A9EF4-779D-47C9-849F-0A691A156D3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6CBC728A-ECE3-4B99-BC75-1BD2A18578A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7DE1D1B8-EE72-4BEE-9866-B5EAD029D22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56A45CE7-88B4-408A-A774-1517336D7E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AF86B792-FB22-427A-885C-FCEDD5ACDB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B3334306-F0CA-4265-94B3-3D4DA045D3F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C4749DEE-A707-46D0-BBDC-AE50C5E15F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1B8B28BD-A73A-4C70-B82A-78EF792DE5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7C8C7729-2656-4C7B-85B4-E89CA5F2B3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2BD3C0E1-F26C-4E13-ACCF-651BF1EA73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131E9572-A460-4A0B-8248-05C23A7BAA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AC8CC893-A138-494F-9184-C63C9249EE8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7EA57C03-178A-41BF-8523-B1EDB9D676B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92CEFF8D-3790-499D-906B-E20E7226177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DF035BB9-ACFB-4B07-B96A-B746973C20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35419605-8149-4E71-84BE-4541CC6FAA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AD5BD478-BC32-419E-ADA1-2BB2315250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DAA2D582-D598-4877-A2F2-E9A611D2D1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C3E79A5D-2A1C-42F3-956C-553185A4B1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C975DBCA-FAF4-41EF-AB29-42453BF2AA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B1E615C5-1D0D-4698-9F15-E2F8DFE837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A30518EB-FA12-4AE2-91C2-D2FCED6D14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893CBF74-D9EB-4EAA-A32C-51F08FE5B6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EA354791-D16D-477E-873A-2977396ED5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54C6237B-A398-4BD2-8123-EFC6A4C101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1D8C1C1F-9F7D-4F9B-A5AB-A218A8BA89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43376757-6C83-400E-8FAD-DC89752D6B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A759181C-23D1-4DA7-B2D2-519C146F01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B424CC07-AC66-4560-A992-A11CF01001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7D667DF0-BE3F-45D0-93CD-5CF13262A4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062D3934-AB1C-48C6-A559-D82626C9EE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D3689925-D17A-45C0-9BB3-9FB7E982CE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11DDB366-5685-4ACB-9382-78D09FF793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AD650FD9-377D-4B36-B8D1-6E73D81A29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0C9A93BC-5F20-4833-92AD-626D99CD63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12C96E60-F590-4E4D-9F29-F16F5C88E2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550A6AD1-3B29-4E13-BA1C-79801CC7D0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0882EC0D-05CB-45B9-9414-816E68AC38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8C85E657-36A9-4F4B-AB23-C371A5BEA3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52180796-B77A-4332-9F85-0B76D55629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0DA889B5-627D-4783-97A8-93962DA05E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EB3CEB3E-A075-4200-BD0E-FC7A2A2E88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62D1AE09-3F3D-4F84-A228-2A65AEE6335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9E507E58-3B6D-454F-832E-5969EE9AB2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488EF1EC-ADE1-42D6-98FC-410D094B13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FD1CF3E8-5259-446B-BE26-7107A5C872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DDA4EC5C-0688-4539-9657-58997E56B3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88C9F1C0-9DB4-476C-B0C4-006865C6F8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4CD28634-CFB6-44C5-A57E-65A37BD6F8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E75555B4-62EC-44CE-9D9C-C4A0F65D59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BA6D0D19-661C-4D5C-8A7C-807C42298CD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081E1004-1890-459D-B70A-D8BE0971A5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1819FE14-D563-4521-85F4-C41FE4F412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CE5D311D-8C37-4A63-9FED-DA6F4B8719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1A73CB65-789A-4DC6-8D90-CB06BB9EE4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CFB1AE7E-9A7E-41A0-AA59-C39BF2E9AE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E2DDC371-852F-4987-A91E-BA46151F3C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4B6A24E8-8BFC-42D9-938E-0A80C299A4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A0E331F4-D49F-4010-B2DA-E17EDB97E7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35B24E97-599B-462C-AC7D-39F368D8C5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FCDAEA00-ADDF-422C-97EC-2A47B140AA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074285CE-5D82-41C6-8AC0-DE4AF4D4FE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AD3270D5-863C-41CB-B064-51984B30C9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B294111A-B830-42B8-9D19-91A50B3C3D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24BC9280-3B3F-4EA6-947A-DF59968D22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09C770A7-8E29-48B4-A86C-8567E93532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5B134D94-C71E-4F3B-AFAD-DF2A365012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F92D6A89-FA38-4C51-9014-A1C6022BB9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4B3560EC-D055-45E0-9E28-35C526CDE3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B14FDBC9-2577-4611-A2B9-21339B5A72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4C55C86D-645F-4253-A6A9-60D926D2A6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18598569-D594-4A67-9D68-ED36224BF0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B628EF86-128B-4BCC-9BFF-1442BDAA00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4BDF045F-8FBF-4A2C-8C95-1C3FC6EB75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1C574F13-34CD-45CD-94FB-E6F6A68554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1D649550-1AA7-45DC-9E06-95DA8EB383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48B5ECD6-40A6-40D4-8EB4-534D0C3097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9365FDE4-EB1C-43C8-9B54-2D82A104C4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ED99AECF-133D-4691-911E-73DA04459C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E6F783BF-A7D3-4839-B62E-A383EB06E7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52033B7D-CE5E-4673-8F64-FECB170CFD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C50D4067-5DAD-4F22-B42A-8337A242FE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070B1695-23BC-4683-8D2E-E60A1EC411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0C2100BE-97C2-46C9-9E3E-472B9A1DBA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CE66C7B1-227E-4055-82D9-08FAAEEAE9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9E3774DF-7EA7-4CBD-9D5C-932BAD952B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27999E82-00E3-4C0A-B17A-BADE08B75A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4025B203-DEEE-4114-A145-A426CB933D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36E37324-A82B-43DD-A302-E122711AD5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9F230311-A070-4E4E-8515-960AF3F061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A38A155A-5BC8-470D-B61A-AEE9A90D68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76B0D78E-6F11-4FFE-AE40-87E8A40934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9E25D046-373A-424B-912E-CE5F1558F2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5CDDDABD-911E-4E6C-A96B-E78434E243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50521AF9-0934-4D21-82D0-C01CCC1E67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597A1318-0469-44F6-B398-67EB1744E4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FA7969A6-39A0-40D1-9D13-2D7C0C630C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AFEA442B-33B5-473F-A729-B46514CCDC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D3DD3F20-66F8-4838-9784-480E9BB011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5AA40B05-A2D6-4FDA-A82C-74FFE58A02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0F20D8DC-E149-4848-A4A4-DDDCD14AEA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3FFB9435-77B7-4EDE-A4EE-3A4FF52FCE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211F06DD-9D43-4C81-9B27-F58DA23097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73F71C2A-B5EB-49EE-9795-14F50E57FD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7007AA1A-6FDD-48B4-B322-2F61680315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54C3E68A-201C-4056-B6F6-1F0187C0B0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AFBF708F-07C8-4E08-9B5D-FD5D626469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425AA3E6-92B2-49A6-8F17-1734D9C360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A2BF5FA4-3929-4FD5-8D37-163C4BCAD0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E6F7A22D-D51D-4EC1-A6DC-F2DAC13DC8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375F8C3A-D4EC-4D32-BB81-C83BF9F632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B76296C4-A4C9-4DC3-8FFE-D4AD1F0F65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5EB1A6E5-7496-4543-A611-C1657BDCC9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16F48669-E558-4468-9D83-9612986FC1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F941D037-90C4-42D2-9570-E33C25E0EA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C73FA051-400F-4FD6-B7D0-687C855ACC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2FD0F24F-90BD-47C1-B74D-9235FB4645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AC3166F4-93C6-4CBA-A171-47D09F1FD7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BCCFFD7B-304F-4658-8716-500AA43550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B396E68C-544D-4864-A2BA-500704BEC0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C2C824BE-4378-4A96-90AE-84C339C9C1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D0831C6D-D9BD-4893-A607-A15092E34D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C5F840AA-B746-45AD-A9A0-223EB862CA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4DF7D494-7489-4C77-BE64-23226C9DD8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B1D1CA8D-6C68-48C2-8C80-2CB67B6D8F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81834AC8-8F16-4E98-AA0B-AE770B5E9B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C1DDAEC0-33E2-4B9B-B215-40034AD4C3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66E32A75-E2F3-4199-B36A-98210897B4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CD15E932-A238-4EDC-8F7C-36BB5515B3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78698CC4-0CC4-4570-9ACC-2A60369D34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3632CF60-E987-40F0-BA0C-3708990BF0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5F410181-BA05-4143-BF0B-29911B9041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7B4B4605-803B-430D-849F-CC2BB20D0E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BDE08058-AF37-4C7F-BDDC-270066D311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B4045C24-5807-4C23-9FB4-2F9B1643E1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C569FAFE-44CF-49A1-BBBF-33A99D5F361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E5C2409C-92E5-46CA-A656-AB0010DF50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867A7C6D-5FAD-4F7A-A071-3814316812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D6F9C813-CA15-445A-A060-E513222A58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C5947DC8-527C-431B-959A-34D080ECF5B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F398F2C0-2BE5-48F7-848B-43C733C987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271A16D9-8CEB-4ADA-B6CA-82D0C8E77E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0DA3A653-5942-4622-BD32-C26D3279F3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96DEFD00-7C50-4F06-B88F-9F5BB12761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38558FEB-DBA2-485B-B2E1-E5E7BA145C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3ADF2115-EF00-442D-8B6B-0F51742CE6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CCF8CFFC-42D1-4FE5-9F46-1932471C84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581C83C3-C67E-4352-BC31-FE7A74ED34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0DFD547D-FE7F-4A2B-BCB2-F60012ECFA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ACD5F9B8-9B16-4DDE-9D56-12FA669D24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B007671B-E42D-4E10-A3AF-958083EE05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38745E14-645B-414C-ADAA-91ADFBE834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47498FE7-98CF-4231-8350-1D2C67FABA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658565CE-96FC-442A-95DA-837CDF48A6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8650BE37-18A3-40A9-998F-07CC5129DB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13EFDF77-7838-4CDB-BF26-296F23E79F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56B735BB-4964-4C01-89EE-8027E156BD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E4FD339F-AF64-41FA-8424-CABF7789CC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34E6AF2E-6442-49CD-99B9-F8647591D4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64E37352-D35B-472D-B281-4E0C7497F4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A51B4349-6257-4CB2-BA9C-D6E056C303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2138F81C-3FED-41DA-A45D-0C39968640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4EB959F6-A745-4AD7-878F-14815ECF97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5C6352E8-DE5C-41B7-8CB0-70C17DF6A3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63FEC3EF-1870-44FF-B049-6BF81E936F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8D9EA427-C94C-4B7A-AD77-FF05ABECF5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EC562F0D-B989-4FE2-9393-F92C51C16F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9CF755BC-EF94-4B8D-B626-9F91C434C2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D34F23D4-8776-4191-8937-C1631C20E8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B0167EDC-4168-45C3-B760-761E094BB8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3465CA24-6F51-42A8-A8BC-BAC82EDDA3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708CB7B1-972B-462D-ADCB-B8CA3ECFD0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F437718B-F463-4EAE-829C-3C8FA6D181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B86EE17D-3873-427F-934F-3B8B152FB9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F4C12C59-CA6B-47F2-A46B-3FB8271B22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46885CB0-277D-4CE5-9F30-E53557AD23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69881A00-3896-4AF6-9578-E90734BEC0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32C6FF0E-EAD8-4CE2-BAE9-E06A4ACA90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95A7F553-5C4D-46A2-A610-CC0EA62ACB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8BD112EF-924A-441B-B9A0-F3B17F4C20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D1CD4661-62C4-4ACA-A507-FBF7D05CF2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01713C3A-32BD-475D-A6B2-14866BA482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FA83EBE1-1FA4-4C2C-B381-40D75B3D7B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30F4E761-447C-401C-89D1-EC7F21D1BE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92A831B0-232C-4693-86CA-5D3AB9A6D0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76622C86-389C-461C-A53A-78F219A4F6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33B0C4DC-819F-4046-ACA5-15EF4AE7A7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6B50CDFD-ABF8-4125-A08E-7F78DD546C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5AC92D9E-BA10-40B4-87A8-56E3412401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9246E2C0-CC38-4F6A-BFFF-3C23708C35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51FD4A3E-3CA1-44AC-B2EE-E6DFB40E0A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C5128029-48CA-489B-BE81-65CDD8E01F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3C076DD0-A951-4EC2-98A9-F69263F536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CBC04E10-C854-4075-B152-3CD056C66B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9DA27802-0146-4FE7-82CB-9D17ACCF01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685B47B1-5C77-49EF-AB43-B1575FC9CB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B519B155-AB05-4764-98B8-870D4469E9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274AF9FB-1FAB-4BB3-B2F1-06861C4ADC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0DDA9483-2C3F-41E7-9B35-02EA7EA8B6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6F1499B8-D825-479B-993E-0D4695323F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B1C7B1C2-FD0F-4805-BD37-3324B85A59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4842D0CF-D419-4AAB-9952-E09A6EF1F5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FC9FBEF4-D692-4DAC-954F-C8D45266BE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A0870E19-A246-485A-B395-8452FA5499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20798E67-D7B6-4BAE-BC88-365570D745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273A8EA1-03A9-441D-B8BE-40B55A66EB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B8CA012A-3409-4080-AD5A-4EBE3B40A4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05C81545-84CD-4BB7-977C-82D46E7AA2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A3586899-7F7B-499F-BC42-62EFA6C69C6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053899E4-B673-4ED5-AFDE-6B8ECA23254F}"/>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658EEDA4-613F-4E62-A142-A86CCCA242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0E9CCD9F-94C1-4519-BABC-D0D16449F81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A07F63B9-4560-4FDE-B275-3850CB1F6A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254F73D7-0C29-40BF-A91D-1A0AD643FBD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B4B8A1E5-EE80-46D0-A11E-8BAD13834B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F92445EE-7554-49DB-9F60-D0948A544A4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04427F6C-D16D-4A23-A3CD-DB72118A1F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E0BF18E3-EA75-465C-896D-6A42E0B95A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7344FCEE-B7FB-45C4-A233-BC080C5892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9AC5471A-82F0-4FB5-9C4F-0A2FC22146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43336ADE-B7CA-4DC9-A820-BF7EE714E6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8454D2D5-D0C2-4DDE-8AEB-985F6585CA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F4EBAF0F-B315-4F67-86A2-A97DA1D892D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CEB911C7-853D-4013-9DCE-A4C19054E7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388671AD-1F29-4E13-83C1-6606622783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715D9D3A-E1A9-4AAD-9530-C0E4F4308C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EB5A63CD-BB57-4153-96DD-383BC9E7E2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F9381801-A16B-4C42-972D-0A65992A52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288A87C0-0657-431C-8E47-D96CAA2709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CD368C62-0517-4312-BF5D-A331969CEBB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DCEBBF74-79F5-41E5-B30A-860B9086C7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3D092733-2644-4643-80DF-281861B4FA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C88FCC45-9625-49F6-AD22-B8E2C2ABE6B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E19138AA-369D-44BB-9435-1A87E8A553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93CDA831-2163-4467-AD7F-339EAC7A3CD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96493D73-FBB5-4CA1-92D4-078231CF09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F95AE04A-1D46-47C0-B492-3DF5471169D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4E8E0C25-7EF5-4F2B-A16E-61939F394A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3E14FA83-7F00-4A69-B48D-8EF892B22C5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ECA5ADC4-B753-41EA-949C-D2AA3B62798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558E1B69-9CE4-4439-9D95-762CEA3B35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A45010CA-F645-47B3-B05E-AE98C9AF3E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86AAB358-C370-4109-BD6F-8D38C29A88B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D68822B2-803A-467E-8C06-813FE26059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17C93BF8-44CB-4E53-A4A5-42ABF04D236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4D573735-FA99-4110-997C-F67CF4BAD4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065F1373-24D3-4389-95D4-82A112E036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CEA185F8-8AC2-44D5-86D6-7D84773B3C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16CF9712-0A24-474A-A7FC-3AE835ED62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C921E5F9-76D6-40CB-BD41-F101D12EBB4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C55F6023-C9CA-40DF-831F-8B066D217D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9DEA464A-D1DE-4672-80DE-892271616D5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3C7795AD-4CDD-4E87-92AE-2F8B3E6055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A02EF2CB-BBA8-4DFF-9FDE-BFDB728E1A4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3E7F8E8C-F5C8-4C17-B3B6-0750B14EEC5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511986BB-576F-48F3-A652-56307922030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8026A1A3-CF4E-4D8E-BB80-53BBEB1C4B1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1B8115D7-DFE0-42FD-8152-E719F0196D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5780435D-333C-4B16-A8D1-699C69F109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BDBC0DD0-C864-4C63-B81F-DA8AC943ED0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C81B4620-C600-473F-8C56-1279BADB9F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A9A87041-D1EA-460F-BFDF-54C55CB1EDF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DCCA994C-178D-4791-B6C6-7AE8FEC0E9C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74275FB1-DE91-4C84-B741-AF7603B169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823F4D68-6035-49F3-8EA5-F923126066C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BE8FC8A5-4FDE-4ADB-B20F-7228EEF94CC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558DA06F-2B77-4A7D-8D41-E3C8B7182C6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E4663941-C973-4CD2-B259-FA73EE7F374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4A835A73-B301-4B84-9A8B-FCA7E748BD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272CF207-E9D6-4126-8DF1-14AB19085BD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1E09CA24-B1D2-496A-BD2D-029ADCC8DA3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C5E4494E-604B-4CFB-AE91-B4362A254F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55F75F4A-EEB1-4C55-B2A5-E2518612D3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C66545AE-A2CE-41F9-A93A-08B126B5BB5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90C9E8F8-405E-4790-A5A1-D93A1ED9B52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BE0B608B-32DF-45AD-BF3E-A91400C8F52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37E46BC0-4D3D-4560-9BFF-5EB640BFF04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D63B7439-30DC-44AF-985B-92E388418A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3BA8EE39-B4D0-4572-B7E9-0C0E574B7B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32C60F13-AE25-47DF-802B-348AD61F19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D50C7F1F-D343-41FA-8FC0-CCE812EDDF3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4D8864B1-B7C4-4DD6-8A7E-02B5B05C55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D7FC4077-30CB-4F68-ADF5-2F069F48A1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18CA9F90-4D1B-4D99-8E35-AB910AD229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2A557D6B-4A94-4360-9B6F-65BC0BC54B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4A0E75DB-ABDB-4483-8706-26925A2DFC0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F0EA8C77-FA47-48AC-BC8A-B944DEBFA2A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F6A2B69F-DBE2-47F6-B4ED-818EBFBAAC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51BBBA60-76BC-4DBF-AAC0-B8DF5CCC93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00DDB8C0-2F89-4209-ABBE-B5D38D4D10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DED7C9D0-6AD2-4303-BF0F-BAE31FED9B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D8F1BD7E-F54C-4B0D-BC5B-94F0313FCB7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D2882068-A625-4942-9401-1D7A451D74C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74289CC0-85FB-4B11-93EE-11D55A054AE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90B07846-3026-4CE4-81E3-8F714B28102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DC86ED4B-9BA0-4675-858E-7F40EFBE33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1E6169FD-A6A2-4891-922F-7178EC6B33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F2EE3B90-4E1F-4657-9CD5-722FC27AC0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0E0F5701-CC99-4725-9275-374F0819A9D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CB9B96C4-E59E-42F5-9BE6-4AF3FB0CC66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F6972978-2005-4355-8B75-DC8C60E7E3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D0E4AC0A-5431-4A03-A8F5-302033C16D2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419AA4FD-FCBB-47A1-B7D2-2786E070A15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0D8088A0-F839-4896-84FD-2E5A78A8657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5F9182E0-B001-4787-99C7-09581D1B50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FD27E527-7927-461B-B560-5FFF6FACFF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05C1308F-649F-43FD-976F-988D1A8BBD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44AEE801-7A79-4411-B1AB-BAF9D9FBB8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663EDA9B-9E2C-4B11-9E2F-68C7E1E71A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FE08C63D-CA1D-4225-8406-5C149B3EDF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F46EAC8E-3BD1-479E-95EF-9378931B64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DBE0F75A-79D3-4697-A37A-BDD370E2BA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E987B252-7471-4214-B501-D82F75E9D1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068673A7-1FA8-43CE-97D1-57D035C7EE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A8220E6B-F6B6-4092-9548-E3D3886600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5AEC7EDF-346A-4AB3-8D4B-93EFA00E43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C83E342F-196A-45B2-B29D-1B5AEF0DFC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3F14D2C1-C021-40AE-A0E8-782C4115D3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437C139-8E02-4B9C-BB63-644A24A93D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74BA6691-04F9-4F4C-B269-2C23019FAB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7A6E2582-80E0-47E1-B7D6-0506CABD5D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A76B9A09-0FA3-498D-A6DC-892DFA2E32B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AFB78616-99D5-46A9-99D2-50E8699695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04905E61-56FC-400E-A14B-31EABF0702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71FACEEF-837A-4A07-BD54-10EC06939A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BB241934-19C3-42B4-91C0-3066F8342E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EDB6E825-2F41-4DB9-B7EE-4A2DC9839E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A2A98077-8E65-4CD0-97F4-7728827AF0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1D1D2ABE-D248-4FCF-BFCE-3CCA7A159B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9655CEA3-0AFC-45CB-B547-7B3951AF41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6EE533EF-96D1-4B18-A369-02F29E60B9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43DF8CD2-FAA7-40FF-9E5F-7BA63E2FE8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61F67631-B915-4800-AA57-C5F5DCF3F2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F00322E8-FB17-4C19-BE0B-4DF39C2E3E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E04D9801-89DF-42A0-AEE0-CC66FCE179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6237D7EA-C844-44BD-AE6A-9E85E87184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967298F2-129E-4E96-A83D-10D91B8C7E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655DD4C2-FDDA-447D-8687-867E7CDDB5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2B158C19-8497-40B6-93EF-10E2980E5B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B31A84EC-D240-473E-A335-0527BBE5DC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D1068E60-3004-475D-AB28-3EB03168F0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57F7CCBE-C0F7-4564-840E-9C689FBD57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729EFD54-A9C5-4B1F-AB6A-6A796998DD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ACC2D6BF-2804-4504-B062-1867FC74C4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CA38DD5D-7970-45ED-89AA-90EB1F44CB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BE4EE266-6704-4755-9C97-5A684E0F8F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A42C0F4E-56CA-4FC0-933D-562F15FEE1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8915F1D9-057A-4C14-B526-CFA5C8663C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E21BEEDB-5D30-4835-AF49-384F659905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27A036E9-3612-41F0-999A-BE211790EA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A0F2206A-1B51-4AFC-93F7-0657F2C4CA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DAF3FCF6-23D5-4781-840C-975763CDBC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615C065C-5151-462B-BA7B-1C886D09CB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926124A7-99CD-45CF-9F26-944C2C479A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E9C7C26B-C88A-4930-B8D3-751B4A0F8E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336D494C-ABEB-44FF-B1E4-774030DE6D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C960C56C-5377-44D9-A370-55550F62E0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3817FDF3-FAE5-4E08-83F4-1EF0888E67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0EC7B987-0F8D-4491-9ECB-3386EFC7B6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FDB7B3CF-5BD1-4222-9CBA-D9FBD51EAD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E084740D-ABB3-46FE-8238-2A99DF5B6C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7F627235-79B7-4941-97A2-B85FD60F0D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A98ADB32-5887-4B37-AB20-A9FD9680DE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579649CA-60FA-467C-8590-F663EC6F9F1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EA7B1A61-E743-4526-9EAC-6CBB65250A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2994A3E9-16B8-4CDD-BF83-48940959EB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46822987-CF24-4D70-A3CC-5C6949CF23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9A49FF1F-3643-4899-98D7-ECF21FA66B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13F12967-39AF-46EA-A0B7-93CC4B25EB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61117B0F-F462-4D7D-AAF5-444B5C636B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C7DA825D-00D0-472E-95A5-B131AA9289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8329E9AF-84B0-4F67-B02E-EA1E1FCD91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D6C4323D-E847-48EB-801C-C9419BED23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521832A8-A0C8-4EC8-A252-1F688A0ADD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B9F38F23-57E0-4614-9654-9C48A77069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8F9FB7D4-F8D0-4D46-8DEE-AB12343A39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39F021DA-9F29-43C9-A8DD-00491CC358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78AFEE79-7E4D-4078-94C7-40024D1653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E804D5DE-DB37-404D-8D68-DC4F9181A3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CA653D0F-5649-4ED4-9A38-64137FDF0B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66B92847-176E-4F66-967F-D865B47860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615D1CAD-85D8-487A-B6D5-3FB7197761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0D11315B-0431-4AC8-8003-9954D1BD349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D9642ECB-21E7-403B-8D33-9570C1746A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C2E420F1-A024-4D86-9A0B-5C7C93FC8E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F6E37430-D639-43B7-9280-2CECAA03E6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352F0B14-F7C3-45C9-86C3-50D93EF257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396671B4-F173-41AD-8738-0966A71B38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E95FC5E7-11B5-4501-B796-B6F18D336D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4410C095-685A-4C97-8449-26241AE3F4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C0F92AE7-5541-4761-87F5-CE5FE07534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13F10925-B6E9-4F79-972B-E3FE55A281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23ECE43E-1972-493D-8693-0F6E471D86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14E7B5CB-8948-4038-8C45-AF426ECA5F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D4B24C5C-06D0-476A-8494-D718AB371D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E3E28301-E653-4DC2-B829-E3DA408B65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CEFB2339-FFD1-483D-A97B-0984F69BE3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8D3CCB03-AC74-4C27-809D-43B49A6062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B7954519-DA59-4A11-B510-D22E5D3DF2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6511B6B1-6DCA-46E2-B331-E2BD7CA383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78A3AB3F-77C5-4899-9ED4-C0F069D97C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F4A88BB2-E228-44A4-8D8A-D7F881DB55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2ED25078-86E6-4AD3-B42E-084E9F9133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A69EBD5C-5373-4909-958F-F8DF82D492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E1BF3396-DBAC-4D9D-8999-D563D1922D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3C8BB9D0-54D4-41C8-898D-540986CA8D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4E783EA4-006A-4E00-BAC0-EB1D549684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1F6A16C2-B732-4629-B733-5C031BAB7F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659DEF4D-BB7D-4D98-BB30-26C5E0D09B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6308E65F-DD44-4039-A44D-A3548A3D6A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854DDD9E-B716-4023-9C21-8D836320E9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38BD5A8E-1E10-4CA8-8697-2F8E3514E2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FD7399CC-226D-413C-B8E8-653376BAA7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6DF9ABCA-5038-4F71-B1A4-894E412F6E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44AE67C6-BEB4-40A3-9AE7-CD22E18BB7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30F9C621-3E1A-4126-A907-FC09757E87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7442E0AF-6AF1-4B92-A0B9-F2929B122F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5D7890FD-3FC6-4132-B978-D9843010A5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11F591C-F63D-4D74-96C5-727C2BF058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B015A38B-6B13-4183-B2DF-DBBE11199B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E5A50932-D106-46CC-96F2-879BC7201B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3A225063-02F0-4824-B2AD-C8AEFA8BDC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118FDF58-7709-4B34-8CD5-1A3F0550A7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CCF51449-EF36-4B20-B984-806E2DF0EB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2D06CB25-AA02-4B03-AA07-069332D3D5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D3913E0C-1945-4319-9595-12E0F21473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2C4A04D1-2CA6-4262-B67F-027E5833FD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B4D83EAD-257A-4B43-9454-9D46BF5623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45729B52-6E48-4950-A57E-0B091B35AB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51728E59-FE9A-4B59-9934-613A780745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5AC89D63-E699-4D07-A1B8-CDB3538293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A21DDC50-F860-4876-9801-C70F2C6A9C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44CE0265-E1A6-4EF5-BCB2-988C0A4EDB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457E102E-3ECF-4AAC-8930-C5AC5F6F8F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016BAAAA-8266-4DF6-8438-92D9A30BE2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C2A532A5-6030-465E-A816-EAA3E89CB2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9B64E212-5A66-44A3-8524-8222610FF7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A2FAC686-AAD0-415A-BDB6-9C9AC8F638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E6D9AA31-2F98-4F76-80E1-8F504037D4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216D46AE-B346-4350-9D91-0312DA98BD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89720C7B-9172-4EF4-BBEB-08401A67E2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14E3D2D4-2496-4AE2-87CB-328B27C0E7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95C9D386-9360-4919-BE6D-3B1FA20F0B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2047A8B6-83A1-4794-8D10-7D3B2DFB2D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A76B0B05-FFE5-409A-86DD-80CFE0635F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9EBE31CC-D9AC-4FC8-BD9E-C55FBA3F1E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365CC417-3C6B-4F60-84E0-D101E0AD0A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3B9FD455-B3F3-491C-AAA8-B3EEE25EF7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D87A21C7-559F-40E4-A5F4-941E1B2399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9B567C3D-ACC1-44CF-8019-DB0E841CDE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BFCA90D4-9854-4F0C-ABD2-0DDA05A0DC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48809CDA-9D43-4519-B73D-31FF185CF5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1D348AFD-AE57-49E0-A332-42385C7F41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DEEFCD38-8C7F-4AAC-819D-8B201EBC0F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4E06F10A-0696-406B-9AA1-1C12D65E79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BAE7D532-47A0-4BFA-B661-BD55D9C975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057198C8-33A1-4852-A030-A88E42CA38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C61E7AA1-CF98-4E31-A2CF-C54632F5DD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2822492A-0AD4-494A-903A-6F799913EF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59E85FDA-3F16-4500-975E-675388425E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4692B3AF-6EDA-4916-976D-855F778F00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E8A85E1A-A6AD-4D4F-AF1C-B91CAD6BAF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0AE1512D-1FEB-4F0E-A5E4-17B54CA6DF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C4FD930F-C38E-4E64-BC36-D8A049F204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8D967467-4595-48C4-BC9C-9CEAD94A09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292D9336-6148-466F-A052-047ACB528C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542D9D86-9F4A-4984-9F2A-1330C044E5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73B365DB-0122-48BF-B823-8DD3466B23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8FA4503A-134F-4F51-AEEC-F5FD23BCC9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0FCA7DBC-65EC-462E-8E56-A35E95F829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B76B3D40-5B0C-4119-A5C7-EA58520543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4702A743-48D5-40C9-A651-376D784EB1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3561E89D-235B-4FD3-B713-3FF7BEA6098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209002E1-0FEF-4422-B6DE-2696340529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C1F1DBAC-96F8-4C8F-9687-81E2140605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729F3CF0-2B28-403E-BDF2-972B75B45B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96DD70B0-9C11-4DB5-9B0B-61AB728631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15764820-4E51-4027-BB4D-FDB909DDE7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977CDEF7-9CE1-43FB-816C-DCE9C931DE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703B5733-3C78-4363-906B-9C407E7D3D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E805F450-4AA7-48F3-A7F7-467DE75799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CA5D4CE4-3B7A-40F0-84E0-56845192BC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BE2D152A-7C56-4146-9B23-04106B84FF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80E81B29-548B-4A0E-8C0C-30CAB421A9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8D99ACF0-3296-4CC9-A3A1-9A1CB363CE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5F47878D-696B-41BF-8593-0085BF4F56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643E858F-4A1A-417D-855C-11F3F5FC71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8C2DC22B-B866-4282-ADF9-34A156F57D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24541A63-AB64-4BA5-BCED-26454DA1AF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AC64E645-2254-4E81-A28C-661D04ED75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091DED35-4630-44E8-90E5-1F7AEF0457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40D02E16-988D-4871-8B3F-6772A9D17F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E3331486-7367-4E59-A54D-42CD881B80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4B8B280D-036D-421F-B17F-4FDA773F42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9CE6BBA6-9BEE-4DE6-9FD8-0046A1334A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718C277F-1698-4886-A4F2-CD26AB1890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A5FFF911-5E44-4E0D-A6A3-3C32F4AF167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58CBDC8D-A494-4407-AE7C-4C0E4C7B3D8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F461A4D4-A7DE-4ED6-B964-1B5D0864A88D}"/>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1DDE5AFE-9705-46FB-BD36-8E8F946E2B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D32FD0D9-9638-43AC-A0ED-BB40E16029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2D0115FC-B362-45FC-9E41-142D05537C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910FF33A-9A92-4C26-B50E-1D24016DF6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951D09F8-77CF-4410-9D0B-D982EEED19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AEB6B6E1-A742-451D-9879-AFF8510027F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CD4FB36E-7A58-4F61-8110-4D5F24DC9A5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B8EB2476-8BB6-4782-80D0-8E1496BB25C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98349D1D-77ED-422E-A0FD-B41CFA5A81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E7FF8393-A7F1-4750-ADBE-3F21261462F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83B56E52-AD9F-4E2D-B2C6-FF00F6E2E9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ACA7C1A8-F1DC-4A40-9441-8E6DCF20D3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D57C9FB1-B611-41F8-AA94-0A935602E8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9627E6AC-D211-4669-AA54-BDE1335D979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3FF66B6B-EC1F-4BAF-91BC-C5927B073E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B79B2F3B-8E53-4CF5-8467-54C8B4068D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6263D455-30AA-44E0-A69C-E4710168AA2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6A76EBCC-DD37-4D9C-8AC6-DDFBCC077F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FD647777-2C02-4FBC-A806-E7B4232F79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4A0B6BAF-7E3A-4951-9BC0-B1C229202B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971027DB-9A88-4368-BEE3-C7447124DF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B8862130-A6A7-4CA6-9763-3AE940141D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BD8FD9A7-D125-4EFA-BB01-0E59D924476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43973003-1DF0-4FF9-B84C-6E358A1255D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25E8E877-B6F2-44CC-A0AA-9BB38F6A29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0760BD98-77AF-4567-8C67-2475B55C8A8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BEC60FF7-BEBA-4C05-9633-FBF3940A4B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029993FD-5D22-46F8-B2A3-15ABC115396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4D6B1870-AF69-4A7F-ADAF-195BC1DC58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78A66428-2C90-4907-9F2C-4FD0F7C1F5E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3CF1F1B6-0BE6-49ED-8FF6-F405D707295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B5EE88F5-683C-4B97-A088-38984D40837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6B6A8CE1-7EB6-40A3-9C36-13ED6C23D9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6947AC69-BA61-4AE5-8EAA-FE026C2516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90D62D41-5814-4E83-A1F4-72468C95DE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4BB8505A-0427-435F-A75C-A801FDBFFEA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E33C1671-E533-4CA0-9FAD-FE104486E3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B0B6C947-5B97-40DC-8CC6-D8152172E4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29CA4C82-F63D-4541-B67F-4050F6F47E2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95A81D70-D002-42B0-9180-52974E84F5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5B5FEA88-27DC-4AEA-AFB9-0B89170948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ECEDB672-C063-4FA0-A9A3-3CB49F7FED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D0812A22-D4F2-4673-AC6C-EE7380157D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2C6B770C-C70F-4248-B62B-97DEC37685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499E889A-1412-4995-9C5B-F0C0720B580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C13AD596-E0AB-4CC6-A45C-E878F57BB7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79A2C3A5-09C4-487F-97AB-9DD97B6032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8DEE6691-5C12-4935-B027-069E94457F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E1B06F16-FB08-4351-9E32-78C157D864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73029CD1-40F4-442D-A8BC-CD827F0365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487905C2-BD92-4F6E-BE02-9587D70BA79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80C18CDD-CE46-4C10-9CBB-109C64517BA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9D37790B-C61A-4B33-AA36-C99E400FE4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2EFF378E-0F30-4CF7-A688-F2D81CB4689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00B07735-AF7B-4DBC-A7F4-D3F777359C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500163AE-0983-4569-B36A-73F8C9F04B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F40DC70A-B3C1-467B-8DB2-3FCAE4142FA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65A418CB-B3EB-4F3E-9350-E0E37347066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F1094EE5-C620-401F-9EBC-E8C60B10455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97496E97-593B-4A1B-BF06-3865020D16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A49F1D30-AE22-4820-BB25-CD0F76595B1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600B300B-DA5B-4BDA-8601-464B1980063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01322863-7B73-4C38-BF6D-FF5D5BF772A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644A1334-0C66-4056-A840-DEA6B32A551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7F291BD4-9AD9-4415-8C14-EB25F9290AB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DD86D36C-CB92-433A-9A15-43A802A8ADC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2FAD40ED-7FFF-4640-A39C-B79F370284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1DEE1266-95AB-41F4-A371-25CFCAB7912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D864B269-4BB5-4560-B9B3-8EEBD3C932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DE12C932-A331-4D97-BECB-2898738D605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903CDC91-02F1-46CD-BF1C-9158C844D62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0F44FFD8-2134-4373-ABD5-FF3AB06512A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55F49E9B-6E5A-4619-A018-64A2A0D161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EF2080B8-5BF5-4735-8B3D-C214F59C675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099DF980-BFB1-4FD6-BC94-480E9D38666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B57C0E94-9966-4D2B-8E33-F1860D83E34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70E11CC3-5C4D-4759-84E4-ABDD2470FC4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C1A5D358-E872-4A32-BB96-1FD9692F14F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4B3F1212-55E4-45F6-B176-39422481AB6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8E2E9BB8-404B-40F3-9B39-F49CCBE386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9897033A-6BAA-4070-9100-3B576BF5B8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16EEA876-010C-48D9-82DE-73C37BAB20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AB7FD1AD-F753-463A-9C14-1CBFB949CD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530968E6-7B5F-4BCE-8EE8-0067A480030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34B2B1BB-1E77-4C92-8932-507586D92B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4E1A52F6-4333-4A26-8EB5-6C618429F7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473246E4-C104-47C4-B837-FEB8C056F4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EB24A1FE-F233-40FF-8E25-131911D2DF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3406352B-D383-4F7E-B6A5-3E5B7A0EF3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C95AF8F4-5BC3-48EA-8B7E-37891B7F304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452AF54E-7B73-48C5-B1D8-3826608A93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A083D4A0-32C2-41EC-90E8-400C3273AF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EBE07731-4C89-4537-8E7B-9CB8E58731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8B95E5AE-99E1-46AF-BEB1-7DD9926FF49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AF68A2FD-868E-4E40-8837-350BAA3E65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7F070553-1C72-4E8E-A365-D7D0B8743A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B97C2FAC-B37A-4829-AC67-B24BF2B3D8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EA6C09CE-6CA7-48ED-9C62-47AD567CB0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4C91604D-0E37-47B2-84BC-3EB6FE5081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415CA285-9207-413D-951E-CD74B40A92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7EB31608-533D-4D8C-86E1-EA25730236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BCC0CCA5-55A9-421E-954A-FADEB35A6E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7A1CF320-EF2C-4481-B37C-81B8A2ECD8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90D18E5D-28D0-48F0-B31C-4B90CFEEB5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95957F4B-4768-43E8-BCC8-734CFB0CAA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ABD06AD8-220B-4D98-B25F-A6F9B12359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DCC63646-D5DB-4666-A8E8-F470402AD7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9B6FF37F-7B4D-414D-B1CB-EAC9B81CE8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7F923EE-4A33-4D38-AC9C-EC847CE1C0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18048A28-3B33-4F69-BDED-F82765DD28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6FFC124E-AE02-4811-9113-5113D12882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706A93CD-5077-45B6-A619-6CC7F6BC22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B58B9931-F71B-4639-99EF-4D66BE2EE1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50F2DF19-DD5F-4639-9DEB-3FAB4889EF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D60D1B98-9EA7-44FB-AB37-E10F10EFC1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14CA6150-968A-42B2-AAE6-C5F6689622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E8ED31AC-E01A-4842-9A7A-A01DD4DAF4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46F83C17-4C79-4F6B-81EF-FB77821F5C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D32B2268-173A-4E46-A70E-7FB341DC3D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72977FEF-1382-40A7-9879-C426BBFF67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82D3C3AD-4A21-4E82-9F87-F04A48B74F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A6F54A1E-F01F-4850-B9A8-AC08AA93B0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681866C5-4A26-41A6-A1D1-CA8780E4F0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C77AB5F7-7C36-4A19-86BA-ECC09EE50B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BCE791FC-EEE7-441C-A531-A6005EBD83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1967BC61-A7E7-4EC7-BB9A-D514B3CF3A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73C25F50-1A8E-4104-85B9-FE64CE4154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65D16DB8-7847-4EA2-AED6-65CD31256A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87E9DDBE-8BC5-4C78-BC49-9058A6B0A66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D3C1C1E9-5E30-46E3-BF93-F0679BD8D1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9E4E6EEB-7F6A-4E2E-8404-866B4E3F7D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A6237A25-F2CD-4CE2-9A31-4434E55AACD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F7185974-0A26-4A94-A1F0-7CFCE46463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CACF3D79-0052-4821-AA38-0F8750A72E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25FF439B-11B9-4BDB-B2C7-44F62BD91D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0CA002F7-23D2-4C59-9044-77111C5D98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52A9915B-CCAC-4044-A238-BF3000B662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1A5D734A-890D-480D-9C3A-FA4C9F9FEC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90C06106-4C65-4C85-AF40-F6477774E5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A10C91E0-7314-4468-9EC5-3A4FDB36AD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6CD968CE-DF50-43E7-9C26-3E7632BA7B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F5EEAD63-7FEC-4944-9356-B3EBCAD75C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1D98DD22-7A24-444F-A7D2-06868945EA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E9EDC06F-55D5-4791-A7A3-7B3263F90C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4F96EF2F-CEAC-47F2-AAF5-9313ACE54F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5DE1BD17-B2FC-45E2-B938-636D0E8B75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EBC6EFB8-82B4-4933-AFDB-A521406C78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000D8C8B-6945-4649-8291-AD6317F879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2AC3008D-7029-4263-9DB7-0C79C8DEEF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2C215EDC-47C7-4101-834A-B25DF130B1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8D02318C-53C1-4777-9B35-347E344903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1C44E447-E6B4-44CE-9A02-3BC1FC7138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33F65669-4BEC-4E68-8BD3-7F416A24F4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A2FC67D6-C8BB-49E9-90C1-9425F96F78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0192B3E2-74A1-4BD9-896D-4FAAFF8E26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0324DB0A-DED9-4CF2-BD1B-E75B61E84B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BEEBE9CA-5978-49F1-8A89-0062A8FD6AD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EF522BE1-747F-4F52-ADAC-D23A55DE61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AE8538AA-F4F9-4A96-994B-81852E2487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7507ADF4-5988-47AB-8407-331F7753D8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7C96F245-B6AC-404C-8C00-048D0324A9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45027300-3036-49E2-8E72-438B35980F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EFCE782E-4B57-45C6-9A73-848287D833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83A8CB46-5D62-4A21-9030-38CC74BDB1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C45ECB5E-F85C-4625-AF80-39102BC152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4D5B27B2-E02E-4368-A728-CA5E59EEC2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D495D3A9-7620-4570-9CDE-1DAE44FACF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EFC4372B-31DF-4BC3-A808-EAD136420C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35F674A2-EE8E-4308-A6BC-AEAC5CABA9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82A5DF54-00CE-400B-AF10-904E119FBD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30A1DA1F-D8AC-48E9-894A-968764AE89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5C738B18-6C87-435E-86D1-9EDB2875B2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60A60F17-F16C-4220-A3B0-905A8B47EF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3EC2EB8F-955C-43E0-9ACA-755E542D7A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3EBD83E4-08BA-4527-B1E5-3691D22B95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7B624B2C-B713-4206-BE12-026DC75E75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9F2BC36D-14BC-4948-9EAB-145CD5C6DA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BFB7C11A-BE63-4DE3-8409-A529754B26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ADE29101-1F59-440F-8318-AC44C74A38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1388DD99-745F-4CFE-9EA4-C6B68A2ED7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C2925F42-84B6-4A21-AD62-DDB2FA833D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0BABB540-3C1F-4EFC-BB4C-202E4EF56F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6624FB3D-F318-4787-87F3-06D4A2C5931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C9C302FA-F878-46D3-8B72-EEE356D30E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FEFB3CF4-B796-4DE1-B74E-FC8E684854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EB5E9312-EAB1-4ACB-812B-961D872BB1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4C88A521-1381-451B-9DC0-055C1F9361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4BCE4424-B646-4E49-8A66-165219D431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70BE798C-0925-4125-96BB-ACC534024DD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A1827AB2-CBC7-4B7B-8C3F-B07E244C74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65B77862-957F-491A-9E88-704BDB4708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25C1F22B-187B-4E40-92DF-C147C3EC61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EB5549DA-7407-4E44-858F-EBA8BF30A6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C1E3FD8C-40DA-4A6F-BA33-9F2151F7ED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CF316308-D180-4483-93AA-484ACC8D3A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A4686873-3629-496B-9E14-FFCBA7E734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685E9272-1290-443F-84A6-271CCFDC18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2D54FE0B-D741-46C2-A155-D89F9A0810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1D818DCC-2C80-412F-95B4-519A581EFB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D8524473-9D8D-4FDF-AA0F-6873C31E94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CD543A88-5FF9-4A8D-B1D0-4243A64101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E625B649-247D-4B93-B7A9-D60DAC84C66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B617F06A-3580-4F1B-897A-D34C159852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847D3B2E-1E2C-4540-9959-5943EC4F24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7241BBE7-4A65-4FDC-9D43-F2A4457834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7540B579-432F-47FA-99A7-5C5F7D69FE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D5A5ABC6-FCAE-4815-956A-BF7AD79B42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A28E4912-A8FB-4914-A0B3-61628726B4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0E348B51-7E0E-457F-9B69-48BB6223B3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B655FECF-F1F2-4916-AD42-6AD265237D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D7C8D3C9-BA37-4D32-8837-2EAD498567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9DC07AB6-7FBC-4000-8FDF-ED6D0D7180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018E2ADC-6048-4DA8-B812-524C0D0E62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C95B7A97-FC00-474E-A8E7-8BCCBB4138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7F139CB6-4DB1-4B38-B515-323DF8601C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79A2B0FA-C51F-4148-8E99-938C770F50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9BD7B296-A47D-4AFF-BD3A-25FC6D8055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EE0CF3F3-BC13-427B-A06F-CE876BC208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1A6720EE-B015-4817-8117-5A9BDA6979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C9562CCB-98CE-4235-89C0-5CCB2FFDDE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49C79FEE-7094-4B70-B7EB-AF0F12680B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F136C1B7-165A-4935-AE02-216E09016D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A11F8A2E-DC0E-401E-95AC-800E197662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162E19B3-43C4-471B-AE3F-B0308F050D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569EC7DF-C84A-47C4-A9D7-6D53315B4D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64F0E6A2-33A3-49E6-A54C-F8C768ABF6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11039395-4CDA-4A20-ADCC-959308A462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F2CE5977-337F-40FA-ABEE-76986570C8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827A35F4-7B93-46A6-9B08-9F42FF91F2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3438349B-AAAD-49B2-8943-EE8ECA533D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D1222EB3-A20C-477C-9D71-B40E9B7E35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2B656B48-E1E5-4722-95AE-139D9EC1D1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FF50FC46-1F64-49BF-AA8B-C5F8545DA9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5135390D-2357-4C30-A8EB-948CD21E59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C3CB7702-A013-4178-82CE-633DDD65DD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8FD76AAC-B293-4FC1-9982-ABE072777C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DB2E9388-F7C4-4257-9A59-FD0CEBAE00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893378CF-3B59-4E6F-89D5-E9E4BDB0AA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F858324B-5550-4D3F-86C6-97F17E6300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9DA80F72-A43F-40A0-A72F-C82950B55B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6A72E459-2853-47BE-8880-9EF3AB1426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BD7BB73E-27F8-4835-9D95-250044A260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D37CB07E-5934-4735-B6B7-294BA3CA18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23B52D2D-9566-4392-B659-8E0B45DB61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35BE6B78-F3CC-4837-85F3-840846F82E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E56A4F4A-5D2A-483E-A396-6544B93F47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FE1BCF01-AA39-4C70-970C-E5C0A4B0CC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F4A34F85-15E7-4E3A-BD85-6F48F57D8D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4243E352-BB08-42C4-B3AD-71D1408483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258DB052-F147-4CAE-935B-E2EF92D4B6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FEC809C2-1A08-4E08-BBFB-2D1ABB771E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9EF45404-1DBE-4907-927F-2AA9F53532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55D3CF2F-9114-437E-B50E-C4C4928DB5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F862CA0C-0C53-487B-A51D-F427526792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B4890B95-6784-4A1C-884D-804C64ED59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F481205D-97D7-44BD-8B36-22C44B6D7D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5D0E8323-9376-43E5-B0D0-D0692B4084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1111F54D-0124-4710-9BAE-F8E5CDEC2B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0E79609D-FDD6-433C-A9F6-6F714D1B17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E3E70FAE-AF6F-43A2-9204-82291396E3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98BA02D2-184A-4860-B0B4-80DFB5E71E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9B7CA276-ADCB-4964-8F2C-45A0BB209A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871C370B-AE6E-4695-BB1D-66B0AD1CA0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A86B5E84-C5C6-41B1-96EB-FB34511CD3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D06990C7-E0E2-4949-9F80-16E8460849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B5FA38CE-034A-4FA8-AD5C-9900832FA7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F2BBACD1-E4CF-431B-9BD2-8DE2D8FE30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59E41E70-5164-4FD0-B318-D50FA8C65F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0E5AA230-CB80-4153-BA49-BF914CC421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9934FF9A-ACA0-4537-A010-EF918FFECA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8593F2F9-7B57-42E9-BD41-9C44F8CC96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7279D72C-6EFB-46CE-A333-F05EEEEDB4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96DAD3B7-172C-457D-9571-2466B8807E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A20FFD5A-17E2-4C8F-A888-6C73525FAF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38E11259-EFE4-42BD-A388-7F4BC0D387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C6F72DB1-E744-46CB-ADD3-1FF12391AC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E4FF0393-38AF-43ED-87A2-90112D36A0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73EC7209-56A5-4901-ABD5-AC78A3994B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7D886CBC-E925-4BF8-BBB9-54BE81BE35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34A6E56C-3D27-4629-A5BB-FAC6D5AF6C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1E5E8EFB-A8B2-48AF-B5FD-51F169A2CF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3D5123FF-488C-4E35-A4DD-6E8DEA5499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ABDC4C37-6ED5-4C7F-8117-95CBBB3AAC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A1029993-BED4-44E2-864D-3F4740C5A4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5B41C653-042C-416E-96BC-DB3DE2936E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4B1EB899-439A-42FA-BE5C-1699A4C971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740" customWidth="1"/>
    <col min="2" max="4" width="9.28515625" style="1739" customWidth="1"/>
    <col min="5" max="5" width="35" style="1739" customWidth="1"/>
    <col min="6" max="16384" width="8" style="1739"/>
  </cols>
  <sheetData>
    <row r="1" spans="1:11" ht="33" customHeight="1">
      <c r="A1" s="1745" t="s">
        <v>841</v>
      </c>
      <c r="B1" s="1745"/>
      <c r="C1" s="1745"/>
      <c r="D1" s="1745"/>
      <c r="E1" s="1745"/>
      <c r="J1" s="1747"/>
      <c r="K1" s="1746" t="s">
        <v>840</v>
      </c>
    </row>
    <row r="2" spans="1:11" ht="33" customHeight="1">
      <c r="A2" s="1745" t="s">
        <v>842</v>
      </c>
      <c r="B2" s="1745"/>
      <c r="C2" s="1745"/>
      <c r="D2" s="1745"/>
      <c r="E2" s="1745"/>
    </row>
    <row r="3" spans="1:11" ht="33" customHeight="1">
      <c r="A3" s="1745" t="s">
        <v>843</v>
      </c>
      <c r="B3" s="1745"/>
      <c r="C3" s="1745"/>
      <c r="D3" s="1745"/>
      <c r="E3" s="1745"/>
    </row>
    <row r="4" spans="1:11" ht="33" customHeight="1">
      <c r="A4" s="1745" t="s">
        <v>844</v>
      </c>
      <c r="B4" s="1745"/>
      <c r="C4" s="1745"/>
      <c r="D4" s="1745"/>
      <c r="E4" s="1745"/>
    </row>
    <row r="5" spans="1:11" ht="33" customHeight="1"/>
    <row r="6" spans="1:11" ht="33" customHeight="1"/>
    <row r="7" spans="1:11" ht="33" customHeight="1"/>
    <row r="8" spans="1:11" ht="33" customHeight="1">
      <c r="A8" s="1748">
        <v>42856</v>
      </c>
      <c r="B8" s="1744"/>
      <c r="C8" s="1744"/>
      <c r="D8" s="1744"/>
      <c r="E8" s="1744"/>
    </row>
    <row r="9" spans="1:11" ht="33" customHeight="1"/>
    <row r="10" spans="1:11" ht="33" customHeight="1">
      <c r="A10" s="1743" t="s">
        <v>845</v>
      </c>
      <c r="B10" s="1743"/>
      <c r="C10" s="1743"/>
      <c r="D10" s="1743"/>
      <c r="E10" s="1743"/>
    </row>
    <row r="11" spans="1:11" ht="33" customHeight="1">
      <c r="A11" s="1743"/>
      <c r="B11" s="1743"/>
      <c r="C11" s="1743"/>
      <c r="D11" s="1743"/>
      <c r="E11" s="1743"/>
    </row>
    <row r="12" spans="1:11" ht="33" customHeight="1">
      <c r="A12" s="1743"/>
      <c r="B12" s="1743"/>
      <c r="C12" s="1743"/>
      <c r="D12" s="1743"/>
      <c r="E12" s="1743"/>
    </row>
    <row r="13" spans="1:11" ht="30" customHeight="1">
      <c r="A13" s="1742"/>
      <c r="B13" s="1741"/>
      <c r="C13" s="1741"/>
      <c r="D13" s="1741"/>
      <c r="E13" s="1741"/>
    </row>
    <row r="14" spans="1:11" ht="30" customHeight="1">
      <c r="A14" s="1742"/>
      <c r="B14" s="1741"/>
      <c r="C14" s="1741"/>
      <c r="D14" s="1741"/>
      <c r="E14" s="1741"/>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3"/>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179</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155</v>
      </c>
      <c r="C3" s="235" t="s">
        <v>22</v>
      </c>
      <c r="D3" s="235"/>
      <c r="E3" s="61"/>
      <c r="F3" s="61"/>
      <c r="O3" s="61"/>
      <c r="P3" s="61"/>
      <c r="Q3" s="61"/>
      <c r="R3" s="61"/>
      <c r="S3" s="61"/>
      <c r="T3" s="61"/>
      <c r="U3" s="61"/>
      <c r="V3" s="234"/>
      <c r="W3" s="54" t="s">
        <v>156</v>
      </c>
    </row>
    <row r="4" spans="1:28" ht="15" customHeight="1">
      <c r="A4" s="108" t="s">
        <v>157</v>
      </c>
      <c r="C4" s="235" t="s">
        <v>180</v>
      </c>
      <c r="D4" s="235"/>
      <c r="E4" s="61"/>
      <c r="F4" s="61"/>
      <c r="O4" s="236" t="s">
        <v>158</v>
      </c>
      <c r="P4" s="237"/>
      <c r="Q4" s="237"/>
      <c r="R4" s="237"/>
      <c r="S4" s="237"/>
      <c r="T4" s="237"/>
      <c r="U4" s="238"/>
      <c r="V4" s="234"/>
      <c r="W4" s="178" t="s">
        <v>181</v>
      </c>
    </row>
    <row r="5" spans="1:28" ht="15" customHeight="1">
      <c r="O5" s="239" t="s">
        <v>76</v>
      </c>
      <c r="P5" s="240" t="s">
        <v>159</v>
      </c>
      <c r="Q5" s="240" t="s">
        <v>160</v>
      </c>
      <c r="R5" s="240" t="s">
        <v>161</v>
      </c>
      <c r="S5" s="240" t="s">
        <v>162</v>
      </c>
      <c r="T5" s="240" t="s">
        <v>163</v>
      </c>
      <c r="U5" s="241" t="s">
        <v>164</v>
      </c>
      <c r="W5" s="178" t="s">
        <v>182</v>
      </c>
    </row>
    <row r="6" spans="1:28" ht="15" customHeight="1">
      <c r="O6" s="242"/>
      <c r="P6" s="243"/>
      <c r="Q6" s="243"/>
      <c r="R6" s="243"/>
      <c r="S6" s="243"/>
      <c r="T6" s="243"/>
      <c r="U6" s="244"/>
      <c r="W6" s="178" t="s">
        <v>183</v>
      </c>
    </row>
    <row r="7" spans="1:28" ht="15" customHeight="1">
      <c r="Q7" s="234"/>
      <c r="R7" s="234"/>
      <c r="S7" s="234"/>
      <c r="T7" s="234"/>
      <c r="U7" s="234"/>
      <c r="W7" s="178" t="s">
        <v>184</v>
      </c>
    </row>
    <row r="8" spans="1:28" ht="15" customHeight="1">
      <c r="P8" s="234"/>
      <c r="Q8" s="234"/>
      <c r="R8" s="234"/>
      <c r="S8" s="234"/>
      <c r="T8" s="234"/>
      <c r="U8" s="234"/>
      <c r="W8" s="178" t="s">
        <v>185</v>
      </c>
    </row>
    <row r="9" spans="1:28" ht="15" customHeight="1" thickBot="1">
      <c r="G9" s="54" t="s">
        <v>165</v>
      </c>
      <c r="L9" s="54" t="s">
        <v>166</v>
      </c>
      <c r="P9" s="234"/>
      <c r="Q9" s="234"/>
      <c r="R9" s="234"/>
      <c r="S9" s="234"/>
      <c r="T9" s="234"/>
      <c r="U9" s="234"/>
      <c r="W9" s="83" t="s">
        <v>186</v>
      </c>
    </row>
    <row r="10" spans="1:28" ht="15" customHeight="1">
      <c r="A10" s="245" t="s">
        <v>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167</v>
      </c>
      <c r="B12" s="251" t="s">
        <v>168</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169</v>
      </c>
      <c r="B13" s="258" t="s">
        <v>170</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69</v>
      </c>
      <c r="B14" s="258" t="s">
        <v>171</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70</v>
      </c>
      <c r="B15" s="266" t="s">
        <v>172</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173</v>
      </c>
      <c r="C16" s="271"/>
      <c r="D16" s="272"/>
      <c r="E16" s="287">
        <v>1</v>
      </c>
      <c r="F16" s="288">
        <v>1</v>
      </c>
      <c r="G16" s="288">
        <v>1</v>
      </c>
      <c r="H16" s="288">
        <v>1</v>
      </c>
      <c r="I16" s="288">
        <v>1</v>
      </c>
      <c r="J16" s="288">
        <v>1</v>
      </c>
      <c r="K16" s="288">
        <v>1</v>
      </c>
      <c r="L16" s="288">
        <v>1</v>
      </c>
      <c r="M16" s="288">
        <v>1</v>
      </c>
      <c r="N16" s="288">
        <v>1</v>
      </c>
      <c r="O16" s="288">
        <v>1</v>
      </c>
      <c r="P16" s="288">
        <v>1</v>
      </c>
      <c r="Q16" s="288">
        <v>1</v>
      </c>
      <c r="R16" s="288">
        <v>1</v>
      </c>
      <c r="S16" s="288">
        <v>1</v>
      </c>
      <c r="T16" s="288">
        <v>1</v>
      </c>
      <c r="U16" s="288">
        <v>1</v>
      </c>
      <c r="V16" s="288">
        <v>1</v>
      </c>
      <c r="W16" s="288">
        <v>1</v>
      </c>
      <c r="X16" s="288">
        <v>1</v>
      </c>
      <c r="Y16" s="288">
        <v>1</v>
      </c>
      <c r="Z16" s="288">
        <v>1</v>
      </c>
      <c r="AA16" s="288">
        <v>1</v>
      </c>
      <c r="AB16" s="289">
        <v>1</v>
      </c>
    </row>
    <row r="17" spans="1:28" ht="15" customHeight="1" thickBot="1">
      <c r="A17" s="273"/>
      <c r="B17" s="274" t="s">
        <v>174</v>
      </c>
      <c r="C17" s="275"/>
      <c r="D17" s="276"/>
      <c r="E17" s="290">
        <v>0</v>
      </c>
      <c r="F17" s="291">
        <v>0</v>
      </c>
      <c r="G17" s="291">
        <v>0</v>
      </c>
      <c r="H17" s="291">
        <v>0</v>
      </c>
      <c r="I17" s="291">
        <v>16</v>
      </c>
      <c r="J17" s="291">
        <v>120</v>
      </c>
      <c r="K17" s="291">
        <v>147</v>
      </c>
      <c r="L17" s="291">
        <v>156</v>
      </c>
      <c r="M17" s="291">
        <v>133</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71</v>
      </c>
      <c r="B18" s="266" t="s">
        <v>172</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1</v>
      </c>
      <c r="F19" s="288">
        <v>1</v>
      </c>
      <c r="G19" s="288">
        <v>1</v>
      </c>
      <c r="H19" s="288">
        <v>1</v>
      </c>
      <c r="I19" s="288">
        <v>1</v>
      </c>
      <c r="J19" s="288">
        <v>1</v>
      </c>
      <c r="K19" s="288">
        <v>1</v>
      </c>
      <c r="L19" s="288">
        <v>1</v>
      </c>
      <c r="M19" s="288">
        <v>1</v>
      </c>
      <c r="N19" s="288">
        <v>1</v>
      </c>
      <c r="O19" s="288">
        <v>1</v>
      </c>
      <c r="P19" s="288">
        <v>1</v>
      </c>
      <c r="Q19" s="288">
        <v>1</v>
      </c>
      <c r="R19" s="288">
        <v>1</v>
      </c>
      <c r="S19" s="288">
        <v>1</v>
      </c>
      <c r="T19" s="288">
        <v>1</v>
      </c>
      <c r="U19" s="288">
        <v>1</v>
      </c>
      <c r="V19" s="288">
        <v>1</v>
      </c>
      <c r="W19" s="288">
        <v>1</v>
      </c>
      <c r="X19" s="288">
        <v>1</v>
      </c>
      <c r="Y19" s="288">
        <v>1</v>
      </c>
      <c r="Z19" s="288">
        <v>1</v>
      </c>
      <c r="AA19" s="288">
        <v>1</v>
      </c>
      <c r="AB19" s="289">
        <v>1</v>
      </c>
    </row>
    <row r="20" spans="1:28" ht="15" customHeight="1" thickBot="1">
      <c r="A20" s="273"/>
      <c r="B20" s="274" t="s">
        <v>174</v>
      </c>
      <c r="C20" s="275"/>
      <c r="D20" s="276"/>
      <c r="E20" s="290">
        <v>0</v>
      </c>
      <c r="F20" s="291">
        <v>0</v>
      </c>
      <c r="G20" s="291">
        <v>0</v>
      </c>
      <c r="H20" s="291">
        <v>0</v>
      </c>
      <c r="I20" s="291">
        <v>22</v>
      </c>
      <c r="J20" s="291">
        <v>194</v>
      </c>
      <c r="K20" s="291">
        <v>257</v>
      </c>
      <c r="L20" s="291">
        <v>309</v>
      </c>
      <c r="M20" s="291">
        <v>295</v>
      </c>
      <c r="N20" s="291">
        <v>229</v>
      </c>
      <c r="O20" s="291">
        <v>146</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72</v>
      </c>
      <c r="B21" s="266" t="s">
        <v>172</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173</v>
      </c>
      <c r="C22" s="271"/>
      <c r="D22" s="272"/>
      <c r="E22" s="287">
        <v>1</v>
      </c>
      <c r="F22" s="288">
        <v>1</v>
      </c>
      <c r="G22" s="288">
        <v>1</v>
      </c>
      <c r="H22" s="288">
        <v>1</v>
      </c>
      <c r="I22" s="288">
        <v>1</v>
      </c>
      <c r="J22" s="288">
        <v>1</v>
      </c>
      <c r="K22" s="288">
        <v>1</v>
      </c>
      <c r="L22" s="288">
        <v>1</v>
      </c>
      <c r="M22" s="288">
        <v>1</v>
      </c>
      <c r="N22" s="288">
        <v>1</v>
      </c>
      <c r="O22" s="288">
        <v>1</v>
      </c>
      <c r="P22" s="288">
        <v>1</v>
      </c>
      <c r="Q22" s="288">
        <v>1</v>
      </c>
      <c r="R22" s="288">
        <v>1</v>
      </c>
      <c r="S22" s="288">
        <v>1</v>
      </c>
      <c r="T22" s="288">
        <v>1</v>
      </c>
      <c r="U22" s="288">
        <v>1</v>
      </c>
      <c r="V22" s="288">
        <v>1</v>
      </c>
      <c r="W22" s="288">
        <v>1</v>
      </c>
      <c r="X22" s="288">
        <v>1</v>
      </c>
      <c r="Y22" s="288">
        <v>1</v>
      </c>
      <c r="Z22" s="288">
        <v>1</v>
      </c>
      <c r="AA22" s="288">
        <v>1</v>
      </c>
      <c r="AB22" s="289">
        <v>1</v>
      </c>
    </row>
    <row r="23" spans="1:28" ht="15" customHeight="1" thickBot="1">
      <c r="A23" s="273"/>
      <c r="B23" s="274" t="s">
        <v>174</v>
      </c>
      <c r="C23" s="275"/>
      <c r="D23" s="276"/>
      <c r="E23" s="290">
        <v>0</v>
      </c>
      <c r="F23" s="291">
        <v>0</v>
      </c>
      <c r="G23" s="291">
        <v>0</v>
      </c>
      <c r="H23" s="291">
        <v>0</v>
      </c>
      <c r="I23" s="291">
        <v>16</v>
      </c>
      <c r="J23" s="291">
        <v>161</v>
      </c>
      <c r="K23" s="291">
        <v>242</v>
      </c>
      <c r="L23" s="291">
        <v>322</v>
      </c>
      <c r="M23" s="291">
        <v>344</v>
      </c>
      <c r="N23" s="291">
        <v>310</v>
      </c>
      <c r="O23" s="291">
        <v>231</v>
      </c>
      <c r="P23" s="291">
        <v>147</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73</v>
      </c>
      <c r="B24" s="266" t="s">
        <v>172</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173</v>
      </c>
      <c r="C25" s="271"/>
      <c r="D25" s="272"/>
      <c r="E25" s="287">
        <v>1</v>
      </c>
      <c r="F25" s="288">
        <v>1</v>
      </c>
      <c r="G25" s="288">
        <v>1</v>
      </c>
      <c r="H25" s="288">
        <v>1</v>
      </c>
      <c r="I25" s="288">
        <v>1</v>
      </c>
      <c r="J25" s="288">
        <v>1</v>
      </c>
      <c r="K25" s="288">
        <v>1</v>
      </c>
      <c r="L25" s="288">
        <v>1</v>
      </c>
      <c r="M25" s="288">
        <v>1</v>
      </c>
      <c r="N25" s="288">
        <v>1</v>
      </c>
      <c r="O25" s="288">
        <v>1</v>
      </c>
      <c r="P25" s="288">
        <v>1</v>
      </c>
      <c r="Q25" s="288">
        <v>1</v>
      </c>
      <c r="R25" s="288">
        <v>1</v>
      </c>
      <c r="S25" s="288">
        <v>1</v>
      </c>
      <c r="T25" s="288">
        <v>1</v>
      </c>
      <c r="U25" s="288">
        <v>1</v>
      </c>
      <c r="V25" s="288">
        <v>1</v>
      </c>
      <c r="W25" s="288">
        <v>1</v>
      </c>
      <c r="X25" s="288">
        <v>1</v>
      </c>
      <c r="Y25" s="288">
        <v>1</v>
      </c>
      <c r="Z25" s="288">
        <v>1</v>
      </c>
      <c r="AA25" s="288">
        <v>1</v>
      </c>
      <c r="AB25" s="289">
        <v>1</v>
      </c>
    </row>
    <row r="26" spans="1:28" ht="15" customHeight="1" thickBot="1">
      <c r="A26" s="273"/>
      <c r="B26" s="274" t="s">
        <v>174</v>
      </c>
      <c r="C26" s="275"/>
      <c r="D26" s="276"/>
      <c r="E26" s="290">
        <v>0</v>
      </c>
      <c r="F26" s="291">
        <v>0</v>
      </c>
      <c r="G26" s="291">
        <v>0</v>
      </c>
      <c r="H26" s="291">
        <v>0</v>
      </c>
      <c r="I26" s="291">
        <v>4</v>
      </c>
      <c r="J26" s="291">
        <v>31</v>
      </c>
      <c r="K26" s="291">
        <v>63</v>
      </c>
      <c r="L26" s="291">
        <v>137</v>
      </c>
      <c r="M26" s="291">
        <v>206</v>
      </c>
      <c r="N26" s="291">
        <v>245</v>
      </c>
      <c r="O26" s="291">
        <v>247</v>
      </c>
      <c r="P26" s="291">
        <v>218</v>
      </c>
      <c r="Q26" s="291">
        <v>169</v>
      </c>
      <c r="R26" s="291">
        <v>125</v>
      </c>
      <c r="S26" s="291">
        <v>107</v>
      </c>
      <c r="T26" s="291">
        <v>80</v>
      </c>
      <c r="U26" s="291">
        <v>50</v>
      </c>
      <c r="V26" s="291">
        <v>14</v>
      </c>
      <c r="W26" s="291">
        <v>0</v>
      </c>
      <c r="X26" s="291">
        <v>0</v>
      </c>
      <c r="Y26" s="291">
        <v>0</v>
      </c>
      <c r="Z26" s="291">
        <v>0</v>
      </c>
      <c r="AA26" s="291">
        <v>0</v>
      </c>
      <c r="AB26" s="292">
        <v>0</v>
      </c>
    </row>
    <row r="27" spans="1:28" ht="15" customHeight="1">
      <c r="A27" s="265" t="s">
        <v>74</v>
      </c>
      <c r="B27" s="266" t="s">
        <v>172</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173</v>
      </c>
      <c r="C28" s="271"/>
      <c r="D28" s="272"/>
      <c r="E28" s="287">
        <v>1</v>
      </c>
      <c r="F28" s="288">
        <v>1</v>
      </c>
      <c r="G28" s="288">
        <v>1</v>
      </c>
      <c r="H28" s="288">
        <v>1</v>
      </c>
      <c r="I28" s="288">
        <v>1</v>
      </c>
      <c r="J28" s="288">
        <v>1</v>
      </c>
      <c r="K28" s="288">
        <v>1</v>
      </c>
      <c r="L28" s="288">
        <v>1</v>
      </c>
      <c r="M28" s="288">
        <v>1</v>
      </c>
      <c r="N28" s="288">
        <v>1</v>
      </c>
      <c r="O28" s="288">
        <v>1</v>
      </c>
      <c r="P28" s="288">
        <v>1</v>
      </c>
      <c r="Q28" s="288">
        <v>1</v>
      </c>
      <c r="R28" s="288">
        <v>1</v>
      </c>
      <c r="S28" s="288">
        <v>1</v>
      </c>
      <c r="T28" s="288">
        <v>1</v>
      </c>
      <c r="U28" s="288">
        <v>1</v>
      </c>
      <c r="V28" s="288">
        <v>1</v>
      </c>
      <c r="W28" s="288">
        <v>1</v>
      </c>
      <c r="X28" s="288">
        <v>1</v>
      </c>
      <c r="Y28" s="288">
        <v>1</v>
      </c>
      <c r="Z28" s="288">
        <v>1</v>
      </c>
      <c r="AA28" s="288">
        <v>1</v>
      </c>
      <c r="AB28" s="289">
        <v>1</v>
      </c>
    </row>
    <row r="29" spans="1:28" ht="15" customHeight="1" thickBot="1">
      <c r="A29" s="273"/>
      <c r="B29" s="274" t="s">
        <v>174</v>
      </c>
      <c r="C29" s="275"/>
      <c r="D29" s="276"/>
      <c r="E29" s="290">
        <v>0</v>
      </c>
      <c r="F29" s="291">
        <v>0</v>
      </c>
      <c r="G29" s="291">
        <v>0</v>
      </c>
      <c r="H29" s="291">
        <v>0</v>
      </c>
      <c r="I29" s="291">
        <v>4</v>
      </c>
      <c r="J29" s="291">
        <v>31</v>
      </c>
      <c r="K29" s="291">
        <v>63</v>
      </c>
      <c r="L29" s="291">
        <v>93</v>
      </c>
      <c r="M29" s="291">
        <v>116</v>
      </c>
      <c r="N29" s="291">
        <v>130</v>
      </c>
      <c r="O29" s="291">
        <v>163</v>
      </c>
      <c r="P29" s="291">
        <v>229</v>
      </c>
      <c r="Q29" s="291">
        <v>269</v>
      </c>
      <c r="R29" s="291">
        <v>267</v>
      </c>
      <c r="S29" s="291">
        <v>224</v>
      </c>
      <c r="T29" s="291">
        <v>156</v>
      </c>
      <c r="U29" s="291">
        <v>84</v>
      </c>
      <c r="V29" s="291">
        <v>16</v>
      </c>
      <c r="W29" s="291">
        <v>0</v>
      </c>
      <c r="X29" s="291">
        <v>0</v>
      </c>
      <c r="Y29" s="291">
        <v>0</v>
      </c>
      <c r="Z29" s="291">
        <v>0</v>
      </c>
      <c r="AA29" s="291">
        <v>0</v>
      </c>
      <c r="AB29" s="292">
        <v>0</v>
      </c>
    </row>
    <row r="30" spans="1:28" ht="15" customHeight="1">
      <c r="A30" s="265" t="s">
        <v>75</v>
      </c>
      <c r="B30" s="266" t="s">
        <v>172</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175</v>
      </c>
      <c r="C31" s="271"/>
      <c r="D31" s="272"/>
      <c r="E31" s="287">
        <v>1</v>
      </c>
      <c r="F31" s="288">
        <v>1</v>
      </c>
      <c r="G31" s="288">
        <v>1</v>
      </c>
      <c r="H31" s="288">
        <v>1</v>
      </c>
      <c r="I31" s="288">
        <v>1</v>
      </c>
      <c r="J31" s="288">
        <v>1</v>
      </c>
      <c r="K31" s="288">
        <v>1</v>
      </c>
      <c r="L31" s="288">
        <v>1</v>
      </c>
      <c r="M31" s="288">
        <v>1</v>
      </c>
      <c r="N31" s="288">
        <v>1</v>
      </c>
      <c r="O31" s="288">
        <v>1</v>
      </c>
      <c r="P31" s="288">
        <v>1</v>
      </c>
      <c r="Q31" s="288">
        <v>1</v>
      </c>
      <c r="R31" s="288">
        <v>1</v>
      </c>
      <c r="S31" s="288">
        <v>1</v>
      </c>
      <c r="T31" s="288">
        <v>1</v>
      </c>
      <c r="U31" s="288">
        <v>1</v>
      </c>
      <c r="V31" s="288">
        <v>1</v>
      </c>
      <c r="W31" s="288">
        <v>1</v>
      </c>
      <c r="X31" s="288">
        <v>1</v>
      </c>
      <c r="Y31" s="288">
        <v>1</v>
      </c>
      <c r="Z31" s="288">
        <v>1</v>
      </c>
      <c r="AA31" s="288">
        <v>1</v>
      </c>
      <c r="AB31" s="289">
        <v>1</v>
      </c>
    </row>
    <row r="32" spans="1:28" ht="15" customHeight="1" thickBot="1">
      <c r="A32" s="273"/>
      <c r="B32" s="274" t="s">
        <v>174</v>
      </c>
      <c r="C32" s="275"/>
      <c r="D32" s="276"/>
      <c r="E32" s="290">
        <v>0</v>
      </c>
      <c r="F32" s="291">
        <v>0</v>
      </c>
      <c r="G32" s="291">
        <v>0</v>
      </c>
      <c r="H32" s="291">
        <v>0</v>
      </c>
      <c r="I32" s="291">
        <v>4</v>
      </c>
      <c r="J32" s="291">
        <v>31</v>
      </c>
      <c r="K32" s="291">
        <v>63</v>
      </c>
      <c r="L32" s="291">
        <v>93</v>
      </c>
      <c r="M32" s="291">
        <v>116</v>
      </c>
      <c r="N32" s="291">
        <v>130</v>
      </c>
      <c r="O32" s="291">
        <v>135</v>
      </c>
      <c r="P32" s="291">
        <v>157</v>
      </c>
      <c r="Q32" s="291">
        <v>264</v>
      </c>
      <c r="R32" s="291">
        <v>342</v>
      </c>
      <c r="S32" s="291">
        <v>349</v>
      </c>
      <c r="T32" s="291">
        <v>298</v>
      </c>
      <c r="U32" s="291">
        <v>207</v>
      </c>
      <c r="V32" s="291">
        <v>53</v>
      </c>
      <c r="W32" s="291">
        <v>0</v>
      </c>
      <c r="X32" s="291">
        <v>0</v>
      </c>
      <c r="Y32" s="291">
        <v>0</v>
      </c>
      <c r="Z32" s="291">
        <v>0</v>
      </c>
      <c r="AA32" s="291">
        <v>0</v>
      </c>
      <c r="AB32" s="292">
        <v>0</v>
      </c>
    </row>
    <row r="33" spans="1:28" ht="15" customHeight="1">
      <c r="A33" s="265" t="s">
        <v>76</v>
      </c>
      <c r="B33" s="266" t="s">
        <v>172</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175</v>
      </c>
      <c r="C34" s="271"/>
      <c r="D34" s="272"/>
      <c r="E34" s="287">
        <v>1</v>
      </c>
      <c r="F34" s="288">
        <v>1</v>
      </c>
      <c r="G34" s="288">
        <v>1</v>
      </c>
      <c r="H34" s="288">
        <v>1</v>
      </c>
      <c r="I34" s="288">
        <v>1</v>
      </c>
      <c r="J34" s="288">
        <v>1</v>
      </c>
      <c r="K34" s="288">
        <v>1</v>
      </c>
      <c r="L34" s="288">
        <v>1</v>
      </c>
      <c r="M34" s="288">
        <v>1</v>
      </c>
      <c r="N34" s="288">
        <v>1</v>
      </c>
      <c r="O34" s="288">
        <v>1</v>
      </c>
      <c r="P34" s="288">
        <v>1</v>
      </c>
      <c r="Q34" s="288">
        <v>1</v>
      </c>
      <c r="R34" s="288">
        <v>1</v>
      </c>
      <c r="S34" s="288">
        <v>1</v>
      </c>
      <c r="T34" s="288">
        <v>1</v>
      </c>
      <c r="U34" s="288">
        <v>1</v>
      </c>
      <c r="V34" s="288">
        <v>1</v>
      </c>
      <c r="W34" s="288">
        <v>1</v>
      </c>
      <c r="X34" s="288">
        <v>1</v>
      </c>
      <c r="Y34" s="288">
        <v>1</v>
      </c>
      <c r="Z34" s="288">
        <v>1</v>
      </c>
      <c r="AA34" s="288">
        <v>1</v>
      </c>
      <c r="AB34" s="289">
        <v>1</v>
      </c>
    </row>
    <row r="35" spans="1:28" ht="15" customHeight="1" thickBot="1">
      <c r="A35" s="273"/>
      <c r="B35" s="274" t="s">
        <v>174</v>
      </c>
      <c r="C35" s="275"/>
      <c r="D35" s="276"/>
      <c r="E35" s="290">
        <v>0</v>
      </c>
      <c r="F35" s="291">
        <v>0</v>
      </c>
      <c r="G35" s="291">
        <v>0</v>
      </c>
      <c r="H35" s="291">
        <v>0</v>
      </c>
      <c r="I35" s="291">
        <v>4</v>
      </c>
      <c r="J35" s="291">
        <v>31</v>
      </c>
      <c r="K35" s="291">
        <v>63</v>
      </c>
      <c r="L35" s="291">
        <v>93</v>
      </c>
      <c r="M35" s="291">
        <v>116</v>
      </c>
      <c r="N35" s="291">
        <v>130</v>
      </c>
      <c r="O35" s="291">
        <v>135</v>
      </c>
      <c r="P35" s="291">
        <v>136</v>
      </c>
      <c r="Q35" s="291">
        <v>148</v>
      </c>
      <c r="R35" s="291">
        <v>242</v>
      </c>
      <c r="S35" s="291">
        <v>308</v>
      </c>
      <c r="T35" s="291">
        <v>299</v>
      </c>
      <c r="U35" s="291">
        <v>232</v>
      </c>
      <c r="V35" s="291">
        <v>66</v>
      </c>
      <c r="W35" s="291">
        <v>0</v>
      </c>
      <c r="X35" s="291">
        <v>0</v>
      </c>
      <c r="Y35" s="291">
        <v>0</v>
      </c>
      <c r="Z35" s="291">
        <v>0</v>
      </c>
      <c r="AA35" s="291">
        <v>0</v>
      </c>
      <c r="AB35" s="292">
        <v>0</v>
      </c>
    </row>
    <row r="36" spans="1:28" ht="15" customHeight="1">
      <c r="A36" s="277" t="s">
        <v>77</v>
      </c>
      <c r="B36" s="266" t="s">
        <v>172</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175</v>
      </c>
      <c r="C37" s="271"/>
      <c r="D37" s="272"/>
      <c r="E37" s="287">
        <v>1</v>
      </c>
      <c r="F37" s="288">
        <v>1</v>
      </c>
      <c r="G37" s="288">
        <v>1</v>
      </c>
      <c r="H37" s="288">
        <v>1</v>
      </c>
      <c r="I37" s="288">
        <v>1</v>
      </c>
      <c r="J37" s="288">
        <v>1</v>
      </c>
      <c r="K37" s="288">
        <v>1</v>
      </c>
      <c r="L37" s="288">
        <v>1</v>
      </c>
      <c r="M37" s="288">
        <v>1</v>
      </c>
      <c r="N37" s="288">
        <v>1</v>
      </c>
      <c r="O37" s="288">
        <v>1</v>
      </c>
      <c r="P37" s="288">
        <v>1</v>
      </c>
      <c r="Q37" s="288">
        <v>1</v>
      </c>
      <c r="R37" s="288">
        <v>1</v>
      </c>
      <c r="S37" s="288">
        <v>1</v>
      </c>
      <c r="T37" s="288">
        <v>1</v>
      </c>
      <c r="U37" s="288">
        <v>1</v>
      </c>
      <c r="V37" s="288">
        <v>1</v>
      </c>
      <c r="W37" s="288">
        <v>1</v>
      </c>
      <c r="X37" s="288">
        <v>1</v>
      </c>
      <c r="Y37" s="288">
        <v>1</v>
      </c>
      <c r="Z37" s="288">
        <v>1</v>
      </c>
      <c r="AA37" s="288">
        <v>1</v>
      </c>
      <c r="AB37" s="289">
        <v>1</v>
      </c>
    </row>
    <row r="38" spans="1:28" ht="15" customHeight="1" thickBot="1">
      <c r="A38" s="279"/>
      <c r="B38" s="274" t="s">
        <v>174</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106</v>
      </c>
      <c r="U38" s="291">
        <v>112</v>
      </c>
      <c r="V38" s="291">
        <v>42</v>
      </c>
      <c r="W38" s="291">
        <v>0</v>
      </c>
      <c r="X38" s="291">
        <v>0</v>
      </c>
      <c r="Y38" s="291">
        <v>0</v>
      </c>
      <c r="Z38" s="291">
        <v>0</v>
      </c>
      <c r="AA38" s="291">
        <v>0</v>
      </c>
      <c r="AB38" s="292">
        <v>0</v>
      </c>
    </row>
    <row r="39" spans="1:28" ht="15" customHeight="1">
      <c r="A39" s="280" t="s">
        <v>33</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176</v>
      </c>
      <c r="B41" s="251" t="s">
        <v>168</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169</v>
      </c>
      <c r="B42" s="258" t="s">
        <v>170</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69</v>
      </c>
      <c r="B43" s="258" t="s">
        <v>171</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70</v>
      </c>
      <c r="B44" s="266" t="s">
        <v>172</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175</v>
      </c>
      <c r="C45" s="271"/>
      <c r="D45" s="272"/>
      <c r="E45" s="288">
        <v>1</v>
      </c>
      <c r="F45" s="288">
        <v>1</v>
      </c>
      <c r="G45" s="288">
        <v>1</v>
      </c>
      <c r="H45" s="288">
        <v>1</v>
      </c>
      <c r="I45" s="288">
        <v>1</v>
      </c>
      <c r="J45" s="288">
        <v>1</v>
      </c>
      <c r="K45" s="288">
        <v>1</v>
      </c>
      <c r="L45" s="288">
        <v>1</v>
      </c>
      <c r="M45" s="288">
        <v>1</v>
      </c>
      <c r="N45" s="288">
        <v>1</v>
      </c>
      <c r="O45" s="288">
        <v>1</v>
      </c>
      <c r="P45" s="288">
        <v>1</v>
      </c>
      <c r="Q45" s="288">
        <v>1</v>
      </c>
      <c r="R45" s="288">
        <v>1</v>
      </c>
      <c r="S45" s="288">
        <v>1</v>
      </c>
      <c r="T45" s="288">
        <v>1</v>
      </c>
      <c r="U45" s="288">
        <v>1</v>
      </c>
      <c r="V45" s="288">
        <v>1</v>
      </c>
      <c r="W45" s="288">
        <v>1</v>
      </c>
      <c r="X45" s="288">
        <v>1</v>
      </c>
      <c r="Y45" s="288">
        <v>1</v>
      </c>
      <c r="Z45" s="288">
        <v>1</v>
      </c>
      <c r="AA45" s="288">
        <v>1</v>
      </c>
      <c r="AB45" s="289">
        <v>1</v>
      </c>
    </row>
    <row r="46" spans="1:28" ht="15" customHeight="1" thickBot="1">
      <c r="A46" s="273"/>
      <c r="B46" s="274" t="s">
        <v>174</v>
      </c>
      <c r="C46" s="275"/>
      <c r="D46" s="276"/>
      <c r="E46" s="291">
        <v>0</v>
      </c>
      <c r="F46" s="291">
        <v>0</v>
      </c>
      <c r="G46" s="291">
        <v>0</v>
      </c>
      <c r="H46" s="291">
        <v>0</v>
      </c>
      <c r="I46" s="291">
        <v>55</v>
      </c>
      <c r="J46" s="291">
        <v>233</v>
      </c>
      <c r="K46" s="291">
        <v>253</v>
      </c>
      <c r="L46" s="291">
        <v>208</v>
      </c>
      <c r="M46" s="291">
        <v>133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71</v>
      </c>
      <c r="B47" s="266" t="s">
        <v>172</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173</v>
      </c>
      <c r="C48" s="271"/>
      <c r="D48" s="272"/>
      <c r="E48" s="288">
        <v>1</v>
      </c>
      <c r="F48" s="288">
        <v>1</v>
      </c>
      <c r="G48" s="288">
        <v>1</v>
      </c>
      <c r="H48" s="288">
        <v>1</v>
      </c>
      <c r="I48" s="288">
        <v>1</v>
      </c>
      <c r="J48" s="288">
        <v>1</v>
      </c>
      <c r="K48" s="288">
        <v>1</v>
      </c>
      <c r="L48" s="288">
        <v>1</v>
      </c>
      <c r="M48" s="288">
        <v>1</v>
      </c>
      <c r="N48" s="288">
        <v>1</v>
      </c>
      <c r="O48" s="288">
        <v>1</v>
      </c>
      <c r="P48" s="288">
        <v>1</v>
      </c>
      <c r="Q48" s="288">
        <v>1</v>
      </c>
      <c r="R48" s="288">
        <v>1</v>
      </c>
      <c r="S48" s="288">
        <v>1</v>
      </c>
      <c r="T48" s="288">
        <v>1</v>
      </c>
      <c r="U48" s="288">
        <v>1</v>
      </c>
      <c r="V48" s="288">
        <v>1</v>
      </c>
      <c r="W48" s="288">
        <v>1</v>
      </c>
      <c r="X48" s="288">
        <v>1</v>
      </c>
      <c r="Y48" s="288">
        <v>1</v>
      </c>
      <c r="Z48" s="288">
        <v>1</v>
      </c>
      <c r="AA48" s="288">
        <v>1</v>
      </c>
      <c r="AB48" s="289">
        <v>1</v>
      </c>
    </row>
    <row r="49" spans="1:28" ht="15" customHeight="1" thickBot="1">
      <c r="A49" s="273"/>
      <c r="B49" s="274" t="s">
        <v>174</v>
      </c>
      <c r="C49" s="275"/>
      <c r="D49" s="276"/>
      <c r="E49" s="291">
        <v>0</v>
      </c>
      <c r="F49" s="291">
        <v>0</v>
      </c>
      <c r="G49" s="291">
        <v>0</v>
      </c>
      <c r="H49" s="291">
        <v>0</v>
      </c>
      <c r="I49" s="291">
        <v>80</v>
      </c>
      <c r="J49" s="291">
        <v>396</v>
      </c>
      <c r="K49" s="291">
        <v>505</v>
      </c>
      <c r="L49" s="291">
        <v>502</v>
      </c>
      <c r="M49" s="291">
        <v>414</v>
      </c>
      <c r="N49" s="291">
        <v>274</v>
      </c>
      <c r="O49" s="291">
        <v>129</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72</v>
      </c>
      <c r="B50" s="266" t="s">
        <v>172</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173</v>
      </c>
      <c r="C51" s="271"/>
      <c r="D51" s="272"/>
      <c r="E51" s="288">
        <v>1</v>
      </c>
      <c r="F51" s="288">
        <v>1</v>
      </c>
      <c r="G51" s="288">
        <v>1</v>
      </c>
      <c r="H51" s="288">
        <v>1</v>
      </c>
      <c r="I51" s="288">
        <v>1</v>
      </c>
      <c r="J51" s="288">
        <v>1</v>
      </c>
      <c r="K51" s="288">
        <v>1</v>
      </c>
      <c r="L51" s="288">
        <v>1</v>
      </c>
      <c r="M51" s="288">
        <v>1</v>
      </c>
      <c r="N51" s="288">
        <v>1</v>
      </c>
      <c r="O51" s="288">
        <v>1</v>
      </c>
      <c r="P51" s="288">
        <v>1</v>
      </c>
      <c r="Q51" s="288">
        <v>1</v>
      </c>
      <c r="R51" s="288">
        <v>1</v>
      </c>
      <c r="S51" s="288">
        <v>1</v>
      </c>
      <c r="T51" s="288">
        <v>1</v>
      </c>
      <c r="U51" s="288">
        <v>1</v>
      </c>
      <c r="V51" s="288">
        <v>1</v>
      </c>
      <c r="W51" s="288">
        <v>1</v>
      </c>
      <c r="X51" s="288">
        <v>1</v>
      </c>
      <c r="Y51" s="288">
        <v>1</v>
      </c>
      <c r="Z51" s="288">
        <v>1</v>
      </c>
      <c r="AA51" s="288">
        <v>1</v>
      </c>
      <c r="AB51" s="289">
        <v>1</v>
      </c>
    </row>
    <row r="52" spans="1:28" ht="15" customHeight="1" thickBot="1">
      <c r="A52" s="273"/>
      <c r="B52" s="274" t="s">
        <v>174</v>
      </c>
      <c r="C52" s="275"/>
      <c r="D52" s="276"/>
      <c r="E52" s="291">
        <v>0</v>
      </c>
      <c r="F52" s="291">
        <v>0</v>
      </c>
      <c r="G52" s="291">
        <v>0</v>
      </c>
      <c r="H52" s="291">
        <v>0</v>
      </c>
      <c r="I52" s="291">
        <v>56</v>
      </c>
      <c r="J52" s="291">
        <v>325</v>
      </c>
      <c r="K52" s="291">
        <v>471</v>
      </c>
      <c r="L52" s="291">
        <v>527</v>
      </c>
      <c r="M52" s="291">
        <v>498</v>
      </c>
      <c r="N52" s="291">
        <v>406</v>
      </c>
      <c r="O52" s="291">
        <v>263</v>
      </c>
      <c r="P52" s="291">
        <v>127</v>
      </c>
      <c r="Q52" s="291">
        <v>112</v>
      </c>
      <c r="R52" s="291">
        <v>109</v>
      </c>
      <c r="S52" s="291">
        <v>98</v>
      </c>
      <c r="T52" s="291">
        <v>76</v>
      </c>
      <c r="U52" s="291">
        <v>51</v>
      </c>
      <c r="V52" s="291">
        <v>21</v>
      </c>
      <c r="W52" s="291">
        <v>1</v>
      </c>
      <c r="X52" s="291">
        <v>0</v>
      </c>
      <c r="Y52" s="291">
        <v>0</v>
      </c>
      <c r="Z52" s="291">
        <v>0</v>
      </c>
      <c r="AA52" s="291">
        <v>0</v>
      </c>
      <c r="AB52" s="292">
        <v>0</v>
      </c>
    </row>
    <row r="53" spans="1:28" ht="15" customHeight="1">
      <c r="A53" s="265" t="s">
        <v>73</v>
      </c>
      <c r="B53" s="266" t="s">
        <v>172</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173</v>
      </c>
      <c r="C54" s="271"/>
      <c r="D54" s="272"/>
      <c r="E54" s="288">
        <v>1</v>
      </c>
      <c r="F54" s="288">
        <v>1</v>
      </c>
      <c r="G54" s="288">
        <v>1</v>
      </c>
      <c r="H54" s="288">
        <v>1</v>
      </c>
      <c r="I54" s="288">
        <v>1</v>
      </c>
      <c r="J54" s="288">
        <v>1</v>
      </c>
      <c r="K54" s="288">
        <v>1</v>
      </c>
      <c r="L54" s="288">
        <v>1</v>
      </c>
      <c r="M54" s="288">
        <v>1</v>
      </c>
      <c r="N54" s="288">
        <v>1</v>
      </c>
      <c r="O54" s="288">
        <v>1</v>
      </c>
      <c r="P54" s="288">
        <v>1</v>
      </c>
      <c r="Q54" s="288">
        <v>1</v>
      </c>
      <c r="R54" s="288">
        <v>1</v>
      </c>
      <c r="S54" s="288">
        <v>1</v>
      </c>
      <c r="T54" s="288">
        <v>1</v>
      </c>
      <c r="U54" s="288">
        <v>1</v>
      </c>
      <c r="V54" s="288">
        <v>1</v>
      </c>
      <c r="W54" s="288">
        <v>1</v>
      </c>
      <c r="X54" s="288">
        <v>1</v>
      </c>
      <c r="Y54" s="288">
        <v>1</v>
      </c>
      <c r="Z54" s="288">
        <v>1</v>
      </c>
      <c r="AA54" s="288">
        <v>1</v>
      </c>
      <c r="AB54" s="289">
        <v>1</v>
      </c>
    </row>
    <row r="55" spans="1:28" ht="15" customHeight="1" thickBot="1">
      <c r="A55" s="273"/>
      <c r="B55" s="274" t="s">
        <v>174</v>
      </c>
      <c r="C55" s="275"/>
      <c r="D55" s="276"/>
      <c r="E55" s="291">
        <v>0</v>
      </c>
      <c r="F55" s="291">
        <v>0</v>
      </c>
      <c r="G55" s="291">
        <v>0</v>
      </c>
      <c r="H55" s="291">
        <v>0</v>
      </c>
      <c r="I55" s="291">
        <v>6</v>
      </c>
      <c r="J55" s="291">
        <v>35</v>
      </c>
      <c r="K55" s="291">
        <v>62</v>
      </c>
      <c r="L55" s="291">
        <v>171</v>
      </c>
      <c r="M55" s="291">
        <v>259</v>
      </c>
      <c r="N55" s="291">
        <v>299</v>
      </c>
      <c r="O55" s="291">
        <v>288</v>
      </c>
      <c r="P55" s="291">
        <v>237</v>
      </c>
      <c r="Q55" s="291">
        <v>166</v>
      </c>
      <c r="R55" s="291">
        <v>109</v>
      </c>
      <c r="S55" s="291">
        <v>98</v>
      </c>
      <c r="T55" s="291">
        <v>76</v>
      </c>
      <c r="U55" s="291">
        <v>51</v>
      </c>
      <c r="V55" s="291">
        <v>21</v>
      </c>
      <c r="W55" s="291">
        <v>0</v>
      </c>
      <c r="X55" s="291">
        <v>0</v>
      </c>
      <c r="Y55" s="291">
        <v>0</v>
      </c>
      <c r="Z55" s="291">
        <v>0</v>
      </c>
      <c r="AA55" s="291">
        <v>0</v>
      </c>
      <c r="AB55" s="292">
        <v>0</v>
      </c>
    </row>
    <row r="56" spans="1:28" ht="15" customHeight="1">
      <c r="A56" s="265" t="s">
        <v>74</v>
      </c>
      <c r="B56" s="266" t="s">
        <v>172</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1</v>
      </c>
      <c r="F57" s="288">
        <v>1</v>
      </c>
      <c r="G57" s="288">
        <v>1</v>
      </c>
      <c r="H57" s="288">
        <v>1</v>
      </c>
      <c r="I57" s="288">
        <v>1</v>
      </c>
      <c r="J57" s="288">
        <v>1</v>
      </c>
      <c r="K57" s="288">
        <v>1</v>
      </c>
      <c r="L57" s="288">
        <v>1</v>
      </c>
      <c r="M57" s="288">
        <v>1</v>
      </c>
      <c r="N57" s="288">
        <v>1</v>
      </c>
      <c r="O57" s="288">
        <v>1</v>
      </c>
      <c r="P57" s="288">
        <v>1</v>
      </c>
      <c r="Q57" s="288">
        <v>1</v>
      </c>
      <c r="R57" s="288">
        <v>1</v>
      </c>
      <c r="S57" s="288">
        <v>1</v>
      </c>
      <c r="T57" s="288">
        <v>1</v>
      </c>
      <c r="U57" s="288">
        <v>1</v>
      </c>
      <c r="V57" s="288">
        <v>1</v>
      </c>
      <c r="W57" s="288">
        <v>1</v>
      </c>
      <c r="X57" s="288">
        <v>1</v>
      </c>
      <c r="Y57" s="288">
        <v>1</v>
      </c>
      <c r="Z57" s="288">
        <v>1</v>
      </c>
      <c r="AA57" s="288">
        <v>1</v>
      </c>
      <c r="AB57" s="289">
        <v>1</v>
      </c>
    </row>
    <row r="58" spans="1:28" ht="15" customHeight="1" thickBot="1">
      <c r="A58" s="273"/>
      <c r="B58" s="274" t="s">
        <v>174</v>
      </c>
      <c r="C58" s="275"/>
      <c r="D58" s="276"/>
      <c r="E58" s="291">
        <v>0</v>
      </c>
      <c r="F58" s="291">
        <v>0</v>
      </c>
      <c r="G58" s="291">
        <v>0</v>
      </c>
      <c r="H58" s="291">
        <v>0</v>
      </c>
      <c r="I58" s="291">
        <v>6</v>
      </c>
      <c r="J58" s="291">
        <v>35</v>
      </c>
      <c r="K58" s="291">
        <v>62</v>
      </c>
      <c r="L58" s="291">
        <v>87</v>
      </c>
      <c r="M58" s="291">
        <v>103</v>
      </c>
      <c r="N58" s="291">
        <v>110</v>
      </c>
      <c r="O58" s="291">
        <v>155</v>
      </c>
      <c r="P58" s="291">
        <v>254</v>
      </c>
      <c r="Q58" s="291">
        <v>320</v>
      </c>
      <c r="R58" s="291">
        <v>334</v>
      </c>
      <c r="S58" s="291">
        <v>301</v>
      </c>
      <c r="T58" s="291">
        <v>222</v>
      </c>
      <c r="U58" s="291">
        <v>130</v>
      </c>
      <c r="V58" s="291">
        <v>32</v>
      </c>
      <c r="W58" s="291">
        <v>0</v>
      </c>
      <c r="X58" s="291">
        <v>0</v>
      </c>
      <c r="Y58" s="291">
        <v>0</v>
      </c>
      <c r="Z58" s="291">
        <v>0</v>
      </c>
      <c r="AA58" s="291">
        <v>0</v>
      </c>
      <c r="AB58" s="292">
        <v>0</v>
      </c>
    </row>
    <row r="59" spans="1:28" ht="15" customHeight="1">
      <c r="A59" s="265" t="s">
        <v>75</v>
      </c>
      <c r="B59" s="266" t="s">
        <v>172</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175</v>
      </c>
      <c r="C60" s="271"/>
      <c r="D60" s="272"/>
      <c r="E60" s="288">
        <v>1</v>
      </c>
      <c r="F60" s="288">
        <v>1</v>
      </c>
      <c r="G60" s="288">
        <v>1</v>
      </c>
      <c r="H60" s="288">
        <v>1</v>
      </c>
      <c r="I60" s="288">
        <v>1</v>
      </c>
      <c r="J60" s="288">
        <v>1</v>
      </c>
      <c r="K60" s="288">
        <v>1</v>
      </c>
      <c r="L60" s="288">
        <v>1</v>
      </c>
      <c r="M60" s="288">
        <v>1</v>
      </c>
      <c r="N60" s="288">
        <v>1</v>
      </c>
      <c r="O60" s="288">
        <v>1</v>
      </c>
      <c r="P60" s="288">
        <v>1</v>
      </c>
      <c r="Q60" s="288">
        <v>1</v>
      </c>
      <c r="R60" s="288">
        <v>1</v>
      </c>
      <c r="S60" s="288">
        <v>1</v>
      </c>
      <c r="T60" s="288">
        <v>1</v>
      </c>
      <c r="U60" s="288">
        <v>1</v>
      </c>
      <c r="V60" s="288">
        <v>1</v>
      </c>
      <c r="W60" s="288">
        <v>1</v>
      </c>
      <c r="X60" s="288">
        <v>1</v>
      </c>
      <c r="Y60" s="288">
        <v>1</v>
      </c>
      <c r="Z60" s="288">
        <v>1</v>
      </c>
      <c r="AA60" s="288">
        <v>1</v>
      </c>
      <c r="AB60" s="289">
        <v>1</v>
      </c>
    </row>
    <row r="61" spans="1:28" ht="15" customHeight="1" thickBot="1">
      <c r="A61" s="273"/>
      <c r="B61" s="274" t="s">
        <v>174</v>
      </c>
      <c r="C61" s="275"/>
      <c r="D61" s="276"/>
      <c r="E61" s="291">
        <v>0</v>
      </c>
      <c r="F61" s="291">
        <v>0</v>
      </c>
      <c r="G61" s="291">
        <v>0</v>
      </c>
      <c r="H61" s="291">
        <v>0</v>
      </c>
      <c r="I61" s="291">
        <v>6</v>
      </c>
      <c r="J61" s="291">
        <v>35</v>
      </c>
      <c r="K61" s="291">
        <v>62</v>
      </c>
      <c r="L61" s="291">
        <v>87</v>
      </c>
      <c r="M61" s="291">
        <v>103</v>
      </c>
      <c r="N61" s="291">
        <v>110</v>
      </c>
      <c r="O61" s="291">
        <v>111</v>
      </c>
      <c r="P61" s="291">
        <v>142</v>
      </c>
      <c r="Q61" s="291">
        <v>312</v>
      </c>
      <c r="R61" s="291">
        <v>452</v>
      </c>
      <c r="S61" s="291">
        <v>516</v>
      </c>
      <c r="T61" s="291">
        <v>494</v>
      </c>
      <c r="U61" s="291">
        <v>418</v>
      </c>
      <c r="V61" s="291">
        <v>197</v>
      </c>
      <c r="W61" s="291">
        <v>2</v>
      </c>
      <c r="X61" s="291">
        <v>0</v>
      </c>
      <c r="Y61" s="291">
        <v>0</v>
      </c>
      <c r="Z61" s="291">
        <v>0</v>
      </c>
      <c r="AA61" s="291">
        <v>0</v>
      </c>
      <c r="AB61" s="292">
        <v>0</v>
      </c>
    </row>
    <row r="62" spans="1:28" ht="15" customHeight="1">
      <c r="A62" s="265" t="s">
        <v>76</v>
      </c>
      <c r="B62" s="266" t="s">
        <v>172</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175</v>
      </c>
      <c r="C63" s="271"/>
      <c r="D63" s="272"/>
      <c r="E63" s="288">
        <v>1</v>
      </c>
      <c r="F63" s="288">
        <v>1</v>
      </c>
      <c r="G63" s="288">
        <v>1</v>
      </c>
      <c r="H63" s="288">
        <v>1</v>
      </c>
      <c r="I63" s="288">
        <v>1</v>
      </c>
      <c r="J63" s="288">
        <v>1</v>
      </c>
      <c r="K63" s="288">
        <v>1</v>
      </c>
      <c r="L63" s="288">
        <v>1</v>
      </c>
      <c r="M63" s="288">
        <v>1</v>
      </c>
      <c r="N63" s="288">
        <v>1</v>
      </c>
      <c r="O63" s="288">
        <v>1</v>
      </c>
      <c r="P63" s="288">
        <v>1</v>
      </c>
      <c r="Q63" s="288">
        <v>1</v>
      </c>
      <c r="R63" s="288">
        <v>1</v>
      </c>
      <c r="S63" s="288">
        <v>1</v>
      </c>
      <c r="T63" s="288">
        <v>1</v>
      </c>
      <c r="U63" s="288">
        <v>1</v>
      </c>
      <c r="V63" s="288">
        <v>1</v>
      </c>
      <c r="W63" s="288">
        <v>1</v>
      </c>
      <c r="X63" s="288">
        <v>1</v>
      </c>
      <c r="Y63" s="288">
        <v>1</v>
      </c>
      <c r="Z63" s="288">
        <v>1</v>
      </c>
      <c r="AA63" s="288">
        <v>1</v>
      </c>
      <c r="AB63" s="289">
        <v>1</v>
      </c>
    </row>
    <row r="64" spans="1:28" ht="15" customHeight="1" thickBot="1">
      <c r="A64" s="273"/>
      <c r="B64" s="274" t="s">
        <v>174</v>
      </c>
      <c r="C64" s="275"/>
      <c r="D64" s="276"/>
      <c r="E64" s="291">
        <v>0</v>
      </c>
      <c r="F64" s="291">
        <v>0</v>
      </c>
      <c r="G64" s="291">
        <v>0</v>
      </c>
      <c r="H64" s="291">
        <v>0</v>
      </c>
      <c r="I64" s="291">
        <v>6</v>
      </c>
      <c r="J64" s="291">
        <v>35</v>
      </c>
      <c r="K64" s="291">
        <v>62</v>
      </c>
      <c r="L64" s="291">
        <v>87</v>
      </c>
      <c r="M64" s="291">
        <v>103</v>
      </c>
      <c r="N64" s="291">
        <v>110</v>
      </c>
      <c r="O64" s="291">
        <v>111</v>
      </c>
      <c r="P64" s="291">
        <v>110</v>
      </c>
      <c r="Q64" s="291">
        <v>134</v>
      </c>
      <c r="R64" s="291">
        <v>295</v>
      </c>
      <c r="S64" s="291">
        <v>444</v>
      </c>
      <c r="T64" s="291">
        <v>495</v>
      </c>
      <c r="U64" s="291">
        <v>476</v>
      </c>
      <c r="V64" s="291">
        <v>256</v>
      </c>
      <c r="W64" s="291">
        <v>2</v>
      </c>
      <c r="X64" s="291">
        <v>0</v>
      </c>
      <c r="Y64" s="291">
        <v>0</v>
      </c>
      <c r="Z64" s="291">
        <v>0</v>
      </c>
      <c r="AA64" s="291">
        <v>0</v>
      </c>
      <c r="AB64" s="292">
        <v>0</v>
      </c>
    </row>
    <row r="65" spans="1:28" ht="15" customHeight="1">
      <c r="A65" s="277" t="s">
        <v>77</v>
      </c>
      <c r="B65" s="266" t="s">
        <v>172</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175</v>
      </c>
      <c r="C66" s="271"/>
      <c r="D66" s="272"/>
      <c r="E66" s="288">
        <v>1</v>
      </c>
      <c r="F66" s="288">
        <v>1</v>
      </c>
      <c r="G66" s="288">
        <v>1</v>
      </c>
      <c r="H66" s="288">
        <v>1</v>
      </c>
      <c r="I66" s="288">
        <v>1</v>
      </c>
      <c r="J66" s="288">
        <v>1</v>
      </c>
      <c r="K66" s="288">
        <v>1</v>
      </c>
      <c r="L66" s="288">
        <v>1</v>
      </c>
      <c r="M66" s="288">
        <v>1</v>
      </c>
      <c r="N66" s="288">
        <v>1</v>
      </c>
      <c r="O66" s="288">
        <v>1</v>
      </c>
      <c r="P66" s="288">
        <v>1</v>
      </c>
      <c r="Q66" s="288">
        <v>1</v>
      </c>
      <c r="R66" s="288">
        <v>1</v>
      </c>
      <c r="S66" s="288">
        <v>1</v>
      </c>
      <c r="T66" s="288">
        <v>1</v>
      </c>
      <c r="U66" s="288">
        <v>1</v>
      </c>
      <c r="V66" s="288">
        <v>1</v>
      </c>
      <c r="W66" s="288">
        <v>1</v>
      </c>
      <c r="X66" s="288">
        <v>1</v>
      </c>
      <c r="Y66" s="288">
        <v>1</v>
      </c>
      <c r="Z66" s="288">
        <v>1</v>
      </c>
      <c r="AA66" s="288">
        <v>1</v>
      </c>
      <c r="AB66" s="289">
        <v>1</v>
      </c>
    </row>
    <row r="67" spans="1:28" ht="15" customHeight="1" thickBot="1">
      <c r="A67" s="279"/>
      <c r="B67" s="274" t="s">
        <v>174</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125</v>
      </c>
      <c r="U67" s="291">
        <v>195</v>
      </c>
      <c r="V67" s="291">
        <v>147</v>
      </c>
      <c r="W67" s="291">
        <v>2</v>
      </c>
      <c r="X67" s="291">
        <v>0</v>
      </c>
      <c r="Y67" s="291">
        <v>0</v>
      </c>
      <c r="Z67" s="291">
        <v>0</v>
      </c>
      <c r="AA67" s="291">
        <v>0</v>
      </c>
      <c r="AB67" s="292">
        <v>0</v>
      </c>
    </row>
    <row r="68" spans="1:28" ht="15" customHeight="1">
      <c r="A68" s="39" t="s">
        <v>177</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176</v>
      </c>
      <c r="B70" s="251" t="s">
        <v>168</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178</v>
      </c>
      <c r="B71" s="258" t="s">
        <v>170</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69</v>
      </c>
      <c r="B72" s="258" t="s">
        <v>171</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70</v>
      </c>
      <c r="B73" s="266" t="s">
        <v>172</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173</v>
      </c>
      <c r="C74" s="271"/>
      <c r="D74" s="272"/>
      <c r="E74" s="288">
        <v>1</v>
      </c>
      <c r="F74" s="288">
        <v>1</v>
      </c>
      <c r="G74" s="288">
        <v>1</v>
      </c>
      <c r="H74" s="288">
        <v>1</v>
      </c>
      <c r="I74" s="288">
        <v>1</v>
      </c>
      <c r="J74" s="288">
        <v>1</v>
      </c>
      <c r="K74" s="288">
        <v>1</v>
      </c>
      <c r="L74" s="288">
        <v>1</v>
      </c>
      <c r="M74" s="288">
        <v>1</v>
      </c>
      <c r="N74" s="288">
        <v>1</v>
      </c>
      <c r="O74" s="288">
        <v>1</v>
      </c>
      <c r="P74" s="288">
        <v>1</v>
      </c>
      <c r="Q74" s="288">
        <v>1</v>
      </c>
      <c r="R74" s="288">
        <v>1</v>
      </c>
      <c r="S74" s="288">
        <v>1</v>
      </c>
      <c r="T74" s="288">
        <v>1</v>
      </c>
      <c r="U74" s="288">
        <v>1</v>
      </c>
      <c r="V74" s="288">
        <v>1</v>
      </c>
      <c r="W74" s="288">
        <v>1</v>
      </c>
      <c r="X74" s="288">
        <v>1</v>
      </c>
      <c r="Y74" s="288">
        <v>1</v>
      </c>
      <c r="Z74" s="288">
        <v>1</v>
      </c>
      <c r="AA74" s="288">
        <v>1</v>
      </c>
      <c r="AB74" s="289">
        <v>1</v>
      </c>
    </row>
    <row r="75" spans="1:28" ht="15" customHeight="1" thickBot="1">
      <c r="A75" s="273"/>
      <c r="B75" s="274" t="s">
        <v>174</v>
      </c>
      <c r="C75" s="275"/>
      <c r="D75" s="276"/>
      <c r="E75" s="291">
        <v>0</v>
      </c>
      <c r="F75" s="291">
        <v>0</v>
      </c>
      <c r="G75" s="291">
        <v>0</v>
      </c>
      <c r="H75" s="291">
        <v>0</v>
      </c>
      <c r="I75" s="291">
        <v>0</v>
      </c>
      <c r="J75" s="291">
        <v>114</v>
      </c>
      <c r="K75" s="291">
        <v>119</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71</v>
      </c>
      <c r="B76" s="266" t="s">
        <v>172</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173</v>
      </c>
      <c r="C77" s="271"/>
      <c r="D77" s="272"/>
      <c r="E77" s="288">
        <v>1</v>
      </c>
      <c r="F77" s="288">
        <v>1</v>
      </c>
      <c r="G77" s="288">
        <v>1</v>
      </c>
      <c r="H77" s="288">
        <v>1</v>
      </c>
      <c r="I77" s="288">
        <v>1</v>
      </c>
      <c r="J77" s="288">
        <v>1</v>
      </c>
      <c r="K77" s="288">
        <v>1</v>
      </c>
      <c r="L77" s="288">
        <v>1</v>
      </c>
      <c r="M77" s="288">
        <v>1</v>
      </c>
      <c r="N77" s="288">
        <v>1</v>
      </c>
      <c r="O77" s="288">
        <v>1</v>
      </c>
      <c r="P77" s="288">
        <v>1</v>
      </c>
      <c r="Q77" s="288">
        <v>1</v>
      </c>
      <c r="R77" s="288">
        <v>1</v>
      </c>
      <c r="S77" s="288">
        <v>1</v>
      </c>
      <c r="T77" s="288">
        <v>1</v>
      </c>
      <c r="U77" s="288">
        <v>1</v>
      </c>
      <c r="V77" s="288">
        <v>1</v>
      </c>
      <c r="W77" s="288">
        <v>1</v>
      </c>
      <c r="X77" s="288">
        <v>1</v>
      </c>
      <c r="Y77" s="288">
        <v>1</v>
      </c>
      <c r="Z77" s="288">
        <v>1</v>
      </c>
      <c r="AA77" s="288">
        <v>1</v>
      </c>
      <c r="AB77" s="289">
        <v>1</v>
      </c>
    </row>
    <row r="78" spans="1:28" ht="15" customHeight="1" thickBot="1">
      <c r="A78" s="273"/>
      <c r="B78" s="274" t="s">
        <v>174</v>
      </c>
      <c r="C78" s="275"/>
      <c r="D78" s="276"/>
      <c r="E78" s="291">
        <v>0</v>
      </c>
      <c r="F78" s="291">
        <v>0</v>
      </c>
      <c r="G78" s="291">
        <v>0</v>
      </c>
      <c r="H78" s="291">
        <v>0</v>
      </c>
      <c r="I78" s="291">
        <v>0</v>
      </c>
      <c r="J78" s="291">
        <v>294</v>
      </c>
      <c r="K78" s="291">
        <v>419</v>
      </c>
      <c r="L78" s="291">
        <v>420</v>
      </c>
      <c r="M78" s="291">
        <v>330</v>
      </c>
      <c r="N78" s="291">
        <v>187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72</v>
      </c>
      <c r="B79" s="266" t="s">
        <v>172</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1</v>
      </c>
      <c r="F80" s="288">
        <v>1</v>
      </c>
      <c r="G80" s="288">
        <v>1</v>
      </c>
      <c r="H80" s="288">
        <v>1</v>
      </c>
      <c r="I80" s="288">
        <v>1</v>
      </c>
      <c r="J80" s="288">
        <v>1</v>
      </c>
      <c r="K80" s="288">
        <v>1</v>
      </c>
      <c r="L80" s="288">
        <v>1</v>
      </c>
      <c r="M80" s="288">
        <v>1</v>
      </c>
      <c r="N80" s="288">
        <v>1</v>
      </c>
      <c r="O80" s="288">
        <v>1</v>
      </c>
      <c r="P80" s="288">
        <v>1</v>
      </c>
      <c r="Q80" s="288">
        <v>1</v>
      </c>
      <c r="R80" s="288">
        <v>1</v>
      </c>
      <c r="S80" s="288">
        <v>1</v>
      </c>
      <c r="T80" s="288">
        <v>1</v>
      </c>
      <c r="U80" s="288">
        <v>1</v>
      </c>
      <c r="V80" s="288">
        <v>1</v>
      </c>
      <c r="W80" s="288">
        <v>1</v>
      </c>
      <c r="X80" s="288">
        <v>1</v>
      </c>
      <c r="Y80" s="288">
        <v>1</v>
      </c>
      <c r="Z80" s="288">
        <v>1</v>
      </c>
      <c r="AA80" s="288">
        <v>1</v>
      </c>
      <c r="AB80" s="289">
        <v>1</v>
      </c>
    </row>
    <row r="81" spans="1:28" ht="15" customHeight="1" thickBot="1">
      <c r="A81" s="273"/>
      <c r="B81" s="274" t="s">
        <v>174</v>
      </c>
      <c r="C81" s="275"/>
      <c r="D81" s="276"/>
      <c r="E81" s="291">
        <v>0</v>
      </c>
      <c r="F81" s="291">
        <v>0</v>
      </c>
      <c r="G81" s="291">
        <v>0</v>
      </c>
      <c r="H81" s="291">
        <v>0</v>
      </c>
      <c r="I81" s="291">
        <v>0</v>
      </c>
      <c r="J81" s="291">
        <v>301</v>
      </c>
      <c r="K81" s="291">
        <v>488</v>
      </c>
      <c r="L81" s="291">
        <v>566</v>
      </c>
      <c r="M81" s="291">
        <v>547</v>
      </c>
      <c r="N81" s="291">
        <v>453</v>
      </c>
      <c r="O81" s="291">
        <v>305</v>
      </c>
      <c r="P81" s="291">
        <v>141</v>
      </c>
      <c r="Q81" s="291">
        <v>98</v>
      </c>
      <c r="R81" s="291">
        <v>91</v>
      </c>
      <c r="S81" s="291">
        <v>78</v>
      </c>
      <c r="T81" s="291">
        <v>55</v>
      </c>
      <c r="U81" s="291">
        <v>24</v>
      </c>
      <c r="V81" s="291">
        <v>2</v>
      </c>
      <c r="W81" s="291">
        <v>0</v>
      </c>
      <c r="X81" s="291">
        <v>0</v>
      </c>
      <c r="Y81" s="291">
        <v>0</v>
      </c>
      <c r="Z81" s="291">
        <v>0</v>
      </c>
      <c r="AA81" s="291">
        <v>0</v>
      </c>
      <c r="AB81" s="292">
        <v>0</v>
      </c>
    </row>
    <row r="82" spans="1:28" ht="15" customHeight="1">
      <c r="A82" s="265" t="s">
        <v>73</v>
      </c>
      <c r="B82" s="266" t="s">
        <v>172</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173</v>
      </c>
      <c r="C83" s="271"/>
      <c r="D83" s="272"/>
      <c r="E83" s="288">
        <v>1</v>
      </c>
      <c r="F83" s="288">
        <v>1</v>
      </c>
      <c r="G83" s="288">
        <v>1</v>
      </c>
      <c r="H83" s="288">
        <v>1</v>
      </c>
      <c r="I83" s="288">
        <v>1</v>
      </c>
      <c r="J83" s="288">
        <v>1</v>
      </c>
      <c r="K83" s="288">
        <v>1</v>
      </c>
      <c r="L83" s="288">
        <v>1</v>
      </c>
      <c r="M83" s="288">
        <v>1</v>
      </c>
      <c r="N83" s="288">
        <v>1</v>
      </c>
      <c r="O83" s="288">
        <v>1</v>
      </c>
      <c r="P83" s="288">
        <v>1</v>
      </c>
      <c r="Q83" s="288">
        <v>1</v>
      </c>
      <c r="R83" s="288">
        <v>1</v>
      </c>
      <c r="S83" s="288">
        <v>1</v>
      </c>
      <c r="T83" s="288">
        <v>1</v>
      </c>
      <c r="U83" s="288">
        <v>1</v>
      </c>
      <c r="V83" s="288">
        <v>1</v>
      </c>
      <c r="W83" s="288">
        <v>1</v>
      </c>
      <c r="X83" s="288">
        <v>1</v>
      </c>
      <c r="Y83" s="288">
        <v>1</v>
      </c>
      <c r="Z83" s="288">
        <v>1</v>
      </c>
      <c r="AA83" s="288">
        <v>1</v>
      </c>
      <c r="AB83" s="289">
        <v>1</v>
      </c>
    </row>
    <row r="84" spans="1:28" ht="15" customHeight="1" thickBot="1">
      <c r="A84" s="273"/>
      <c r="B84" s="274" t="s">
        <v>174</v>
      </c>
      <c r="C84" s="275"/>
      <c r="D84" s="276"/>
      <c r="E84" s="291">
        <v>0</v>
      </c>
      <c r="F84" s="291">
        <v>0</v>
      </c>
      <c r="G84" s="291">
        <v>0</v>
      </c>
      <c r="H84" s="291">
        <v>0</v>
      </c>
      <c r="I84" s="291">
        <v>0</v>
      </c>
      <c r="J84" s="291">
        <v>61</v>
      </c>
      <c r="K84" s="291">
        <v>211</v>
      </c>
      <c r="L84" s="291">
        <v>356</v>
      </c>
      <c r="M84" s="291">
        <v>448</v>
      </c>
      <c r="N84" s="291">
        <v>478</v>
      </c>
      <c r="O84" s="291">
        <v>454</v>
      </c>
      <c r="P84" s="291">
        <v>384</v>
      </c>
      <c r="Q84" s="291">
        <v>281</v>
      </c>
      <c r="R84" s="291">
        <v>165</v>
      </c>
      <c r="S84" s="291">
        <v>78</v>
      </c>
      <c r="T84" s="291">
        <v>55</v>
      </c>
      <c r="U84" s="291">
        <v>24</v>
      </c>
      <c r="V84" s="291">
        <v>0</v>
      </c>
      <c r="W84" s="291">
        <v>0</v>
      </c>
      <c r="X84" s="291">
        <v>0</v>
      </c>
      <c r="Y84" s="291">
        <v>0</v>
      </c>
      <c r="Z84" s="291">
        <v>0</v>
      </c>
      <c r="AA84" s="291">
        <v>0</v>
      </c>
      <c r="AB84" s="292">
        <v>0</v>
      </c>
    </row>
    <row r="85" spans="1:28" ht="15" customHeight="1">
      <c r="A85" s="265" t="s">
        <v>74</v>
      </c>
      <c r="B85" s="266" t="s">
        <v>172</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173</v>
      </c>
      <c r="C86" s="271"/>
      <c r="D86" s="272"/>
      <c r="E86" s="288">
        <v>1</v>
      </c>
      <c r="F86" s="288">
        <v>1</v>
      </c>
      <c r="G86" s="288">
        <v>1</v>
      </c>
      <c r="H86" s="288">
        <v>1</v>
      </c>
      <c r="I86" s="288">
        <v>1</v>
      </c>
      <c r="J86" s="288">
        <v>1</v>
      </c>
      <c r="K86" s="288">
        <v>1</v>
      </c>
      <c r="L86" s="288">
        <v>1</v>
      </c>
      <c r="M86" s="288">
        <v>1</v>
      </c>
      <c r="N86" s="288">
        <v>1</v>
      </c>
      <c r="O86" s="288">
        <v>1</v>
      </c>
      <c r="P86" s="288">
        <v>1</v>
      </c>
      <c r="Q86" s="288">
        <v>1</v>
      </c>
      <c r="R86" s="288">
        <v>1</v>
      </c>
      <c r="S86" s="288">
        <v>1</v>
      </c>
      <c r="T86" s="288">
        <v>1</v>
      </c>
      <c r="U86" s="288">
        <v>1</v>
      </c>
      <c r="V86" s="288">
        <v>1</v>
      </c>
      <c r="W86" s="288">
        <v>1</v>
      </c>
      <c r="X86" s="288">
        <v>1</v>
      </c>
      <c r="Y86" s="288">
        <v>1</v>
      </c>
      <c r="Z86" s="288">
        <v>1</v>
      </c>
      <c r="AA86" s="288">
        <v>1</v>
      </c>
      <c r="AB86" s="289">
        <v>1</v>
      </c>
    </row>
    <row r="87" spans="1:28" ht="15" customHeight="1" thickBot="1">
      <c r="A87" s="273"/>
      <c r="B87" s="274" t="s">
        <v>174</v>
      </c>
      <c r="C87" s="275"/>
      <c r="D87" s="276"/>
      <c r="E87" s="291">
        <v>0</v>
      </c>
      <c r="F87" s="291">
        <v>0</v>
      </c>
      <c r="G87" s="291">
        <v>0</v>
      </c>
      <c r="H87" s="291">
        <v>0</v>
      </c>
      <c r="I87" s="291">
        <v>0</v>
      </c>
      <c r="J87" s="291">
        <v>19</v>
      </c>
      <c r="K87" s="291">
        <v>47</v>
      </c>
      <c r="L87" s="291">
        <v>72</v>
      </c>
      <c r="M87" s="291">
        <v>88</v>
      </c>
      <c r="N87" s="291">
        <v>170</v>
      </c>
      <c r="O87" s="291">
        <v>327</v>
      </c>
      <c r="P87" s="291">
        <v>436</v>
      </c>
      <c r="Q87" s="291">
        <v>480</v>
      </c>
      <c r="R87" s="291">
        <v>473</v>
      </c>
      <c r="S87" s="291">
        <v>403</v>
      </c>
      <c r="T87" s="291">
        <v>276</v>
      </c>
      <c r="U87" s="291">
        <v>131</v>
      </c>
      <c r="V87" s="291">
        <v>0</v>
      </c>
      <c r="W87" s="291">
        <v>0</v>
      </c>
      <c r="X87" s="291">
        <v>0</v>
      </c>
      <c r="Y87" s="291">
        <v>0</v>
      </c>
      <c r="Z87" s="291">
        <v>0</v>
      </c>
      <c r="AA87" s="291">
        <v>0</v>
      </c>
      <c r="AB87" s="292">
        <v>0</v>
      </c>
    </row>
    <row r="88" spans="1:28" ht="15" customHeight="1">
      <c r="A88" s="265" t="s">
        <v>75</v>
      </c>
      <c r="B88" s="266" t="s">
        <v>172</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173</v>
      </c>
      <c r="C89" s="271"/>
      <c r="D89" s="272"/>
      <c r="E89" s="288">
        <v>1</v>
      </c>
      <c r="F89" s="288">
        <v>1</v>
      </c>
      <c r="G89" s="288">
        <v>1</v>
      </c>
      <c r="H89" s="288">
        <v>1</v>
      </c>
      <c r="I89" s="288">
        <v>1</v>
      </c>
      <c r="J89" s="288">
        <v>1</v>
      </c>
      <c r="K89" s="288">
        <v>1</v>
      </c>
      <c r="L89" s="288">
        <v>1</v>
      </c>
      <c r="M89" s="288">
        <v>1</v>
      </c>
      <c r="N89" s="288">
        <v>1</v>
      </c>
      <c r="O89" s="288">
        <v>1</v>
      </c>
      <c r="P89" s="288">
        <v>1</v>
      </c>
      <c r="Q89" s="288">
        <v>1</v>
      </c>
      <c r="R89" s="288">
        <v>1</v>
      </c>
      <c r="S89" s="288">
        <v>1</v>
      </c>
      <c r="T89" s="288">
        <v>1</v>
      </c>
      <c r="U89" s="288">
        <v>1</v>
      </c>
      <c r="V89" s="288">
        <v>1</v>
      </c>
      <c r="W89" s="288">
        <v>1</v>
      </c>
      <c r="X89" s="288">
        <v>1</v>
      </c>
      <c r="Y89" s="288">
        <v>1</v>
      </c>
      <c r="Z89" s="288">
        <v>1</v>
      </c>
      <c r="AA89" s="288">
        <v>1</v>
      </c>
      <c r="AB89" s="289">
        <v>1</v>
      </c>
    </row>
    <row r="90" spans="1:28" ht="15" customHeight="1" thickBot="1">
      <c r="A90" s="273"/>
      <c r="B90" s="274" t="s">
        <v>174</v>
      </c>
      <c r="C90" s="275"/>
      <c r="D90" s="276"/>
      <c r="E90" s="291">
        <v>0</v>
      </c>
      <c r="F90" s="291">
        <v>0</v>
      </c>
      <c r="G90" s="291">
        <v>0</v>
      </c>
      <c r="H90" s="291">
        <v>0</v>
      </c>
      <c r="I90" s="291">
        <v>0</v>
      </c>
      <c r="J90" s="291">
        <v>19</v>
      </c>
      <c r="K90" s="291">
        <v>47</v>
      </c>
      <c r="L90" s="291">
        <v>72</v>
      </c>
      <c r="M90" s="291">
        <v>88</v>
      </c>
      <c r="N90" s="291">
        <v>97</v>
      </c>
      <c r="O90" s="291">
        <v>101</v>
      </c>
      <c r="P90" s="291">
        <v>199</v>
      </c>
      <c r="Q90" s="291">
        <v>402</v>
      </c>
      <c r="R90" s="291">
        <v>534</v>
      </c>
      <c r="S90" s="291">
        <v>563</v>
      </c>
      <c r="T90" s="291">
        <v>474</v>
      </c>
      <c r="U90" s="291">
        <v>291</v>
      </c>
      <c r="V90" s="291">
        <v>3</v>
      </c>
      <c r="W90" s="291">
        <v>0</v>
      </c>
      <c r="X90" s="291">
        <v>0</v>
      </c>
      <c r="Y90" s="291">
        <v>0</v>
      </c>
      <c r="Z90" s="291">
        <v>0</v>
      </c>
      <c r="AA90" s="291">
        <v>0</v>
      </c>
      <c r="AB90" s="292">
        <v>0</v>
      </c>
    </row>
    <row r="91" spans="1:28" ht="15" customHeight="1">
      <c r="A91" s="265" t="s">
        <v>76</v>
      </c>
      <c r="B91" s="266" t="s">
        <v>172</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173</v>
      </c>
      <c r="C92" s="271"/>
      <c r="D92" s="272"/>
      <c r="E92" s="288">
        <v>1</v>
      </c>
      <c r="F92" s="288">
        <v>1</v>
      </c>
      <c r="G92" s="288">
        <v>1</v>
      </c>
      <c r="H92" s="288">
        <v>1</v>
      </c>
      <c r="I92" s="288">
        <v>1</v>
      </c>
      <c r="J92" s="288">
        <v>1</v>
      </c>
      <c r="K92" s="288">
        <v>1</v>
      </c>
      <c r="L92" s="288">
        <v>1</v>
      </c>
      <c r="M92" s="288">
        <v>1</v>
      </c>
      <c r="N92" s="288">
        <v>1</v>
      </c>
      <c r="O92" s="288">
        <v>1</v>
      </c>
      <c r="P92" s="288">
        <v>1</v>
      </c>
      <c r="Q92" s="288">
        <v>1</v>
      </c>
      <c r="R92" s="288">
        <v>1</v>
      </c>
      <c r="S92" s="288">
        <v>1</v>
      </c>
      <c r="T92" s="288">
        <v>1</v>
      </c>
      <c r="U92" s="288">
        <v>1</v>
      </c>
      <c r="V92" s="288">
        <v>1</v>
      </c>
      <c r="W92" s="288">
        <v>1</v>
      </c>
      <c r="X92" s="288">
        <v>1</v>
      </c>
      <c r="Y92" s="288">
        <v>1</v>
      </c>
      <c r="Z92" s="288">
        <v>1</v>
      </c>
      <c r="AA92" s="288">
        <v>1</v>
      </c>
      <c r="AB92" s="289">
        <v>1</v>
      </c>
    </row>
    <row r="93" spans="1:28" ht="15" customHeight="1" thickBot="1">
      <c r="A93" s="273"/>
      <c r="B93" s="274" t="s">
        <v>174</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224</v>
      </c>
      <c r="S93" s="291">
        <v>378</v>
      </c>
      <c r="T93" s="291">
        <v>397</v>
      </c>
      <c r="U93" s="291">
        <v>282</v>
      </c>
      <c r="V93" s="291">
        <v>3</v>
      </c>
      <c r="W93" s="291">
        <v>0</v>
      </c>
      <c r="X93" s="291">
        <v>0</v>
      </c>
      <c r="Y93" s="291">
        <v>0</v>
      </c>
      <c r="Z93" s="291">
        <v>0</v>
      </c>
      <c r="AA93" s="291">
        <v>0</v>
      </c>
      <c r="AB93" s="292">
        <v>0</v>
      </c>
    </row>
    <row r="94" spans="1:28" ht="15" customHeight="1">
      <c r="A94" s="277" t="s">
        <v>77</v>
      </c>
      <c r="B94" s="266" t="s">
        <v>172</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173</v>
      </c>
      <c r="C95" s="271"/>
      <c r="D95" s="272"/>
      <c r="E95" s="288">
        <v>1</v>
      </c>
      <c r="F95" s="288">
        <v>1</v>
      </c>
      <c r="G95" s="288">
        <v>1</v>
      </c>
      <c r="H95" s="288">
        <v>1</v>
      </c>
      <c r="I95" s="288">
        <v>1</v>
      </c>
      <c r="J95" s="288">
        <v>1</v>
      </c>
      <c r="K95" s="288">
        <v>1</v>
      </c>
      <c r="L95" s="288">
        <v>1</v>
      </c>
      <c r="M95" s="288">
        <v>1</v>
      </c>
      <c r="N95" s="288">
        <v>1</v>
      </c>
      <c r="O95" s="288">
        <v>1</v>
      </c>
      <c r="P95" s="288">
        <v>1</v>
      </c>
      <c r="Q95" s="288">
        <v>1</v>
      </c>
      <c r="R95" s="288">
        <v>1</v>
      </c>
      <c r="S95" s="288">
        <v>1</v>
      </c>
      <c r="T95" s="288">
        <v>1</v>
      </c>
      <c r="U95" s="288">
        <v>1</v>
      </c>
      <c r="V95" s="288">
        <v>1</v>
      </c>
      <c r="W95" s="288">
        <v>1</v>
      </c>
      <c r="X95" s="288">
        <v>1</v>
      </c>
      <c r="Y95" s="288">
        <v>1</v>
      </c>
      <c r="Z95" s="288">
        <v>1</v>
      </c>
      <c r="AA95" s="288">
        <v>1</v>
      </c>
      <c r="AB95" s="289">
        <v>1</v>
      </c>
    </row>
    <row r="96" spans="1:28" ht="15" customHeight="1" thickBot="1">
      <c r="A96" s="279"/>
      <c r="B96" s="274" t="s">
        <v>174</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39</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190</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155</v>
      </c>
      <c r="C3" s="235" t="s">
        <v>22</v>
      </c>
      <c r="D3" s="235"/>
      <c r="E3" s="61"/>
      <c r="F3" s="61"/>
      <c r="O3" s="61"/>
      <c r="P3" s="61"/>
      <c r="Q3" s="61"/>
      <c r="R3" s="61"/>
      <c r="S3" s="61"/>
      <c r="T3" s="61"/>
      <c r="U3" s="61"/>
      <c r="V3" s="234"/>
      <c r="W3" s="54" t="s">
        <v>156</v>
      </c>
    </row>
    <row r="4" spans="1:28" ht="15" customHeight="1">
      <c r="A4" s="108" t="s">
        <v>157</v>
      </c>
      <c r="C4" s="235" t="s">
        <v>191</v>
      </c>
      <c r="D4" s="235"/>
      <c r="E4" s="61"/>
      <c r="F4" s="61"/>
      <c r="O4" s="236" t="s">
        <v>158</v>
      </c>
      <c r="P4" s="237"/>
      <c r="Q4" s="237"/>
      <c r="R4" s="237"/>
      <c r="S4" s="237"/>
      <c r="T4" s="237"/>
      <c r="U4" s="238"/>
      <c r="V4" s="234"/>
      <c r="W4" s="178" t="s">
        <v>181</v>
      </c>
    </row>
    <row r="5" spans="1:28" ht="15" customHeight="1">
      <c r="O5" s="239" t="s">
        <v>76</v>
      </c>
      <c r="P5" s="240" t="s">
        <v>159</v>
      </c>
      <c r="Q5" s="240" t="s">
        <v>160</v>
      </c>
      <c r="R5" s="240" t="s">
        <v>161</v>
      </c>
      <c r="S5" s="240" t="s">
        <v>162</v>
      </c>
      <c r="T5" s="240" t="s">
        <v>163</v>
      </c>
      <c r="U5" s="241" t="s">
        <v>164</v>
      </c>
      <c r="W5" s="178" t="s">
        <v>182</v>
      </c>
    </row>
    <row r="6" spans="1:28" ht="15" customHeight="1">
      <c r="O6" s="242">
        <v>2200</v>
      </c>
      <c r="P6" s="243">
        <v>2200</v>
      </c>
      <c r="Q6" s="243">
        <v>5600</v>
      </c>
      <c r="R6" s="243">
        <v>3600</v>
      </c>
      <c r="S6" s="243">
        <v>3400</v>
      </c>
      <c r="T6" s="243">
        <v>1500</v>
      </c>
      <c r="U6" s="244">
        <v>1200</v>
      </c>
      <c r="W6" s="178" t="s">
        <v>183</v>
      </c>
    </row>
    <row r="7" spans="1:28" ht="15" customHeight="1">
      <c r="Q7" s="234"/>
      <c r="R7" s="234"/>
      <c r="S7" s="234"/>
      <c r="T7" s="234"/>
      <c r="U7" s="234"/>
      <c r="W7" s="178" t="s">
        <v>184</v>
      </c>
    </row>
    <row r="8" spans="1:28" ht="15" customHeight="1">
      <c r="P8" s="234"/>
      <c r="Q8" s="234"/>
      <c r="R8" s="234"/>
      <c r="S8" s="234"/>
      <c r="T8" s="234"/>
      <c r="U8" s="234"/>
      <c r="W8" s="178" t="s">
        <v>185</v>
      </c>
    </row>
    <row r="9" spans="1:28" ht="15" customHeight="1" thickBot="1">
      <c r="G9" s="54" t="s">
        <v>165</v>
      </c>
      <c r="L9" s="54" t="s">
        <v>166</v>
      </c>
      <c r="P9" s="234"/>
      <c r="Q9" s="234"/>
      <c r="R9" s="234"/>
      <c r="S9" s="234"/>
      <c r="T9" s="234"/>
      <c r="U9" s="234"/>
      <c r="W9" s="83" t="s">
        <v>186</v>
      </c>
    </row>
    <row r="10" spans="1:28" ht="15" customHeight="1">
      <c r="A10" s="245" t="s">
        <v>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167</v>
      </c>
      <c r="B12" s="251" t="s">
        <v>168</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178</v>
      </c>
      <c r="B13" s="258" t="s">
        <v>170</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69</v>
      </c>
      <c r="B14" s="258" t="s">
        <v>171</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70</v>
      </c>
      <c r="B15" s="266" t="s">
        <v>172</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187</v>
      </c>
      <c r="C16" s="271"/>
      <c r="D16" s="272"/>
      <c r="E16" s="287">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9">
        <v>0</v>
      </c>
    </row>
    <row r="17" spans="1:28" ht="15" customHeight="1" thickBot="1">
      <c r="A17" s="273"/>
      <c r="B17" s="274" t="s">
        <v>174</v>
      </c>
      <c r="C17" s="275"/>
      <c r="D17" s="276"/>
      <c r="E17" s="290">
        <v>0</v>
      </c>
      <c r="F17" s="291">
        <v>0</v>
      </c>
      <c r="G17" s="291">
        <v>0</v>
      </c>
      <c r="H17" s="291">
        <v>0</v>
      </c>
      <c r="I17" s="291">
        <v>4</v>
      </c>
      <c r="J17" s="291">
        <v>31</v>
      </c>
      <c r="K17" s="291">
        <v>63</v>
      </c>
      <c r="L17" s="291">
        <v>93</v>
      </c>
      <c r="M17" s="291">
        <v>116</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71</v>
      </c>
      <c r="B18" s="266" t="s">
        <v>172</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175</v>
      </c>
      <c r="C19" s="271"/>
      <c r="D19" s="272"/>
      <c r="E19" s="287">
        <v>0</v>
      </c>
      <c r="F19" s="288">
        <v>0</v>
      </c>
      <c r="G19" s="288">
        <v>0</v>
      </c>
      <c r="H19" s="288">
        <v>0</v>
      </c>
      <c r="I19" s="288">
        <v>1</v>
      </c>
      <c r="J19" s="288">
        <v>1</v>
      </c>
      <c r="K19" s="288">
        <v>0.73299999999999998</v>
      </c>
      <c r="L19" s="288">
        <v>0.193</v>
      </c>
      <c r="M19" s="288">
        <v>0</v>
      </c>
      <c r="N19" s="288">
        <v>0</v>
      </c>
      <c r="O19" s="288">
        <v>0</v>
      </c>
      <c r="P19" s="288">
        <v>0</v>
      </c>
      <c r="Q19" s="288">
        <v>0</v>
      </c>
      <c r="R19" s="288">
        <v>0</v>
      </c>
      <c r="S19" s="288">
        <v>0</v>
      </c>
      <c r="T19" s="288">
        <v>0</v>
      </c>
      <c r="U19" s="288">
        <v>0</v>
      </c>
      <c r="V19" s="288">
        <v>0</v>
      </c>
      <c r="W19" s="288">
        <v>0</v>
      </c>
      <c r="X19" s="288">
        <v>0</v>
      </c>
      <c r="Y19" s="288">
        <v>0</v>
      </c>
      <c r="Z19" s="288">
        <v>0</v>
      </c>
      <c r="AA19" s="288">
        <v>0</v>
      </c>
      <c r="AB19" s="289">
        <v>0</v>
      </c>
    </row>
    <row r="20" spans="1:28" ht="15" customHeight="1" thickBot="1">
      <c r="A20" s="273"/>
      <c r="B20" s="274" t="s">
        <v>174</v>
      </c>
      <c r="C20" s="275"/>
      <c r="D20" s="276"/>
      <c r="E20" s="290">
        <v>0</v>
      </c>
      <c r="F20" s="291">
        <v>0</v>
      </c>
      <c r="G20" s="291">
        <v>0</v>
      </c>
      <c r="H20" s="291">
        <v>0</v>
      </c>
      <c r="I20" s="291">
        <v>22</v>
      </c>
      <c r="J20" s="291">
        <v>194</v>
      </c>
      <c r="K20" s="291">
        <v>206</v>
      </c>
      <c r="L20" s="291">
        <v>135</v>
      </c>
      <c r="M20" s="291">
        <v>116</v>
      </c>
      <c r="N20" s="291">
        <v>130</v>
      </c>
      <c r="O20" s="291">
        <v>135</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72</v>
      </c>
      <c r="B21" s="266" t="s">
        <v>172</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175</v>
      </c>
      <c r="C22" s="271"/>
      <c r="D22" s="272"/>
      <c r="E22" s="287">
        <v>0</v>
      </c>
      <c r="F22" s="288">
        <v>0</v>
      </c>
      <c r="G22" s="288">
        <v>0</v>
      </c>
      <c r="H22" s="288">
        <v>0</v>
      </c>
      <c r="I22" s="288">
        <v>0.74</v>
      </c>
      <c r="J22" s="288">
        <v>0.88100000000000001</v>
      </c>
      <c r="K22" s="288">
        <v>0.71199999999999997</v>
      </c>
      <c r="L22" s="288">
        <v>0.308</v>
      </c>
      <c r="M22" s="288">
        <v>0</v>
      </c>
      <c r="N22" s="288">
        <v>0</v>
      </c>
      <c r="O22" s="288">
        <v>0</v>
      </c>
      <c r="P22" s="288">
        <v>0</v>
      </c>
      <c r="Q22" s="288">
        <v>0</v>
      </c>
      <c r="R22" s="288">
        <v>0</v>
      </c>
      <c r="S22" s="288">
        <v>0</v>
      </c>
      <c r="T22" s="288">
        <v>0</v>
      </c>
      <c r="U22" s="288">
        <v>0</v>
      </c>
      <c r="V22" s="288">
        <v>0</v>
      </c>
      <c r="W22" s="288">
        <v>0</v>
      </c>
      <c r="X22" s="288">
        <v>0</v>
      </c>
      <c r="Y22" s="288">
        <v>0</v>
      </c>
      <c r="Z22" s="288">
        <v>0</v>
      </c>
      <c r="AA22" s="288">
        <v>0</v>
      </c>
      <c r="AB22" s="289">
        <v>0</v>
      </c>
    </row>
    <row r="23" spans="1:28" ht="15" customHeight="1" thickBot="1">
      <c r="A23" s="273"/>
      <c r="B23" s="274" t="s">
        <v>174</v>
      </c>
      <c r="C23" s="275"/>
      <c r="D23" s="276"/>
      <c r="E23" s="290">
        <v>0</v>
      </c>
      <c r="F23" s="291">
        <v>0</v>
      </c>
      <c r="G23" s="291">
        <v>0</v>
      </c>
      <c r="H23" s="291">
        <v>0</v>
      </c>
      <c r="I23" s="291">
        <v>13</v>
      </c>
      <c r="J23" s="291">
        <v>146</v>
      </c>
      <c r="K23" s="291">
        <v>191</v>
      </c>
      <c r="L23" s="291">
        <v>164</v>
      </c>
      <c r="M23" s="291">
        <v>116</v>
      </c>
      <c r="N23" s="291">
        <v>130</v>
      </c>
      <c r="O23" s="291">
        <v>135</v>
      </c>
      <c r="P23" s="291">
        <v>136</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73</v>
      </c>
      <c r="B24" s="266" t="s">
        <v>172</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175</v>
      </c>
      <c r="C25" s="271"/>
      <c r="D25" s="272"/>
      <c r="E25" s="287">
        <v>0</v>
      </c>
      <c r="F25" s="288">
        <v>0</v>
      </c>
      <c r="G25" s="288">
        <v>0</v>
      </c>
      <c r="H25" s="288">
        <v>0</v>
      </c>
      <c r="I25" s="288">
        <v>0</v>
      </c>
      <c r="J25" s="288">
        <v>0</v>
      </c>
      <c r="K25" s="288">
        <v>0</v>
      </c>
      <c r="L25" s="288">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9">
        <v>0</v>
      </c>
    </row>
    <row r="26" spans="1:28" ht="15" customHeight="1" thickBot="1">
      <c r="A26" s="273"/>
      <c r="B26" s="274" t="s">
        <v>174</v>
      </c>
      <c r="C26" s="275"/>
      <c r="D26" s="276"/>
      <c r="E26" s="290">
        <v>0</v>
      </c>
      <c r="F26" s="291">
        <v>0</v>
      </c>
      <c r="G26" s="291">
        <v>0</v>
      </c>
      <c r="H26" s="291">
        <v>0</v>
      </c>
      <c r="I26" s="291">
        <v>4</v>
      </c>
      <c r="J26" s="291">
        <v>31</v>
      </c>
      <c r="K26" s="291">
        <v>63</v>
      </c>
      <c r="L26" s="291">
        <v>93</v>
      </c>
      <c r="M26" s="291">
        <v>116</v>
      </c>
      <c r="N26" s="291">
        <v>130</v>
      </c>
      <c r="O26" s="291">
        <v>135</v>
      </c>
      <c r="P26" s="291">
        <v>136</v>
      </c>
      <c r="Q26" s="291">
        <v>134</v>
      </c>
      <c r="R26" s="291">
        <v>125</v>
      </c>
      <c r="S26" s="291">
        <v>107</v>
      </c>
      <c r="T26" s="291">
        <v>80</v>
      </c>
      <c r="U26" s="291">
        <v>50</v>
      </c>
      <c r="V26" s="291">
        <v>14</v>
      </c>
      <c r="W26" s="291">
        <v>0</v>
      </c>
      <c r="X26" s="291">
        <v>0</v>
      </c>
      <c r="Y26" s="291">
        <v>0</v>
      </c>
      <c r="Z26" s="291">
        <v>0</v>
      </c>
      <c r="AA26" s="291">
        <v>0</v>
      </c>
      <c r="AB26" s="292">
        <v>0</v>
      </c>
    </row>
    <row r="27" spans="1:28" ht="15" customHeight="1">
      <c r="A27" s="265" t="s">
        <v>74</v>
      </c>
      <c r="B27" s="266" t="s">
        <v>172</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187</v>
      </c>
      <c r="C28" s="271"/>
      <c r="D28" s="272"/>
      <c r="E28" s="287">
        <v>0</v>
      </c>
      <c r="F28" s="288">
        <v>0</v>
      </c>
      <c r="G28" s="288">
        <v>0</v>
      </c>
      <c r="H28" s="288">
        <v>0</v>
      </c>
      <c r="I28" s="288">
        <v>0</v>
      </c>
      <c r="J28" s="288">
        <v>0</v>
      </c>
      <c r="K28" s="288">
        <v>0</v>
      </c>
      <c r="L28" s="288">
        <v>0</v>
      </c>
      <c r="M28" s="288">
        <v>0</v>
      </c>
      <c r="N28" s="288">
        <v>0</v>
      </c>
      <c r="O28" s="288">
        <v>0</v>
      </c>
      <c r="P28" s="288">
        <v>0</v>
      </c>
      <c r="Q28" s="288">
        <v>0</v>
      </c>
      <c r="R28" s="288">
        <v>0</v>
      </c>
      <c r="S28" s="288">
        <v>0</v>
      </c>
      <c r="T28" s="288">
        <v>0</v>
      </c>
      <c r="U28" s="288">
        <v>0</v>
      </c>
      <c r="V28" s="288">
        <v>0</v>
      </c>
      <c r="W28" s="288">
        <v>0</v>
      </c>
      <c r="X28" s="288">
        <v>0</v>
      </c>
      <c r="Y28" s="288">
        <v>0</v>
      </c>
      <c r="Z28" s="288">
        <v>0</v>
      </c>
      <c r="AA28" s="288">
        <v>0</v>
      </c>
      <c r="AB28" s="289">
        <v>0</v>
      </c>
    </row>
    <row r="29" spans="1:28" ht="15" customHeight="1" thickBot="1">
      <c r="A29" s="273"/>
      <c r="B29" s="274" t="s">
        <v>174</v>
      </c>
      <c r="C29" s="275"/>
      <c r="D29" s="276"/>
      <c r="E29" s="290">
        <v>0</v>
      </c>
      <c r="F29" s="291">
        <v>0</v>
      </c>
      <c r="G29" s="291">
        <v>0</v>
      </c>
      <c r="H29" s="291">
        <v>0</v>
      </c>
      <c r="I29" s="291">
        <v>4</v>
      </c>
      <c r="J29" s="291">
        <v>31</v>
      </c>
      <c r="K29" s="291">
        <v>63</v>
      </c>
      <c r="L29" s="291">
        <v>93</v>
      </c>
      <c r="M29" s="291">
        <v>116</v>
      </c>
      <c r="N29" s="291">
        <v>130</v>
      </c>
      <c r="O29" s="291">
        <v>135</v>
      </c>
      <c r="P29" s="291">
        <v>136</v>
      </c>
      <c r="Q29" s="291">
        <v>134</v>
      </c>
      <c r="R29" s="291">
        <v>125</v>
      </c>
      <c r="S29" s="291">
        <v>107</v>
      </c>
      <c r="T29" s="291">
        <v>80</v>
      </c>
      <c r="U29" s="291">
        <v>50</v>
      </c>
      <c r="V29" s="291">
        <v>14</v>
      </c>
      <c r="W29" s="291">
        <v>0</v>
      </c>
      <c r="X29" s="291">
        <v>0</v>
      </c>
      <c r="Y29" s="291">
        <v>0</v>
      </c>
      <c r="Z29" s="291">
        <v>0</v>
      </c>
      <c r="AA29" s="291">
        <v>0</v>
      </c>
      <c r="AB29" s="292">
        <v>0</v>
      </c>
    </row>
    <row r="30" spans="1:28" ht="15" customHeight="1">
      <c r="A30" s="265" t="s">
        <v>75</v>
      </c>
      <c r="B30" s="266" t="s">
        <v>172</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175</v>
      </c>
      <c r="C31" s="271"/>
      <c r="D31" s="272"/>
      <c r="E31" s="287">
        <v>0</v>
      </c>
      <c r="F31" s="288">
        <v>0</v>
      </c>
      <c r="G31" s="288">
        <v>0</v>
      </c>
      <c r="H31" s="288">
        <v>0</v>
      </c>
      <c r="I31" s="288">
        <v>0</v>
      </c>
      <c r="J31" s="288">
        <v>0</v>
      </c>
      <c r="K31" s="288">
        <v>0</v>
      </c>
      <c r="L31" s="288">
        <v>0</v>
      </c>
      <c r="M31" s="288">
        <v>0</v>
      </c>
      <c r="N31" s="288">
        <v>0</v>
      </c>
      <c r="O31" s="288">
        <v>0</v>
      </c>
      <c r="P31" s="288">
        <v>0</v>
      </c>
      <c r="Q31" s="288">
        <v>0</v>
      </c>
      <c r="R31" s="288">
        <v>0</v>
      </c>
      <c r="S31" s="288">
        <v>0</v>
      </c>
      <c r="T31" s="288">
        <v>0.45</v>
      </c>
      <c r="U31" s="288">
        <v>0.73099999999999998</v>
      </c>
      <c r="V31" s="288">
        <v>0.73399999999999999</v>
      </c>
      <c r="W31" s="288">
        <v>0</v>
      </c>
      <c r="X31" s="288">
        <v>0</v>
      </c>
      <c r="Y31" s="288">
        <v>0</v>
      </c>
      <c r="Z31" s="288">
        <v>0</v>
      </c>
      <c r="AA31" s="288">
        <v>0</v>
      </c>
      <c r="AB31" s="289">
        <v>0</v>
      </c>
    </row>
    <row r="32" spans="1:28" ht="15" customHeight="1" thickBot="1">
      <c r="A32" s="273"/>
      <c r="B32" s="274" t="s">
        <v>174</v>
      </c>
      <c r="C32" s="275"/>
      <c r="D32" s="276"/>
      <c r="E32" s="290">
        <v>0</v>
      </c>
      <c r="F32" s="291">
        <v>0</v>
      </c>
      <c r="G32" s="291">
        <v>0</v>
      </c>
      <c r="H32" s="291">
        <v>0</v>
      </c>
      <c r="I32" s="291">
        <v>4</v>
      </c>
      <c r="J32" s="291">
        <v>31</v>
      </c>
      <c r="K32" s="291">
        <v>63</v>
      </c>
      <c r="L32" s="291">
        <v>93</v>
      </c>
      <c r="M32" s="291">
        <v>116</v>
      </c>
      <c r="N32" s="291">
        <v>130</v>
      </c>
      <c r="O32" s="291">
        <v>135</v>
      </c>
      <c r="P32" s="291">
        <v>136</v>
      </c>
      <c r="Q32" s="291">
        <v>134</v>
      </c>
      <c r="R32" s="291">
        <v>125</v>
      </c>
      <c r="S32" s="291">
        <v>107</v>
      </c>
      <c r="T32" s="291">
        <v>178</v>
      </c>
      <c r="U32" s="291">
        <v>165</v>
      </c>
      <c r="V32" s="291">
        <v>42</v>
      </c>
      <c r="W32" s="291">
        <v>0</v>
      </c>
      <c r="X32" s="291">
        <v>0</v>
      </c>
      <c r="Y32" s="291">
        <v>0</v>
      </c>
      <c r="Z32" s="291">
        <v>0</v>
      </c>
      <c r="AA32" s="291">
        <v>0</v>
      </c>
      <c r="AB32" s="292">
        <v>0</v>
      </c>
    </row>
    <row r="33" spans="1:28" ht="15" customHeight="1">
      <c r="A33" s="265" t="s">
        <v>76</v>
      </c>
      <c r="B33" s="266" t="s">
        <v>172</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175</v>
      </c>
      <c r="C34" s="271"/>
      <c r="D34" s="272"/>
      <c r="E34" s="287">
        <v>0</v>
      </c>
      <c r="F34" s="288">
        <v>0</v>
      </c>
      <c r="G34" s="288">
        <v>0</v>
      </c>
      <c r="H34" s="288">
        <v>0</v>
      </c>
      <c r="I34" s="288">
        <v>0</v>
      </c>
      <c r="J34" s="288">
        <v>0</v>
      </c>
      <c r="K34" s="288">
        <v>0</v>
      </c>
      <c r="L34" s="288">
        <v>0</v>
      </c>
      <c r="M34" s="288">
        <v>0</v>
      </c>
      <c r="N34" s="288">
        <v>0</v>
      </c>
      <c r="O34" s="288">
        <v>0</v>
      </c>
      <c r="P34" s="288">
        <v>0</v>
      </c>
      <c r="Q34" s="288">
        <v>0</v>
      </c>
      <c r="R34" s="288">
        <v>0</v>
      </c>
      <c r="S34" s="288">
        <v>0</v>
      </c>
      <c r="T34" s="288">
        <v>0.499</v>
      </c>
      <c r="U34" s="288">
        <v>0.92400000000000004</v>
      </c>
      <c r="V34" s="288">
        <v>1</v>
      </c>
      <c r="W34" s="288">
        <v>0</v>
      </c>
      <c r="X34" s="288">
        <v>0</v>
      </c>
      <c r="Y34" s="288">
        <v>0</v>
      </c>
      <c r="Z34" s="288">
        <v>0</v>
      </c>
      <c r="AA34" s="288">
        <v>0</v>
      </c>
      <c r="AB34" s="289">
        <v>0</v>
      </c>
    </row>
    <row r="35" spans="1:28" ht="15" customHeight="1" thickBot="1">
      <c r="A35" s="273"/>
      <c r="B35" s="274" t="s">
        <v>174</v>
      </c>
      <c r="C35" s="275"/>
      <c r="D35" s="276"/>
      <c r="E35" s="290">
        <v>0</v>
      </c>
      <c r="F35" s="291">
        <v>0</v>
      </c>
      <c r="G35" s="291">
        <v>0</v>
      </c>
      <c r="H35" s="291">
        <v>0</v>
      </c>
      <c r="I35" s="291">
        <v>4</v>
      </c>
      <c r="J35" s="291">
        <v>31</v>
      </c>
      <c r="K35" s="291">
        <v>63</v>
      </c>
      <c r="L35" s="291">
        <v>93</v>
      </c>
      <c r="M35" s="291">
        <v>116</v>
      </c>
      <c r="N35" s="291">
        <v>130</v>
      </c>
      <c r="O35" s="291">
        <v>135</v>
      </c>
      <c r="P35" s="291">
        <v>136</v>
      </c>
      <c r="Q35" s="291">
        <v>134</v>
      </c>
      <c r="R35" s="291">
        <v>125</v>
      </c>
      <c r="S35" s="291">
        <v>107</v>
      </c>
      <c r="T35" s="291">
        <v>189</v>
      </c>
      <c r="U35" s="291">
        <v>218</v>
      </c>
      <c r="V35" s="291">
        <v>66</v>
      </c>
      <c r="W35" s="291">
        <v>0</v>
      </c>
      <c r="X35" s="291">
        <v>0</v>
      </c>
      <c r="Y35" s="291">
        <v>0</v>
      </c>
      <c r="Z35" s="291">
        <v>0</v>
      </c>
      <c r="AA35" s="291">
        <v>0</v>
      </c>
      <c r="AB35" s="292">
        <v>0</v>
      </c>
    </row>
    <row r="36" spans="1:28" ht="15" customHeight="1">
      <c r="A36" s="277" t="s">
        <v>77</v>
      </c>
      <c r="B36" s="266" t="s">
        <v>172</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175</v>
      </c>
      <c r="C37" s="271"/>
      <c r="D37" s="272"/>
      <c r="E37" s="287">
        <v>0</v>
      </c>
      <c r="F37" s="288">
        <v>0</v>
      </c>
      <c r="G37" s="288">
        <v>0</v>
      </c>
      <c r="H37" s="288">
        <v>0</v>
      </c>
      <c r="I37" s="288">
        <v>0</v>
      </c>
      <c r="J37" s="288">
        <v>0</v>
      </c>
      <c r="K37" s="288">
        <v>0</v>
      </c>
      <c r="L37" s="288">
        <v>0</v>
      </c>
      <c r="M37" s="288">
        <v>0</v>
      </c>
      <c r="N37" s="288">
        <v>0</v>
      </c>
      <c r="O37" s="288">
        <v>0</v>
      </c>
      <c r="P37" s="288">
        <v>0</v>
      </c>
      <c r="Q37" s="288">
        <v>0</v>
      </c>
      <c r="R37" s="288">
        <v>0</v>
      </c>
      <c r="S37" s="288">
        <v>0</v>
      </c>
      <c r="T37" s="288">
        <v>0</v>
      </c>
      <c r="U37" s="288">
        <v>0.182</v>
      </c>
      <c r="V37" s="288">
        <v>0.59299999999999997</v>
      </c>
      <c r="W37" s="288">
        <v>0</v>
      </c>
      <c r="X37" s="288">
        <v>0</v>
      </c>
      <c r="Y37" s="288">
        <v>0</v>
      </c>
      <c r="Z37" s="288">
        <v>0</v>
      </c>
      <c r="AA37" s="288">
        <v>0</v>
      </c>
      <c r="AB37" s="289">
        <v>0</v>
      </c>
    </row>
    <row r="38" spans="1:28" ht="15" customHeight="1" thickBot="1">
      <c r="A38" s="279"/>
      <c r="B38" s="274" t="s">
        <v>174</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80</v>
      </c>
      <c r="U38" s="291">
        <v>61</v>
      </c>
      <c r="V38" s="291">
        <v>30</v>
      </c>
      <c r="W38" s="291">
        <v>0</v>
      </c>
      <c r="X38" s="291">
        <v>0</v>
      </c>
      <c r="Y38" s="291">
        <v>0</v>
      </c>
      <c r="Z38" s="291">
        <v>0</v>
      </c>
      <c r="AA38" s="291">
        <v>0</v>
      </c>
      <c r="AB38" s="292">
        <v>0</v>
      </c>
    </row>
    <row r="39" spans="1:28" ht="15" customHeight="1">
      <c r="A39" s="280" t="s">
        <v>33</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176</v>
      </c>
      <c r="B41" s="251" t="s">
        <v>168</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188</v>
      </c>
      <c r="B42" s="258" t="s">
        <v>170</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69</v>
      </c>
      <c r="B43" s="258" t="s">
        <v>171</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70</v>
      </c>
      <c r="B44" s="266" t="s">
        <v>172</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187</v>
      </c>
      <c r="C45" s="271"/>
      <c r="D45" s="272"/>
      <c r="E45" s="288">
        <v>0</v>
      </c>
      <c r="F45" s="288">
        <v>0</v>
      </c>
      <c r="G45" s="288">
        <v>0</v>
      </c>
      <c r="H45" s="288">
        <v>0</v>
      </c>
      <c r="I45" s="288">
        <v>0</v>
      </c>
      <c r="J45" s="288">
        <v>0</v>
      </c>
      <c r="K45" s="288">
        <v>0</v>
      </c>
      <c r="L45" s="288">
        <v>0</v>
      </c>
      <c r="M45" s="288">
        <v>0</v>
      </c>
      <c r="N45" s="288">
        <v>0</v>
      </c>
      <c r="O45" s="288">
        <v>0</v>
      </c>
      <c r="P45" s="288">
        <v>0</v>
      </c>
      <c r="Q45" s="288">
        <v>0</v>
      </c>
      <c r="R45" s="288">
        <v>0</v>
      </c>
      <c r="S45" s="288">
        <v>0</v>
      </c>
      <c r="T45" s="288">
        <v>0</v>
      </c>
      <c r="U45" s="288">
        <v>0</v>
      </c>
      <c r="V45" s="288">
        <v>0</v>
      </c>
      <c r="W45" s="288">
        <v>0</v>
      </c>
      <c r="X45" s="288">
        <v>0</v>
      </c>
      <c r="Y45" s="288">
        <v>0</v>
      </c>
      <c r="Z45" s="288">
        <v>0</v>
      </c>
      <c r="AA45" s="288">
        <v>0</v>
      </c>
      <c r="AB45" s="289">
        <v>0</v>
      </c>
    </row>
    <row r="46" spans="1:28" ht="15" customHeight="1" thickBot="1">
      <c r="A46" s="273"/>
      <c r="B46" s="274" t="s">
        <v>174</v>
      </c>
      <c r="C46" s="275"/>
      <c r="D46" s="276"/>
      <c r="E46" s="291">
        <v>0</v>
      </c>
      <c r="F46" s="291">
        <v>0</v>
      </c>
      <c r="G46" s="291">
        <v>0</v>
      </c>
      <c r="H46" s="291">
        <v>0</v>
      </c>
      <c r="I46" s="291">
        <v>6</v>
      </c>
      <c r="J46" s="291">
        <v>35</v>
      </c>
      <c r="K46" s="291">
        <v>62</v>
      </c>
      <c r="L46" s="291">
        <v>87</v>
      </c>
      <c r="M46" s="291">
        <v>103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71</v>
      </c>
      <c r="B47" s="266" t="s">
        <v>172</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189</v>
      </c>
      <c r="C48" s="271"/>
      <c r="D48" s="272"/>
      <c r="E48" s="288">
        <v>0</v>
      </c>
      <c r="F48" s="288">
        <v>0</v>
      </c>
      <c r="G48" s="288">
        <v>0</v>
      </c>
      <c r="H48" s="288">
        <v>0</v>
      </c>
      <c r="I48" s="288">
        <v>1</v>
      </c>
      <c r="J48" s="288">
        <v>1</v>
      </c>
      <c r="K48" s="288">
        <v>0.73299999999999998</v>
      </c>
      <c r="L48" s="288">
        <v>0.193</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9">
        <v>0</v>
      </c>
    </row>
    <row r="49" spans="1:28" ht="15" customHeight="1" thickBot="1">
      <c r="A49" s="273"/>
      <c r="B49" s="274" t="s">
        <v>174</v>
      </c>
      <c r="C49" s="275"/>
      <c r="D49" s="276"/>
      <c r="E49" s="291">
        <v>0</v>
      </c>
      <c r="F49" s="291">
        <v>0</v>
      </c>
      <c r="G49" s="291">
        <v>0</v>
      </c>
      <c r="H49" s="291">
        <v>0</v>
      </c>
      <c r="I49" s="291">
        <v>80</v>
      </c>
      <c r="J49" s="291">
        <v>396</v>
      </c>
      <c r="K49" s="291">
        <v>387</v>
      </c>
      <c r="L49" s="291">
        <v>167</v>
      </c>
      <c r="M49" s="291">
        <v>103</v>
      </c>
      <c r="N49" s="291">
        <v>110</v>
      </c>
      <c r="O49" s="291">
        <v>111</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72</v>
      </c>
      <c r="B50" s="266" t="s">
        <v>172</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175</v>
      </c>
      <c r="C51" s="271"/>
      <c r="D51" s="272"/>
      <c r="E51" s="288">
        <v>0</v>
      </c>
      <c r="F51" s="288">
        <v>0</v>
      </c>
      <c r="G51" s="288">
        <v>0</v>
      </c>
      <c r="H51" s="288">
        <v>0</v>
      </c>
      <c r="I51" s="288">
        <v>0.74</v>
      </c>
      <c r="J51" s="288">
        <v>0.88100000000000001</v>
      </c>
      <c r="K51" s="288">
        <v>0.71199999999999997</v>
      </c>
      <c r="L51" s="288">
        <v>0.308</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9">
        <v>0</v>
      </c>
    </row>
    <row r="52" spans="1:28" ht="15" customHeight="1" thickBot="1">
      <c r="A52" s="273"/>
      <c r="B52" s="274" t="s">
        <v>174</v>
      </c>
      <c r="C52" s="275"/>
      <c r="D52" s="276"/>
      <c r="E52" s="291">
        <v>0</v>
      </c>
      <c r="F52" s="291">
        <v>0</v>
      </c>
      <c r="G52" s="291">
        <v>0</v>
      </c>
      <c r="H52" s="291">
        <v>0</v>
      </c>
      <c r="I52" s="291">
        <v>43</v>
      </c>
      <c r="J52" s="291">
        <v>290</v>
      </c>
      <c r="K52" s="291">
        <v>353</v>
      </c>
      <c r="L52" s="291">
        <v>223</v>
      </c>
      <c r="M52" s="291">
        <v>103</v>
      </c>
      <c r="N52" s="291">
        <v>110</v>
      </c>
      <c r="O52" s="291">
        <v>111</v>
      </c>
      <c r="P52" s="291">
        <v>110</v>
      </c>
      <c r="Q52" s="291">
        <v>112</v>
      </c>
      <c r="R52" s="291">
        <v>109</v>
      </c>
      <c r="S52" s="291">
        <v>98</v>
      </c>
      <c r="T52" s="291">
        <v>76</v>
      </c>
      <c r="U52" s="291">
        <v>51</v>
      </c>
      <c r="V52" s="291">
        <v>21</v>
      </c>
      <c r="W52" s="291">
        <v>2</v>
      </c>
      <c r="X52" s="291">
        <v>0</v>
      </c>
      <c r="Y52" s="291">
        <v>0</v>
      </c>
      <c r="Z52" s="291">
        <v>0</v>
      </c>
      <c r="AA52" s="291">
        <v>0</v>
      </c>
      <c r="AB52" s="292">
        <v>0</v>
      </c>
    </row>
    <row r="53" spans="1:28" ht="15" customHeight="1">
      <c r="A53" s="265" t="s">
        <v>73</v>
      </c>
      <c r="B53" s="266" t="s">
        <v>172</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175</v>
      </c>
      <c r="C54" s="271"/>
      <c r="D54" s="272"/>
      <c r="E54" s="288">
        <v>0</v>
      </c>
      <c r="F54" s="288">
        <v>0</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0</v>
      </c>
      <c r="W54" s="288">
        <v>0</v>
      </c>
      <c r="X54" s="288">
        <v>0</v>
      </c>
      <c r="Y54" s="288">
        <v>0</v>
      </c>
      <c r="Z54" s="288">
        <v>0</v>
      </c>
      <c r="AA54" s="288">
        <v>0</v>
      </c>
      <c r="AB54" s="289">
        <v>0</v>
      </c>
    </row>
    <row r="55" spans="1:28" ht="15" customHeight="1" thickBot="1">
      <c r="A55" s="273"/>
      <c r="B55" s="274" t="s">
        <v>174</v>
      </c>
      <c r="C55" s="275"/>
      <c r="D55" s="276"/>
      <c r="E55" s="291">
        <v>0</v>
      </c>
      <c r="F55" s="291">
        <v>0</v>
      </c>
      <c r="G55" s="291">
        <v>0</v>
      </c>
      <c r="H55" s="291">
        <v>0</v>
      </c>
      <c r="I55" s="291">
        <v>6</v>
      </c>
      <c r="J55" s="291">
        <v>35</v>
      </c>
      <c r="K55" s="291">
        <v>62</v>
      </c>
      <c r="L55" s="291">
        <v>87</v>
      </c>
      <c r="M55" s="291">
        <v>103</v>
      </c>
      <c r="N55" s="291">
        <v>110</v>
      </c>
      <c r="O55" s="291">
        <v>111</v>
      </c>
      <c r="P55" s="291">
        <v>110</v>
      </c>
      <c r="Q55" s="291">
        <v>112</v>
      </c>
      <c r="R55" s="291">
        <v>109</v>
      </c>
      <c r="S55" s="291">
        <v>98</v>
      </c>
      <c r="T55" s="291">
        <v>76</v>
      </c>
      <c r="U55" s="291">
        <v>51</v>
      </c>
      <c r="V55" s="291">
        <v>21</v>
      </c>
      <c r="W55" s="291">
        <v>2</v>
      </c>
      <c r="X55" s="291">
        <v>0</v>
      </c>
      <c r="Y55" s="291">
        <v>0</v>
      </c>
      <c r="Z55" s="291">
        <v>0</v>
      </c>
      <c r="AA55" s="291">
        <v>0</v>
      </c>
      <c r="AB55" s="292">
        <v>0</v>
      </c>
    </row>
    <row r="56" spans="1:28" ht="15" customHeight="1">
      <c r="A56" s="265" t="s">
        <v>74</v>
      </c>
      <c r="B56" s="266" t="s">
        <v>172</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187</v>
      </c>
      <c r="C57" s="271"/>
      <c r="D57" s="272"/>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9">
        <v>0</v>
      </c>
    </row>
    <row r="58" spans="1:28" ht="15" customHeight="1" thickBot="1">
      <c r="A58" s="273"/>
      <c r="B58" s="274" t="s">
        <v>174</v>
      </c>
      <c r="C58" s="275"/>
      <c r="D58" s="276"/>
      <c r="E58" s="291">
        <v>0</v>
      </c>
      <c r="F58" s="291">
        <v>0</v>
      </c>
      <c r="G58" s="291">
        <v>0</v>
      </c>
      <c r="H58" s="291">
        <v>0</v>
      </c>
      <c r="I58" s="291">
        <v>6</v>
      </c>
      <c r="J58" s="291">
        <v>35</v>
      </c>
      <c r="K58" s="291">
        <v>62</v>
      </c>
      <c r="L58" s="291">
        <v>87</v>
      </c>
      <c r="M58" s="291">
        <v>103</v>
      </c>
      <c r="N58" s="291">
        <v>110</v>
      </c>
      <c r="O58" s="291">
        <v>111</v>
      </c>
      <c r="P58" s="291">
        <v>110</v>
      </c>
      <c r="Q58" s="291">
        <v>112</v>
      </c>
      <c r="R58" s="291">
        <v>109</v>
      </c>
      <c r="S58" s="291">
        <v>98</v>
      </c>
      <c r="T58" s="291">
        <v>76</v>
      </c>
      <c r="U58" s="291">
        <v>51</v>
      </c>
      <c r="V58" s="291">
        <v>21</v>
      </c>
      <c r="W58" s="291">
        <v>2</v>
      </c>
      <c r="X58" s="291">
        <v>0</v>
      </c>
      <c r="Y58" s="291">
        <v>0</v>
      </c>
      <c r="Z58" s="291">
        <v>0</v>
      </c>
      <c r="AA58" s="291">
        <v>0</v>
      </c>
      <c r="AB58" s="292">
        <v>0</v>
      </c>
    </row>
    <row r="59" spans="1:28" ht="15" customHeight="1">
      <c r="A59" s="265" t="s">
        <v>75</v>
      </c>
      <c r="B59" s="266" t="s">
        <v>172</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189</v>
      </c>
      <c r="C60" s="271"/>
      <c r="D60" s="272"/>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0.45</v>
      </c>
      <c r="U60" s="288">
        <v>0.73099999999999998</v>
      </c>
      <c r="V60" s="288">
        <v>0.73399999999999999</v>
      </c>
      <c r="W60" s="288">
        <v>0</v>
      </c>
      <c r="X60" s="288">
        <v>0</v>
      </c>
      <c r="Y60" s="288">
        <v>0</v>
      </c>
      <c r="Z60" s="288">
        <v>0</v>
      </c>
      <c r="AA60" s="288">
        <v>0</v>
      </c>
      <c r="AB60" s="289">
        <v>0</v>
      </c>
    </row>
    <row r="61" spans="1:28" ht="15" customHeight="1" thickBot="1">
      <c r="A61" s="273"/>
      <c r="B61" s="274" t="s">
        <v>174</v>
      </c>
      <c r="C61" s="275"/>
      <c r="D61" s="276"/>
      <c r="E61" s="291">
        <v>0</v>
      </c>
      <c r="F61" s="291">
        <v>0</v>
      </c>
      <c r="G61" s="291">
        <v>0</v>
      </c>
      <c r="H61" s="291">
        <v>0</v>
      </c>
      <c r="I61" s="291">
        <v>6</v>
      </c>
      <c r="J61" s="291">
        <v>35</v>
      </c>
      <c r="K61" s="291">
        <v>62</v>
      </c>
      <c r="L61" s="291">
        <v>87</v>
      </c>
      <c r="M61" s="291">
        <v>103</v>
      </c>
      <c r="N61" s="291">
        <v>110</v>
      </c>
      <c r="O61" s="291">
        <v>111</v>
      </c>
      <c r="P61" s="291">
        <v>110</v>
      </c>
      <c r="Q61" s="291">
        <v>112</v>
      </c>
      <c r="R61" s="291">
        <v>109</v>
      </c>
      <c r="S61" s="291">
        <v>98</v>
      </c>
      <c r="T61" s="291">
        <v>264</v>
      </c>
      <c r="U61" s="291">
        <v>319</v>
      </c>
      <c r="V61" s="291">
        <v>150</v>
      </c>
      <c r="W61" s="291">
        <v>2</v>
      </c>
      <c r="X61" s="291">
        <v>0</v>
      </c>
      <c r="Y61" s="291">
        <v>0</v>
      </c>
      <c r="Z61" s="291">
        <v>0</v>
      </c>
      <c r="AA61" s="291">
        <v>0</v>
      </c>
      <c r="AB61" s="292">
        <v>0</v>
      </c>
    </row>
    <row r="62" spans="1:28" ht="15" customHeight="1">
      <c r="A62" s="265" t="s">
        <v>76</v>
      </c>
      <c r="B62" s="266" t="s">
        <v>172</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187</v>
      </c>
      <c r="C63" s="271"/>
      <c r="D63" s="272"/>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0.499</v>
      </c>
      <c r="U63" s="288">
        <v>0.92400000000000004</v>
      </c>
      <c r="V63" s="288">
        <v>1</v>
      </c>
      <c r="W63" s="288">
        <v>0</v>
      </c>
      <c r="X63" s="288">
        <v>0</v>
      </c>
      <c r="Y63" s="288">
        <v>0</v>
      </c>
      <c r="Z63" s="288">
        <v>0</v>
      </c>
      <c r="AA63" s="288">
        <v>0</v>
      </c>
      <c r="AB63" s="289">
        <v>0</v>
      </c>
    </row>
    <row r="64" spans="1:28" ht="15" customHeight="1" thickBot="1">
      <c r="A64" s="273"/>
      <c r="B64" s="274" t="s">
        <v>174</v>
      </c>
      <c r="C64" s="275"/>
      <c r="D64" s="276"/>
      <c r="E64" s="291">
        <v>0</v>
      </c>
      <c r="F64" s="291">
        <v>0</v>
      </c>
      <c r="G64" s="291">
        <v>0</v>
      </c>
      <c r="H64" s="291">
        <v>0</v>
      </c>
      <c r="I64" s="291">
        <v>6</v>
      </c>
      <c r="J64" s="291">
        <v>35</v>
      </c>
      <c r="K64" s="291">
        <v>62</v>
      </c>
      <c r="L64" s="291">
        <v>87</v>
      </c>
      <c r="M64" s="291">
        <v>103</v>
      </c>
      <c r="N64" s="291">
        <v>110</v>
      </c>
      <c r="O64" s="291">
        <v>111</v>
      </c>
      <c r="P64" s="291">
        <v>110</v>
      </c>
      <c r="Q64" s="291">
        <v>112</v>
      </c>
      <c r="R64" s="291">
        <v>109</v>
      </c>
      <c r="S64" s="291">
        <v>98</v>
      </c>
      <c r="T64" s="291">
        <v>285</v>
      </c>
      <c r="U64" s="291">
        <v>443</v>
      </c>
      <c r="V64" s="291">
        <v>256</v>
      </c>
      <c r="W64" s="291">
        <v>2</v>
      </c>
      <c r="X64" s="291">
        <v>0</v>
      </c>
      <c r="Y64" s="291">
        <v>0</v>
      </c>
      <c r="Z64" s="291">
        <v>0</v>
      </c>
      <c r="AA64" s="291">
        <v>0</v>
      </c>
      <c r="AB64" s="292">
        <v>0</v>
      </c>
    </row>
    <row r="65" spans="1:28" ht="15" customHeight="1">
      <c r="A65" s="277" t="s">
        <v>77</v>
      </c>
      <c r="B65" s="266" t="s">
        <v>172</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189</v>
      </c>
      <c r="C66" s="271"/>
      <c r="D66" s="272"/>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0.182</v>
      </c>
      <c r="V66" s="288">
        <v>0.59299999999999997</v>
      </c>
      <c r="W66" s="288">
        <v>0</v>
      </c>
      <c r="X66" s="288">
        <v>0</v>
      </c>
      <c r="Y66" s="288">
        <v>0</v>
      </c>
      <c r="Z66" s="288">
        <v>0</v>
      </c>
      <c r="AA66" s="288">
        <v>0</v>
      </c>
      <c r="AB66" s="289">
        <v>0</v>
      </c>
    </row>
    <row r="67" spans="1:28" ht="15" customHeight="1" thickBot="1">
      <c r="A67" s="279"/>
      <c r="B67" s="274" t="s">
        <v>174</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76</v>
      </c>
      <c r="U67" s="291">
        <v>77</v>
      </c>
      <c r="V67" s="291">
        <v>96</v>
      </c>
      <c r="W67" s="291">
        <v>2</v>
      </c>
      <c r="X67" s="291">
        <v>0</v>
      </c>
      <c r="Y67" s="291">
        <v>0</v>
      </c>
      <c r="Z67" s="291">
        <v>0</v>
      </c>
      <c r="AA67" s="291">
        <v>0</v>
      </c>
      <c r="AB67" s="292">
        <v>0</v>
      </c>
    </row>
    <row r="68" spans="1:28" ht="15" customHeight="1">
      <c r="A68" s="39" t="s">
        <v>34</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176</v>
      </c>
      <c r="B70" s="251" t="s">
        <v>168</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178</v>
      </c>
      <c r="B71" s="258" t="s">
        <v>170</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69</v>
      </c>
      <c r="B72" s="258" t="s">
        <v>171</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70</v>
      </c>
      <c r="B73" s="266" t="s">
        <v>172</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187</v>
      </c>
      <c r="C74" s="271"/>
      <c r="D74" s="272"/>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9">
        <v>0</v>
      </c>
    </row>
    <row r="75" spans="1:28" ht="15" customHeight="1" thickBot="1">
      <c r="A75" s="273"/>
      <c r="B75" s="274" t="s">
        <v>174</v>
      </c>
      <c r="C75" s="275"/>
      <c r="D75" s="276"/>
      <c r="E75" s="291">
        <v>0</v>
      </c>
      <c r="F75" s="291">
        <v>0</v>
      </c>
      <c r="G75" s="291">
        <v>0</v>
      </c>
      <c r="H75" s="291">
        <v>0</v>
      </c>
      <c r="I75" s="291">
        <v>0</v>
      </c>
      <c r="J75" s="291">
        <v>19</v>
      </c>
      <c r="K75" s="291">
        <v>47</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71</v>
      </c>
      <c r="B76" s="266" t="s">
        <v>172</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175</v>
      </c>
      <c r="C77" s="271"/>
      <c r="D77" s="272"/>
      <c r="E77" s="288">
        <v>0</v>
      </c>
      <c r="F77" s="288">
        <v>0</v>
      </c>
      <c r="G77" s="288">
        <v>0</v>
      </c>
      <c r="H77" s="288">
        <v>0</v>
      </c>
      <c r="I77" s="288">
        <v>0</v>
      </c>
      <c r="J77" s="288">
        <v>0.98399999999999999</v>
      </c>
      <c r="K77" s="288">
        <v>0.73599999999999999</v>
      </c>
      <c r="L77" s="288">
        <v>0.156</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9">
        <v>0</v>
      </c>
    </row>
    <row r="78" spans="1:28" ht="15" customHeight="1" thickBot="1">
      <c r="A78" s="273"/>
      <c r="B78" s="274" t="s">
        <v>174</v>
      </c>
      <c r="C78" s="275"/>
      <c r="D78" s="276"/>
      <c r="E78" s="291">
        <v>0</v>
      </c>
      <c r="F78" s="291">
        <v>0</v>
      </c>
      <c r="G78" s="291">
        <v>0</v>
      </c>
      <c r="H78" s="291">
        <v>0</v>
      </c>
      <c r="I78" s="291">
        <v>0</v>
      </c>
      <c r="J78" s="291">
        <v>289</v>
      </c>
      <c r="K78" s="291">
        <v>321</v>
      </c>
      <c r="L78" s="291">
        <v>126</v>
      </c>
      <c r="M78" s="291">
        <v>88</v>
      </c>
      <c r="N78" s="291">
        <v>97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72</v>
      </c>
      <c r="B79" s="266" t="s">
        <v>172</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175</v>
      </c>
      <c r="C80" s="271"/>
      <c r="D80" s="272"/>
      <c r="E80" s="288">
        <v>0</v>
      </c>
      <c r="F80" s="288">
        <v>0</v>
      </c>
      <c r="G80" s="288">
        <v>0</v>
      </c>
      <c r="H80" s="288">
        <v>0</v>
      </c>
      <c r="I80" s="288">
        <v>0</v>
      </c>
      <c r="J80" s="288">
        <v>1</v>
      </c>
      <c r="K80" s="288">
        <v>0.95299999999999996</v>
      </c>
      <c r="L80" s="288">
        <v>0.60099999999999998</v>
      </c>
      <c r="M80" s="288">
        <v>0.13200000000000001</v>
      </c>
      <c r="N80" s="288">
        <v>0</v>
      </c>
      <c r="O80" s="288">
        <v>0</v>
      </c>
      <c r="P80" s="288">
        <v>0</v>
      </c>
      <c r="Q80" s="288">
        <v>0</v>
      </c>
      <c r="R80" s="288">
        <v>0</v>
      </c>
      <c r="S80" s="288">
        <v>0</v>
      </c>
      <c r="T80" s="288">
        <v>0</v>
      </c>
      <c r="U80" s="288">
        <v>0</v>
      </c>
      <c r="V80" s="288">
        <v>0</v>
      </c>
      <c r="W80" s="288">
        <v>0</v>
      </c>
      <c r="X80" s="288">
        <v>0</v>
      </c>
      <c r="Y80" s="288">
        <v>0</v>
      </c>
      <c r="Z80" s="288">
        <v>0</v>
      </c>
      <c r="AA80" s="288">
        <v>0</v>
      </c>
      <c r="AB80" s="289">
        <v>0</v>
      </c>
    </row>
    <row r="81" spans="1:28" ht="15" customHeight="1" thickBot="1">
      <c r="A81" s="273"/>
      <c r="B81" s="274" t="s">
        <v>174</v>
      </c>
      <c r="C81" s="275"/>
      <c r="D81" s="276"/>
      <c r="E81" s="291">
        <v>0</v>
      </c>
      <c r="F81" s="291">
        <v>0</v>
      </c>
      <c r="G81" s="291">
        <v>0</v>
      </c>
      <c r="H81" s="291">
        <v>0</v>
      </c>
      <c r="I81" s="291">
        <v>0</v>
      </c>
      <c r="J81" s="291">
        <v>301</v>
      </c>
      <c r="K81" s="291">
        <v>467</v>
      </c>
      <c r="L81" s="291">
        <v>369</v>
      </c>
      <c r="M81" s="291">
        <v>149</v>
      </c>
      <c r="N81" s="291">
        <v>97</v>
      </c>
      <c r="O81" s="291">
        <v>101</v>
      </c>
      <c r="P81" s="291">
        <v>101</v>
      </c>
      <c r="Q81" s="291">
        <v>98</v>
      </c>
      <c r="R81" s="291">
        <v>91</v>
      </c>
      <c r="S81" s="291">
        <v>78</v>
      </c>
      <c r="T81" s="291">
        <v>55</v>
      </c>
      <c r="U81" s="291">
        <v>24</v>
      </c>
      <c r="V81" s="291">
        <v>3</v>
      </c>
      <c r="W81" s="291">
        <v>0</v>
      </c>
      <c r="X81" s="291">
        <v>0</v>
      </c>
      <c r="Y81" s="291">
        <v>0</v>
      </c>
      <c r="Z81" s="291">
        <v>0</v>
      </c>
      <c r="AA81" s="291">
        <v>0</v>
      </c>
      <c r="AB81" s="292">
        <v>0</v>
      </c>
    </row>
    <row r="82" spans="1:28" ht="15" customHeight="1">
      <c r="A82" s="265" t="s">
        <v>73</v>
      </c>
      <c r="B82" s="266" t="s">
        <v>172</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175</v>
      </c>
      <c r="C83" s="271"/>
      <c r="D83" s="272"/>
      <c r="E83" s="288">
        <v>0</v>
      </c>
      <c r="F83" s="288">
        <v>0</v>
      </c>
      <c r="G83" s="288">
        <v>0</v>
      </c>
      <c r="H83" s="288">
        <v>0</v>
      </c>
      <c r="I83" s="288">
        <v>0</v>
      </c>
      <c r="J83" s="288">
        <v>1.2999999999999999E-2</v>
      </c>
      <c r="K83" s="288">
        <v>0.23300000000000001</v>
      </c>
      <c r="L83" s="288">
        <v>0.156</v>
      </c>
      <c r="M83" s="288">
        <v>0</v>
      </c>
      <c r="N83" s="288">
        <v>0</v>
      </c>
      <c r="O83" s="288">
        <v>0</v>
      </c>
      <c r="P83" s="288">
        <v>0</v>
      </c>
      <c r="Q83" s="288">
        <v>0</v>
      </c>
      <c r="R83" s="288">
        <v>0</v>
      </c>
      <c r="S83" s="288">
        <v>0</v>
      </c>
      <c r="T83" s="288">
        <v>0</v>
      </c>
      <c r="U83" s="288">
        <v>0</v>
      </c>
      <c r="V83" s="288">
        <v>0</v>
      </c>
      <c r="W83" s="288">
        <v>0</v>
      </c>
      <c r="X83" s="288">
        <v>0</v>
      </c>
      <c r="Y83" s="288">
        <v>0</v>
      </c>
      <c r="Z83" s="288">
        <v>0</v>
      </c>
      <c r="AA83" s="288">
        <v>0</v>
      </c>
      <c r="AB83" s="289">
        <v>0</v>
      </c>
    </row>
    <row r="84" spans="1:28" ht="15" customHeight="1" thickBot="1">
      <c r="A84" s="273"/>
      <c r="B84" s="274" t="s">
        <v>174</v>
      </c>
      <c r="C84" s="275"/>
      <c r="D84" s="276"/>
      <c r="E84" s="291">
        <v>0</v>
      </c>
      <c r="F84" s="291">
        <v>0</v>
      </c>
      <c r="G84" s="291">
        <v>0</v>
      </c>
      <c r="H84" s="291">
        <v>0</v>
      </c>
      <c r="I84" s="291">
        <v>0</v>
      </c>
      <c r="J84" s="291">
        <v>20</v>
      </c>
      <c r="K84" s="291">
        <v>85</v>
      </c>
      <c r="L84" s="291">
        <v>116</v>
      </c>
      <c r="M84" s="291">
        <v>88</v>
      </c>
      <c r="N84" s="291">
        <v>97</v>
      </c>
      <c r="O84" s="291">
        <v>101</v>
      </c>
      <c r="P84" s="291">
        <v>101</v>
      </c>
      <c r="Q84" s="291">
        <v>98</v>
      </c>
      <c r="R84" s="291">
        <v>91</v>
      </c>
      <c r="S84" s="291">
        <v>78</v>
      </c>
      <c r="T84" s="291">
        <v>55</v>
      </c>
      <c r="U84" s="291">
        <v>24</v>
      </c>
      <c r="V84" s="291">
        <v>3</v>
      </c>
      <c r="W84" s="291">
        <v>0</v>
      </c>
      <c r="X84" s="291">
        <v>0</v>
      </c>
      <c r="Y84" s="291">
        <v>0</v>
      </c>
      <c r="Z84" s="291">
        <v>0</v>
      </c>
      <c r="AA84" s="291">
        <v>0</v>
      </c>
      <c r="AB84" s="292">
        <v>0</v>
      </c>
    </row>
    <row r="85" spans="1:28" ht="15" customHeight="1">
      <c r="A85" s="265" t="s">
        <v>74</v>
      </c>
      <c r="B85" s="266" t="s">
        <v>172</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189</v>
      </c>
      <c r="C86" s="271"/>
      <c r="D86" s="272"/>
      <c r="E86" s="288">
        <v>0</v>
      </c>
      <c r="F86" s="288">
        <v>0</v>
      </c>
      <c r="G86" s="288">
        <v>0</v>
      </c>
      <c r="H86" s="288">
        <v>0</v>
      </c>
      <c r="I86" s="288">
        <v>0</v>
      </c>
      <c r="J86" s="288">
        <v>0</v>
      </c>
      <c r="K86" s="288">
        <v>0</v>
      </c>
      <c r="L86" s="288">
        <v>0</v>
      </c>
      <c r="M86" s="288">
        <v>0</v>
      </c>
      <c r="N86" s="288">
        <v>0</v>
      </c>
      <c r="O86" s="288">
        <v>0</v>
      </c>
      <c r="P86" s="288">
        <v>0</v>
      </c>
      <c r="Q86" s="288">
        <v>0</v>
      </c>
      <c r="R86" s="288">
        <v>0</v>
      </c>
      <c r="S86" s="288">
        <v>3.5999999999999997E-2</v>
      </c>
      <c r="T86" s="288">
        <v>0.112</v>
      </c>
      <c r="U86" s="288">
        <v>0</v>
      </c>
      <c r="V86" s="288">
        <v>0</v>
      </c>
      <c r="W86" s="288">
        <v>0</v>
      </c>
      <c r="X86" s="288">
        <v>0</v>
      </c>
      <c r="Y86" s="288">
        <v>0</v>
      </c>
      <c r="Z86" s="288">
        <v>0</v>
      </c>
      <c r="AA86" s="288">
        <v>0</v>
      </c>
      <c r="AB86" s="289">
        <v>0</v>
      </c>
    </row>
    <row r="87" spans="1:28" ht="15" customHeight="1" thickBot="1">
      <c r="A87" s="273"/>
      <c r="B87" s="274" t="s">
        <v>174</v>
      </c>
      <c r="C87" s="275"/>
      <c r="D87" s="276"/>
      <c r="E87" s="291">
        <v>0</v>
      </c>
      <c r="F87" s="291">
        <v>0</v>
      </c>
      <c r="G87" s="291">
        <v>0</v>
      </c>
      <c r="H87" s="291">
        <v>0</v>
      </c>
      <c r="I87" s="291">
        <v>0</v>
      </c>
      <c r="J87" s="291">
        <v>19</v>
      </c>
      <c r="K87" s="291">
        <v>47</v>
      </c>
      <c r="L87" s="291">
        <v>72</v>
      </c>
      <c r="M87" s="291">
        <v>88</v>
      </c>
      <c r="N87" s="291">
        <v>97</v>
      </c>
      <c r="O87" s="291">
        <v>101</v>
      </c>
      <c r="P87" s="291">
        <v>101</v>
      </c>
      <c r="Q87" s="291">
        <v>98</v>
      </c>
      <c r="R87" s="291">
        <v>91</v>
      </c>
      <c r="S87" s="291">
        <v>90</v>
      </c>
      <c r="T87" s="291">
        <v>80</v>
      </c>
      <c r="U87" s="291">
        <v>24</v>
      </c>
      <c r="V87" s="291">
        <v>3</v>
      </c>
      <c r="W87" s="291">
        <v>0</v>
      </c>
      <c r="X87" s="291">
        <v>0</v>
      </c>
      <c r="Y87" s="291">
        <v>0</v>
      </c>
      <c r="Z87" s="291">
        <v>0</v>
      </c>
      <c r="AA87" s="291">
        <v>0</v>
      </c>
      <c r="AB87" s="292">
        <v>0</v>
      </c>
    </row>
    <row r="88" spans="1:28" ht="15" customHeight="1">
      <c r="A88" s="265" t="s">
        <v>75</v>
      </c>
      <c r="B88" s="266" t="s">
        <v>172</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175</v>
      </c>
      <c r="C89" s="271"/>
      <c r="D89" s="272"/>
      <c r="E89" s="288">
        <v>0</v>
      </c>
      <c r="F89" s="288">
        <v>0</v>
      </c>
      <c r="G89" s="288">
        <v>0</v>
      </c>
      <c r="H89" s="288">
        <v>0</v>
      </c>
      <c r="I89" s="288">
        <v>0</v>
      </c>
      <c r="J89" s="288">
        <v>0</v>
      </c>
      <c r="K89" s="288">
        <v>0</v>
      </c>
      <c r="L89" s="288">
        <v>0</v>
      </c>
      <c r="M89" s="288">
        <v>0</v>
      </c>
      <c r="N89" s="288">
        <v>0</v>
      </c>
      <c r="O89" s="288">
        <v>0</v>
      </c>
      <c r="P89" s="288">
        <v>0</v>
      </c>
      <c r="Q89" s="288">
        <v>0</v>
      </c>
      <c r="R89" s="288">
        <v>4.3999999999999997E-2</v>
      </c>
      <c r="S89" s="288">
        <v>0.51300000000000001</v>
      </c>
      <c r="T89" s="288">
        <v>0.88</v>
      </c>
      <c r="U89" s="288">
        <v>1</v>
      </c>
      <c r="V89" s="288">
        <v>0</v>
      </c>
      <c r="W89" s="288">
        <v>0</v>
      </c>
      <c r="X89" s="288">
        <v>0</v>
      </c>
      <c r="Y89" s="288">
        <v>0</v>
      </c>
      <c r="Z89" s="288">
        <v>0</v>
      </c>
      <c r="AA89" s="288">
        <v>0</v>
      </c>
      <c r="AB89" s="289">
        <v>0</v>
      </c>
    </row>
    <row r="90" spans="1:28" ht="15" customHeight="1" thickBot="1">
      <c r="A90" s="273"/>
      <c r="B90" s="274" t="s">
        <v>174</v>
      </c>
      <c r="C90" s="275"/>
      <c r="D90" s="276"/>
      <c r="E90" s="291">
        <v>0</v>
      </c>
      <c r="F90" s="291">
        <v>0</v>
      </c>
      <c r="G90" s="291">
        <v>0</v>
      </c>
      <c r="H90" s="291">
        <v>0</v>
      </c>
      <c r="I90" s="291">
        <v>0</v>
      </c>
      <c r="J90" s="291">
        <v>19</v>
      </c>
      <c r="K90" s="291">
        <v>47</v>
      </c>
      <c r="L90" s="291">
        <v>72</v>
      </c>
      <c r="M90" s="291">
        <v>88</v>
      </c>
      <c r="N90" s="291">
        <v>97</v>
      </c>
      <c r="O90" s="291">
        <v>101</v>
      </c>
      <c r="P90" s="291">
        <v>101</v>
      </c>
      <c r="Q90" s="291">
        <v>98</v>
      </c>
      <c r="R90" s="291">
        <v>111</v>
      </c>
      <c r="S90" s="291">
        <v>327</v>
      </c>
      <c r="T90" s="291">
        <v>424</v>
      </c>
      <c r="U90" s="291">
        <v>291</v>
      </c>
      <c r="V90" s="291">
        <v>3</v>
      </c>
      <c r="W90" s="291">
        <v>0</v>
      </c>
      <c r="X90" s="291">
        <v>0</v>
      </c>
      <c r="Y90" s="291">
        <v>0</v>
      </c>
      <c r="Z90" s="291">
        <v>0</v>
      </c>
      <c r="AA90" s="291">
        <v>0</v>
      </c>
      <c r="AB90" s="292">
        <v>0</v>
      </c>
    </row>
    <row r="91" spans="1:28" ht="15" customHeight="1">
      <c r="A91" s="265" t="s">
        <v>76</v>
      </c>
      <c r="B91" s="266" t="s">
        <v>172</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175</v>
      </c>
      <c r="C92" s="271"/>
      <c r="D92" s="272"/>
      <c r="E92" s="288">
        <v>0</v>
      </c>
      <c r="F92" s="288">
        <v>0</v>
      </c>
      <c r="G92" s="288">
        <v>0</v>
      </c>
      <c r="H92" s="288">
        <v>0</v>
      </c>
      <c r="I92" s="288">
        <v>0</v>
      </c>
      <c r="J92" s="288">
        <v>0</v>
      </c>
      <c r="K92" s="288">
        <v>0</v>
      </c>
      <c r="L92" s="288">
        <v>0</v>
      </c>
      <c r="M92" s="288">
        <v>0</v>
      </c>
      <c r="N92" s="288">
        <v>0</v>
      </c>
      <c r="O92" s="288">
        <v>0</v>
      </c>
      <c r="P92" s="288">
        <v>0</v>
      </c>
      <c r="Q92" s="288">
        <v>0</v>
      </c>
      <c r="R92" s="288">
        <v>0</v>
      </c>
      <c r="S92" s="288">
        <v>0.126</v>
      </c>
      <c r="T92" s="288">
        <v>0.71199999999999997</v>
      </c>
      <c r="U92" s="288">
        <v>1</v>
      </c>
      <c r="V92" s="288">
        <v>0</v>
      </c>
      <c r="W92" s="288">
        <v>0</v>
      </c>
      <c r="X92" s="288">
        <v>0</v>
      </c>
      <c r="Y92" s="288">
        <v>0</v>
      </c>
      <c r="Z92" s="288">
        <v>0</v>
      </c>
      <c r="AA92" s="288">
        <v>0</v>
      </c>
      <c r="AB92" s="289">
        <v>0</v>
      </c>
    </row>
    <row r="93" spans="1:28" ht="15" customHeight="1" thickBot="1">
      <c r="A93" s="273"/>
      <c r="B93" s="274" t="s">
        <v>174</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91</v>
      </c>
      <c r="S93" s="291">
        <v>116</v>
      </c>
      <c r="T93" s="291">
        <v>298</v>
      </c>
      <c r="U93" s="291">
        <v>282</v>
      </c>
      <c r="V93" s="291">
        <v>3</v>
      </c>
      <c r="W93" s="291">
        <v>0</v>
      </c>
      <c r="X93" s="291">
        <v>0</v>
      </c>
      <c r="Y93" s="291">
        <v>0</v>
      </c>
      <c r="Z93" s="291">
        <v>0</v>
      </c>
      <c r="AA93" s="291">
        <v>0</v>
      </c>
      <c r="AB93" s="292">
        <v>0</v>
      </c>
    </row>
    <row r="94" spans="1:28" ht="15" customHeight="1">
      <c r="A94" s="277" t="s">
        <v>77</v>
      </c>
      <c r="B94" s="266" t="s">
        <v>172</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187</v>
      </c>
      <c r="C95" s="271"/>
      <c r="D95" s="272"/>
      <c r="E95" s="288">
        <v>0</v>
      </c>
      <c r="F95" s="288">
        <v>0</v>
      </c>
      <c r="G95" s="288">
        <v>0</v>
      </c>
      <c r="H95" s="288">
        <v>0</v>
      </c>
      <c r="I95" s="288">
        <v>0</v>
      </c>
      <c r="J95" s="288">
        <v>0</v>
      </c>
      <c r="K95" s="288">
        <v>0</v>
      </c>
      <c r="L95" s="288">
        <v>0</v>
      </c>
      <c r="M95" s="288">
        <v>0</v>
      </c>
      <c r="N95" s="288">
        <v>0</v>
      </c>
      <c r="O95" s="288">
        <v>0</v>
      </c>
      <c r="P95" s="288">
        <v>0</v>
      </c>
      <c r="Q95" s="288">
        <v>0</v>
      </c>
      <c r="R95" s="288">
        <v>0</v>
      </c>
      <c r="S95" s="288">
        <v>0</v>
      </c>
      <c r="T95" s="288">
        <v>0</v>
      </c>
      <c r="U95" s="288">
        <v>0</v>
      </c>
      <c r="V95" s="288">
        <v>0</v>
      </c>
      <c r="W95" s="288">
        <v>0</v>
      </c>
      <c r="X95" s="288">
        <v>0</v>
      </c>
      <c r="Y95" s="288">
        <v>0</v>
      </c>
      <c r="Z95" s="288">
        <v>0</v>
      </c>
      <c r="AA95" s="288">
        <v>0</v>
      </c>
      <c r="AB95" s="289">
        <v>0</v>
      </c>
    </row>
    <row r="96" spans="1:28" ht="15" customHeight="1" thickBot="1">
      <c r="A96" s="279"/>
      <c r="B96" s="274" t="s">
        <v>174</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24</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193</v>
      </c>
    </row>
    <row r="6" spans="1:5" ht="30" customHeight="1">
      <c r="A6" s="6"/>
    </row>
    <row r="7" spans="1:5" ht="30" customHeight="1">
      <c r="A7" s="6" t="s">
        <v>194</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06"/>
  <sheetViews>
    <sheetView showGridLines="0" workbookViewId="0">
      <selection activeCell="A6" sqref="A6"/>
    </sheetView>
  </sheetViews>
  <sheetFormatPr defaultColWidth="8.5703125" defaultRowHeight="13.5" customHeight="1"/>
  <cols>
    <col min="1" max="1" width="20.140625" style="302" customWidth="1"/>
    <col min="2" max="2" width="3" style="363" customWidth="1"/>
    <col min="3" max="3" width="23.5703125" style="302" customWidth="1"/>
    <col min="4" max="4" width="7.140625" style="364" customWidth="1"/>
    <col min="5" max="6" width="10.5703125" style="365" customWidth="1"/>
    <col min="7" max="7" width="20.140625" style="302" customWidth="1"/>
    <col min="8" max="8" width="3" style="363" customWidth="1"/>
    <col min="9" max="9" width="23.5703125" style="302" customWidth="1"/>
    <col min="10" max="10" width="7.140625" style="364" customWidth="1"/>
    <col min="11" max="12" width="10.5703125" style="365" customWidth="1"/>
    <col min="13" max="16384" width="8.5703125" style="302"/>
  </cols>
  <sheetData>
    <row r="1" spans="1:13" s="297" customFormat="1" ht="18" customHeight="1">
      <c r="A1" s="293" t="s">
        <v>195</v>
      </c>
      <c r="B1" s="294"/>
      <c r="C1" s="294"/>
      <c r="D1" s="294"/>
      <c r="E1" s="294"/>
      <c r="F1" s="294"/>
      <c r="G1" s="294"/>
      <c r="H1" s="295"/>
      <c r="I1" s="295"/>
      <c r="J1" s="294"/>
      <c r="K1" s="294"/>
      <c r="L1" s="296"/>
    </row>
    <row r="2" spans="1:13" ht="6.95" customHeight="1">
      <c r="A2" s="298"/>
      <c r="B2" s="299"/>
      <c r="C2" s="298"/>
      <c r="D2" s="300"/>
      <c r="E2" s="301"/>
      <c r="F2" s="301"/>
      <c r="G2" s="298"/>
      <c r="H2" s="299"/>
      <c r="I2" s="298"/>
      <c r="J2" s="300"/>
      <c r="K2" s="301"/>
      <c r="L2" s="301"/>
    </row>
    <row r="3" spans="1:13" ht="13.5" customHeight="1">
      <c r="A3" s="303" t="s">
        <v>196</v>
      </c>
      <c r="B3" s="304" t="s">
        <v>197</v>
      </c>
      <c r="C3" s="305" t="s">
        <v>198</v>
      </c>
      <c r="D3" s="306" t="s">
        <v>199</v>
      </c>
      <c r="E3" s="307" t="s">
        <v>200</v>
      </c>
      <c r="F3" s="308" t="s">
        <v>201</v>
      </c>
      <c r="G3" s="303" t="s">
        <v>196</v>
      </c>
      <c r="H3" s="304" t="s">
        <v>197</v>
      </c>
      <c r="I3" s="305" t="s">
        <v>198</v>
      </c>
      <c r="J3" s="306" t="s">
        <v>202</v>
      </c>
      <c r="K3" s="307" t="s">
        <v>203</v>
      </c>
      <c r="L3" s="309" t="s">
        <v>204</v>
      </c>
    </row>
    <row r="4" spans="1:13" ht="13.5" customHeight="1">
      <c r="A4" s="310"/>
      <c r="B4" s="311"/>
      <c r="C4" s="312"/>
      <c r="D4" s="313"/>
      <c r="E4" s="314"/>
      <c r="F4" s="315"/>
      <c r="G4" s="310"/>
      <c r="H4" s="316"/>
      <c r="I4" s="312"/>
      <c r="J4" s="313"/>
      <c r="K4" s="314"/>
      <c r="L4" s="317"/>
    </row>
    <row r="5" spans="1:13" ht="13.5" customHeight="1">
      <c r="A5" s="310"/>
      <c r="B5" s="311"/>
      <c r="C5" s="312"/>
      <c r="D5" s="313"/>
      <c r="E5" s="314"/>
      <c r="F5" s="315"/>
      <c r="G5" s="310"/>
      <c r="H5" s="316"/>
      <c r="I5" s="312"/>
      <c r="J5" s="313"/>
      <c r="K5" s="314"/>
      <c r="L5" s="317"/>
    </row>
    <row r="6" spans="1:13" ht="13.5" customHeight="1">
      <c r="A6" s="318" t="s">
        <v>206</v>
      </c>
      <c r="B6" s="319"/>
      <c r="C6" s="320" t="s">
        <v>210</v>
      </c>
      <c r="D6" s="367" t="s">
        <v>211</v>
      </c>
      <c r="E6" s="322" t="s">
        <v>212</v>
      </c>
      <c r="F6" s="323">
        <v>4.2999999999999997E-2</v>
      </c>
      <c r="G6" s="318" t="s">
        <v>225</v>
      </c>
      <c r="H6" s="319">
        <v>1</v>
      </c>
      <c r="I6" s="372" t="s">
        <v>227</v>
      </c>
      <c r="J6" s="321"/>
      <c r="K6" s="322"/>
      <c r="L6" s="323"/>
      <c r="M6" s="366" t="s">
        <v>205</v>
      </c>
    </row>
    <row r="7" spans="1:13" ht="13.5" customHeight="1">
      <c r="A7" s="324" t="s">
        <v>207</v>
      </c>
      <c r="B7" s="325">
        <v>1</v>
      </c>
      <c r="C7" s="326" t="s">
        <v>213</v>
      </c>
      <c r="D7" s="327">
        <v>0.10000000149011612</v>
      </c>
      <c r="E7" s="328">
        <v>0.19</v>
      </c>
      <c r="F7" s="329">
        <v>0.52600000000000002</v>
      </c>
      <c r="G7" s="324" t="s">
        <v>226</v>
      </c>
      <c r="H7" s="325"/>
      <c r="I7" s="373"/>
      <c r="J7" s="327"/>
      <c r="K7" s="328"/>
      <c r="L7" s="329"/>
    </row>
    <row r="8" spans="1:13" ht="13.5" customHeight="1">
      <c r="A8" s="324" t="s">
        <v>208</v>
      </c>
      <c r="B8" s="325">
        <v>2</v>
      </c>
      <c r="C8" s="326" t="s">
        <v>214</v>
      </c>
      <c r="D8" s="327">
        <v>2.500000037252903E-2</v>
      </c>
      <c r="E8" s="328">
        <v>0.04</v>
      </c>
      <c r="F8" s="329">
        <v>0.625</v>
      </c>
      <c r="G8" s="324"/>
      <c r="H8" s="325"/>
      <c r="I8" s="326" t="s">
        <v>228</v>
      </c>
      <c r="J8" s="327"/>
      <c r="K8" s="328"/>
      <c r="L8" s="329"/>
    </row>
    <row r="9" spans="1:13" ht="13.5" customHeight="1">
      <c r="A9" s="324" t="s">
        <v>209</v>
      </c>
      <c r="B9" s="325">
        <v>3</v>
      </c>
      <c r="C9" s="326" t="s">
        <v>215</v>
      </c>
      <c r="D9" s="368" t="s">
        <v>211</v>
      </c>
      <c r="E9" s="369" t="s">
        <v>211</v>
      </c>
      <c r="F9" s="329">
        <v>7.0000000000000007E-2</v>
      </c>
      <c r="G9" s="324"/>
      <c r="H9" s="325"/>
      <c r="I9" s="326" t="s">
        <v>229</v>
      </c>
      <c r="J9" s="327"/>
      <c r="K9" s="328"/>
      <c r="L9" s="329"/>
    </row>
    <row r="10" spans="1:13" ht="13.5" customHeight="1">
      <c r="A10" s="324"/>
      <c r="B10" s="325">
        <v>4</v>
      </c>
      <c r="C10" s="326" t="s">
        <v>216</v>
      </c>
      <c r="D10" s="327">
        <v>1.2000000104308128E-2</v>
      </c>
      <c r="E10" s="328">
        <v>0.22</v>
      </c>
      <c r="F10" s="329">
        <v>5.5E-2</v>
      </c>
      <c r="G10" s="324"/>
      <c r="H10" s="325"/>
      <c r="I10" s="326"/>
      <c r="J10" s="327"/>
      <c r="K10" s="328"/>
      <c r="L10" s="329"/>
    </row>
    <row r="11" spans="1:13" ht="13.5" customHeight="1">
      <c r="A11" s="324"/>
      <c r="B11" s="325">
        <v>5</v>
      </c>
      <c r="C11" s="326" t="s">
        <v>217</v>
      </c>
      <c r="D11" s="327">
        <v>6.0000000521540642E-3</v>
      </c>
      <c r="E11" s="328">
        <v>0.2</v>
      </c>
      <c r="F11" s="329">
        <v>0.03</v>
      </c>
      <c r="G11" s="324"/>
      <c r="H11" s="325"/>
      <c r="I11" s="326"/>
      <c r="J11" s="327"/>
      <c r="K11" s="328"/>
      <c r="L11" s="329"/>
    </row>
    <row r="12" spans="1:13" ht="13.5" customHeight="1">
      <c r="A12" s="324"/>
      <c r="B12" s="325"/>
      <c r="C12" s="326" t="s">
        <v>218</v>
      </c>
      <c r="D12" s="368" t="s">
        <v>211</v>
      </c>
      <c r="E12" s="328" t="s">
        <v>219</v>
      </c>
      <c r="F12" s="329">
        <v>0.111</v>
      </c>
      <c r="G12" s="324"/>
      <c r="H12" s="325"/>
      <c r="I12" s="326"/>
      <c r="J12" s="327"/>
      <c r="K12" s="328"/>
      <c r="L12" s="329"/>
    </row>
    <row r="13" spans="1:13" ht="13.5" customHeight="1">
      <c r="A13" s="324"/>
      <c r="B13" s="325"/>
      <c r="C13" s="326"/>
      <c r="D13" s="327"/>
      <c r="E13" s="328"/>
      <c r="F13" s="329"/>
      <c r="G13" s="324"/>
      <c r="H13" s="325"/>
      <c r="I13" s="326"/>
      <c r="J13" s="327"/>
      <c r="K13" s="328"/>
      <c r="L13" s="329"/>
    </row>
    <row r="14" spans="1:13" ht="13.5" customHeight="1">
      <c r="A14" s="324"/>
      <c r="B14" s="325"/>
      <c r="C14" s="326"/>
      <c r="D14" s="327"/>
      <c r="E14" s="328"/>
      <c r="F14" s="329"/>
      <c r="G14" s="324"/>
      <c r="H14" s="325"/>
      <c r="I14" s="326"/>
      <c r="J14" s="327"/>
      <c r="K14" s="328"/>
      <c r="L14" s="329"/>
    </row>
    <row r="15" spans="1:13" ht="13.5" customHeight="1">
      <c r="A15" s="324"/>
      <c r="B15" s="325"/>
      <c r="C15" s="326"/>
      <c r="D15" s="327"/>
      <c r="E15" s="328"/>
      <c r="F15" s="329"/>
      <c r="G15" s="324"/>
      <c r="H15" s="325"/>
      <c r="I15" s="326"/>
      <c r="J15" s="327"/>
      <c r="K15" s="328"/>
      <c r="L15" s="329"/>
    </row>
    <row r="16" spans="1:13" ht="13.5" customHeight="1">
      <c r="A16" s="324"/>
      <c r="B16" s="325"/>
      <c r="C16" s="326"/>
      <c r="D16" s="327"/>
      <c r="E16" s="328"/>
      <c r="F16" s="329"/>
      <c r="G16" s="324"/>
      <c r="H16" s="325"/>
      <c r="I16" s="326"/>
      <c r="J16" s="327"/>
      <c r="K16" s="328"/>
      <c r="L16" s="329"/>
    </row>
    <row r="17" spans="1:12" ht="13.5" customHeight="1">
      <c r="A17" s="324"/>
      <c r="B17" s="325"/>
      <c r="C17" s="326"/>
      <c r="D17" s="327"/>
      <c r="E17" s="328"/>
      <c r="F17" s="329"/>
      <c r="G17" s="324"/>
      <c r="H17" s="325"/>
      <c r="I17" s="326"/>
      <c r="J17" s="327"/>
      <c r="K17" s="328"/>
      <c r="L17" s="329"/>
    </row>
    <row r="18" spans="1:12" ht="13.5" customHeight="1">
      <c r="A18" s="324"/>
      <c r="B18" s="325"/>
      <c r="C18" s="326"/>
      <c r="D18" s="327"/>
      <c r="E18" s="328"/>
      <c r="F18" s="329"/>
      <c r="G18" s="324"/>
      <c r="H18" s="325"/>
      <c r="I18" s="326"/>
      <c r="J18" s="327"/>
      <c r="K18" s="328"/>
      <c r="L18" s="329"/>
    </row>
    <row r="19" spans="1:12" ht="13.5" customHeight="1">
      <c r="A19" s="324"/>
      <c r="B19" s="325"/>
      <c r="C19" s="326"/>
      <c r="D19" s="327"/>
      <c r="E19" s="328"/>
      <c r="F19" s="329"/>
      <c r="G19" s="324"/>
      <c r="H19" s="325"/>
      <c r="I19" s="326"/>
      <c r="J19" s="327"/>
      <c r="K19" s="328"/>
      <c r="L19" s="329"/>
    </row>
    <row r="20" spans="1:12" ht="13.5" customHeight="1">
      <c r="A20" s="330"/>
      <c r="B20" s="331"/>
      <c r="C20" s="332"/>
      <c r="D20" s="333"/>
      <c r="E20" s="334"/>
      <c r="F20" s="335"/>
      <c r="G20" s="330"/>
      <c r="H20" s="331"/>
      <c r="I20" s="332"/>
      <c r="J20" s="333"/>
      <c r="K20" s="334"/>
      <c r="L20" s="335"/>
    </row>
    <row r="21" spans="1:12" ht="13.5" customHeight="1">
      <c r="A21" s="336"/>
      <c r="B21" s="337"/>
      <c r="C21" s="336" t="s">
        <v>220</v>
      </c>
      <c r="D21" s="338"/>
      <c r="E21" s="338"/>
      <c r="F21" s="339">
        <v>1.46</v>
      </c>
      <c r="G21" s="336"/>
      <c r="H21" s="337"/>
      <c r="I21" s="336"/>
      <c r="J21" s="338"/>
      <c r="K21" s="338"/>
      <c r="L21" s="339"/>
    </row>
    <row r="22" spans="1:12" ht="13.5" customHeight="1">
      <c r="A22" s="340"/>
      <c r="B22" s="341"/>
      <c r="C22" s="342" t="s">
        <v>221</v>
      </c>
      <c r="D22" s="343"/>
      <c r="E22" s="344"/>
      <c r="F22" s="345"/>
      <c r="G22" s="340"/>
      <c r="H22" s="341"/>
      <c r="I22" s="342" t="s">
        <v>231</v>
      </c>
      <c r="J22" s="343"/>
      <c r="K22" s="344" t="s">
        <v>230</v>
      </c>
      <c r="L22" s="345"/>
    </row>
    <row r="23" spans="1:12" ht="13.5" customHeight="1">
      <c r="A23" s="324" t="s">
        <v>206</v>
      </c>
      <c r="B23" s="325"/>
      <c r="C23" s="346" t="s">
        <v>210</v>
      </c>
      <c r="D23" s="370" t="s">
        <v>211</v>
      </c>
      <c r="E23" s="348" t="s">
        <v>212</v>
      </c>
      <c r="F23" s="349">
        <v>4.2999999999999997E-2</v>
      </c>
      <c r="G23" s="324" t="s">
        <v>225</v>
      </c>
      <c r="H23" s="325">
        <v>1</v>
      </c>
      <c r="I23" s="374" t="s">
        <v>227</v>
      </c>
      <c r="J23" s="347"/>
      <c r="K23" s="348"/>
      <c r="L23" s="349"/>
    </row>
    <row r="24" spans="1:12" ht="13.5" customHeight="1">
      <c r="A24" s="324" t="s">
        <v>222</v>
      </c>
      <c r="B24" s="325">
        <v>1</v>
      </c>
      <c r="C24" s="346" t="s">
        <v>213</v>
      </c>
      <c r="D24" s="347">
        <v>0.10000000149011612</v>
      </c>
      <c r="E24" s="348">
        <v>0.19</v>
      </c>
      <c r="F24" s="349">
        <v>0.52600000000000002</v>
      </c>
      <c r="G24" s="324" t="s">
        <v>232</v>
      </c>
      <c r="H24" s="325"/>
      <c r="I24" s="373"/>
      <c r="J24" s="347"/>
      <c r="K24" s="348"/>
      <c r="L24" s="349"/>
    </row>
    <row r="25" spans="1:12" ht="13.5" customHeight="1">
      <c r="A25" s="324" t="s">
        <v>208</v>
      </c>
      <c r="B25" s="325">
        <v>2</v>
      </c>
      <c r="C25" s="346" t="s">
        <v>223</v>
      </c>
      <c r="D25" s="347">
        <v>2.500000037252903E-2</v>
      </c>
      <c r="E25" s="348">
        <v>3.4000000000000002E-2</v>
      </c>
      <c r="F25" s="349">
        <v>0.73499999999999999</v>
      </c>
      <c r="G25" s="324"/>
      <c r="H25" s="325"/>
      <c r="I25" s="346" t="s">
        <v>233</v>
      </c>
      <c r="J25" s="347"/>
      <c r="K25" s="348"/>
      <c r="L25" s="349"/>
    </row>
    <row r="26" spans="1:12" ht="13.5" customHeight="1">
      <c r="A26" s="324" t="s">
        <v>209</v>
      </c>
      <c r="B26" s="325">
        <v>3</v>
      </c>
      <c r="C26" s="346" t="s">
        <v>215</v>
      </c>
      <c r="D26" s="370" t="s">
        <v>211</v>
      </c>
      <c r="E26" s="371" t="s">
        <v>211</v>
      </c>
      <c r="F26" s="349">
        <v>7.0000000000000007E-2</v>
      </c>
      <c r="G26" s="324"/>
      <c r="H26" s="325"/>
      <c r="I26" s="346" t="s">
        <v>229</v>
      </c>
      <c r="J26" s="347"/>
      <c r="K26" s="348"/>
      <c r="L26" s="349"/>
    </row>
    <row r="27" spans="1:12" ht="13.5" customHeight="1">
      <c r="A27" s="324"/>
      <c r="B27" s="325">
        <v>4</v>
      </c>
      <c r="C27" s="346" t="s">
        <v>216</v>
      </c>
      <c r="D27" s="347">
        <v>1.2000000104308128E-2</v>
      </c>
      <c r="E27" s="348">
        <v>0.22</v>
      </c>
      <c r="F27" s="349">
        <v>5.5E-2</v>
      </c>
      <c r="G27" s="324"/>
      <c r="H27" s="325"/>
      <c r="I27" s="346"/>
      <c r="J27" s="347"/>
      <c r="K27" s="348"/>
      <c r="L27" s="349"/>
    </row>
    <row r="28" spans="1:12" ht="13.5" customHeight="1">
      <c r="A28" s="324"/>
      <c r="B28" s="325"/>
      <c r="C28" s="346" t="s">
        <v>218</v>
      </c>
      <c r="D28" s="370" t="s">
        <v>211</v>
      </c>
      <c r="E28" s="348" t="s">
        <v>219</v>
      </c>
      <c r="F28" s="349">
        <v>0.111</v>
      </c>
      <c r="G28" s="324"/>
      <c r="H28" s="325"/>
      <c r="I28" s="346"/>
      <c r="J28" s="347"/>
      <c r="K28" s="348"/>
      <c r="L28" s="349"/>
    </row>
    <row r="29" spans="1:12" ht="13.5" customHeight="1">
      <c r="A29" s="324"/>
      <c r="B29" s="325"/>
      <c r="C29" s="346"/>
      <c r="D29" s="347"/>
      <c r="E29" s="348"/>
      <c r="F29" s="349"/>
      <c r="G29" s="324"/>
      <c r="H29" s="325"/>
      <c r="I29" s="346"/>
      <c r="J29" s="347"/>
      <c r="K29" s="348"/>
      <c r="L29" s="349"/>
    </row>
    <row r="30" spans="1:12" ht="13.5" customHeight="1">
      <c r="A30" s="324"/>
      <c r="B30" s="325"/>
      <c r="C30" s="346"/>
      <c r="D30" s="347"/>
      <c r="E30" s="348"/>
      <c r="F30" s="349"/>
      <c r="G30" s="324"/>
      <c r="H30" s="325"/>
      <c r="I30" s="346"/>
      <c r="J30" s="347"/>
      <c r="K30" s="348"/>
      <c r="L30" s="349"/>
    </row>
    <row r="31" spans="1:12" ht="13.5" customHeight="1">
      <c r="A31" s="324"/>
      <c r="B31" s="325"/>
      <c r="C31" s="346"/>
      <c r="D31" s="347"/>
      <c r="E31" s="348"/>
      <c r="F31" s="349"/>
      <c r="G31" s="324"/>
      <c r="H31" s="325"/>
      <c r="I31" s="346"/>
      <c r="J31" s="347"/>
      <c r="K31" s="348"/>
      <c r="L31" s="349"/>
    </row>
    <row r="32" spans="1:12" ht="13.5" customHeight="1">
      <c r="A32" s="324"/>
      <c r="B32" s="325"/>
      <c r="C32" s="346"/>
      <c r="D32" s="347"/>
      <c r="E32" s="348"/>
      <c r="F32" s="349"/>
      <c r="G32" s="324"/>
      <c r="H32" s="325"/>
      <c r="I32" s="346"/>
      <c r="J32" s="347"/>
      <c r="K32" s="348"/>
      <c r="L32" s="349"/>
    </row>
    <row r="33" spans="1:12" ht="13.5" customHeight="1">
      <c r="A33" s="324"/>
      <c r="B33" s="325"/>
      <c r="C33" s="346"/>
      <c r="D33" s="347"/>
      <c r="E33" s="348"/>
      <c r="F33" s="349"/>
      <c r="G33" s="324"/>
      <c r="H33" s="325"/>
      <c r="I33" s="346"/>
      <c r="J33" s="347"/>
      <c r="K33" s="348"/>
      <c r="L33" s="349"/>
    </row>
    <row r="34" spans="1:12" ht="13.5" customHeight="1">
      <c r="A34" s="324"/>
      <c r="B34" s="325"/>
      <c r="C34" s="346"/>
      <c r="D34" s="347"/>
      <c r="E34" s="348"/>
      <c r="F34" s="349"/>
      <c r="G34" s="324"/>
      <c r="H34" s="325"/>
      <c r="I34" s="346"/>
      <c r="J34" s="347"/>
      <c r="K34" s="348"/>
      <c r="L34" s="349"/>
    </row>
    <row r="35" spans="1:12" ht="13.5" customHeight="1">
      <c r="A35" s="324"/>
      <c r="B35" s="325"/>
      <c r="C35" s="346"/>
      <c r="D35" s="347"/>
      <c r="E35" s="348"/>
      <c r="F35" s="349"/>
      <c r="G35" s="324"/>
      <c r="H35" s="325"/>
      <c r="I35" s="346"/>
      <c r="J35" s="347"/>
      <c r="K35" s="348"/>
      <c r="L35" s="349"/>
    </row>
    <row r="36" spans="1:12" ht="13.5" customHeight="1">
      <c r="A36" s="324"/>
      <c r="B36" s="325"/>
      <c r="C36" s="346"/>
      <c r="D36" s="347"/>
      <c r="E36" s="348"/>
      <c r="F36" s="349"/>
      <c r="G36" s="324"/>
      <c r="H36" s="325"/>
      <c r="I36" s="346"/>
      <c r="J36" s="347"/>
      <c r="K36" s="348"/>
      <c r="L36" s="349"/>
    </row>
    <row r="37" spans="1:12" ht="13.5" customHeight="1">
      <c r="A37" s="330"/>
      <c r="B37" s="331"/>
      <c r="C37" s="350"/>
      <c r="D37" s="351"/>
      <c r="E37" s="352"/>
      <c r="F37" s="353"/>
      <c r="G37" s="330"/>
      <c r="H37" s="331"/>
      <c r="I37" s="350"/>
      <c r="J37" s="351"/>
      <c r="K37" s="352"/>
      <c r="L37" s="353"/>
    </row>
    <row r="38" spans="1:12" ht="13.5" customHeight="1">
      <c r="A38" s="336"/>
      <c r="B38" s="337"/>
      <c r="C38" s="354" t="s">
        <v>220</v>
      </c>
      <c r="D38" s="355"/>
      <c r="E38" s="355"/>
      <c r="F38" s="356">
        <v>1.54</v>
      </c>
      <c r="G38" s="336"/>
      <c r="H38" s="337"/>
      <c r="I38" s="354"/>
      <c r="J38" s="355"/>
      <c r="K38" s="355"/>
      <c r="L38" s="356"/>
    </row>
    <row r="39" spans="1:12" ht="13.5" customHeight="1">
      <c r="A39" s="357"/>
      <c r="B39" s="358"/>
      <c r="C39" s="359" t="s">
        <v>224</v>
      </c>
      <c r="D39" s="360"/>
      <c r="E39" s="361"/>
      <c r="F39" s="362"/>
      <c r="G39" s="357"/>
      <c r="H39" s="358"/>
      <c r="I39" s="359" t="s">
        <v>235</v>
      </c>
      <c r="J39" s="360"/>
      <c r="K39" s="361" t="s">
        <v>234</v>
      </c>
      <c r="L39" s="362"/>
    </row>
    <row r="40" spans="1:12" ht="13.5" customHeight="1">
      <c r="A40" s="318" t="s">
        <v>225</v>
      </c>
      <c r="B40" s="319">
        <v>1</v>
      </c>
      <c r="C40" s="372" t="s">
        <v>237</v>
      </c>
      <c r="D40" s="321"/>
      <c r="E40" s="322"/>
      <c r="F40" s="323"/>
      <c r="G40" s="318" t="s">
        <v>240</v>
      </c>
      <c r="H40" s="319"/>
      <c r="I40" s="320" t="s">
        <v>210</v>
      </c>
      <c r="J40" s="367" t="s">
        <v>211</v>
      </c>
      <c r="K40" s="322" t="s">
        <v>212</v>
      </c>
      <c r="L40" s="323">
        <v>4.2999999999999997E-2</v>
      </c>
    </row>
    <row r="41" spans="1:12" ht="13.5" customHeight="1">
      <c r="A41" s="324" t="s">
        <v>236</v>
      </c>
      <c r="B41" s="325"/>
      <c r="C41" s="373"/>
      <c r="D41" s="327"/>
      <c r="E41" s="328"/>
      <c r="F41" s="329"/>
      <c r="G41" s="324" t="s">
        <v>248</v>
      </c>
      <c r="H41" s="325">
        <v>1</v>
      </c>
      <c r="I41" s="326" t="s">
        <v>243</v>
      </c>
      <c r="J41" s="327">
        <v>0.10000000149011612</v>
      </c>
      <c r="K41" s="328">
        <v>0.5</v>
      </c>
      <c r="L41" s="329">
        <v>0.2</v>
      </c>
    </row>
    <row r="42" spans="1:12" ht="13.5" customHeight="1">
      <c r="A42" s="324"/>
      <c r="B42" s="325"/>
      <c r="C42" s="326" t="s">
        <v>228</v>
      </c>
      <c r="D42" s="327"/>
      <c r="E42" s="328"/>
      <c r="F42" s="329"/>
      <c r="G42" s="324" t="s">
        <v>242</v>
      </c>
      <c r="H42" s="325">
        <v>2</v>
      </c>
      <c r="I42" s="326" t="s">
        <v>244</v>
      </c>
      <c r="J42" s="327">
        <v>5.000000074505806E-2</v>
      </c>
      <c r="K42" s="328">
        <v>3.4000000000000002E-2</v>
      </c>
      <c r="L42" s="329">
        <v>1.4710000000000001</v>
      </c>
    </row>
    <row r="43" spans="1:12" ht="13.5" customHeight="1">
      <c r="A43" s="324"/>
      <c r="B43" s="325"/>
      <c r="C43" s="326" t="s">
        <v>229</v>
      </c>
      <c r="D43" s="327"/>
      <c r="E43" s="328"/>
      <c r="F43" s="329"/>
      <c r="G43" s="324" t="s">
        <v>209</v>
      </c>
      <c r="H43" s="325">
        <v>3</v>
      </c>
      <c r="I43" s="326" t="s">
        <v>245</v>
      </c>
      <c r="J43" s="327">
        <v>9.9999997764825821E-3</v>
      </c>
      <c r="K43" s="328">
        <v>0.11</v>
      </c>
      <c r="L43" s="329">
        <v>9.0999999999999998E-2</v>
      </c>
    </row>
    <row r="44" spans="1:12" ht="13.5" customHeight="1">
      <c r="A44" s="324"/>
      <c r="B44" s="325"/>
      <c r="C44" s="326"/>
      <c r="D44" s="327"/>
      <c r="E44" s="328"/>
      <c r="F44" s="329"/>
      <c r="G44" s="324"/>
      <c r="H44" s="325">
        <v>4</v>
      </c>
      <c r="I44" s="326" t="s">
        <v>246</v>
      </c>
      <c r="J44" s="327">
        <v>0.15000000596046448</v>
      </c>
      <c r="K44" s="328">
        <v>1.6</v>
      </c>
      <c r="L44" s="329">
        <v>9.4E-2</v>
      </c>
    </row>
    <row r="45" spans="1:12" ht="13.5" customHeight="1">
      <c r="A45" s="324"/>
      <c r="B45" s="325"/>
      <c r="C45" s="326"/>
      <c r="D45" s="327"/>
      <c r="E45" s="328"/>
      <c r="F45" s="329"/>
      <c r="G45" s="324"/>
      <c r="H45" s="325">
        <v>5</v>
      </c>
      <c r="I45" s="326" t="s">
        <v>215</v>
      </c>
      <c r="J45" s="368" t="s">
        <v>211</v>
      </c>
      <c r="K45" s="369" t="s">
        <v>211</v>
      </c>
      <c r="L45" s="329">
        <v>7.0000000000000007E-2</v>
      </c>
    </row>
    <row r="46" spans="1:12" ht="13.5" customHeight="1">
      <c r="A46" s="324"/>
      <c r="B46" s="325"/>
      <c r="C46" s="326"/>
      <c r="D46" s="327"/>
      <c r="E46" s="328"/>
      <c r="F46" s="329"/>
      <c r="G46" s="324"/>
      <c r="H46" s="325">
        <v>6</v>
      </c>
      <c r="I46" s="326" t="s">
        <v>216</v>
      </c>
      <c r="J46" s="327">
        <v>8.999999612569809E-3</v>
      </c>
      <c r="K46" s="328">
        <v>0.22</v>
      </c>
      <c r="L46" s="329">
        <v>4.1000000000000002E-2</v>
      </c>
    </row>
    <row r="47" spans="1:12" ht="13.5" customHeight="1">
      <c r="A47" s="324"/>
      <c r="B47" s="325"/>
      <c r="C47" s="326"/>
      <c r="D47" s="327"/>
      <c r="E47" s="328"/>
      <c r="F47" s="329"/>
      <c r="G47" s="324"/>
      <c r="H47" s="325">
        <v>7</v>
      </c>
      <c r="I47" s="326" t="s">
        <v>217</v>
      </c>
      <c r="J47" s="327">
        <v>6.0000000521540642E-3</v>
      </c>
      <c r="K47" s="328">
        <v>0.2</v>
      </c>
      <c r="L47" s="329">
        <v>0.03</v>
      </c>
    </row>
    <row r="48" spans="1:12" ht="13.5" customHeight="1">
      <c r="A48" s="324"/>
      <c r="B48" s="325"/>
      <c r="C48" s="326"/>
      <c r="D48" s="327"/>
      <c r="E48" s="328"/>
      <c r="F48" s="329"/>
      <c r="G48" s="324"/>
      <c r="H48" s="325"/>
      <c r="I48" s="326" t="s">
        <v>218</v>
      </c>
      <c r="J48" s="368" t="s">
        <v>211</v>
      </c>
      <c r="K48" s="328" t="s">
        <v>219</v>
      </c>
      <c r="L48" s="329">
        <v>0.111</v>
      </c>
    </row>
    <row r="49" spans="1:12" ht="13.5" customHeight="1">
      <c r="A49" s="324"/>
      <c r="B49" s="325"/>
      <c r="C49" s="326"/>
      <c r="D49" s="327"/>
      <c r="E49" s="328"/>
      <c r="F49" s="329"/>
      <c r="G49" s="324"/>
      <c r="H49" s="325"/>
      <c r="I49" s="326"/>
      <c r="J49" s="327"/>
      <c r="K49" s="328"/>
      <c r="L49" s="329"/>
    </row>
    <row r="50" spans="1:12" ht="13.5" customHeight="1">
      <c r="A50" s="324"/>
      <c r="B50" s="325"/>
      <c r="C50" s="326"/>
      <c r="D50" s="327"/>
      <c r="E50" s="328"/>
      <c r="F50" s="329"/>
      <c r="G50" s="324"/>
      <c r="H50" s="325"/>
      <c r="I50" s="326"/>
      <c r="J50" s="327"/>
      <c r="K50" s="328"/>
      <c r="L50" s="329"/>
    </row>
    <row r="51" spans="1:12" ht="13.5" customHeight="1">
      <c r="A51" s="324"/>
      <c r="B51" s="325"/>
      <c r="C51" s="326"/>
      <c r="D51" s="327"/>
      <c r="E51" s="328"/>
      <c r="F51" s="329"/>
      <c r="G51" s="324"/>
      <c r="H51" s="325"/>
      <c r="I51" s="326"/>
      <c r="J51" s="327"/>
      <c r="K51" s="328"/>
      <c r="L51" s="329"/>
    </row>
    <row r="52" spans="1:12" ht="13.5" customHeight="1">
      <c r="A52" s="324"/>
      <c r="B52" s="325"/>
      <c r="C52" s="326"/>
      <c r="D52" s="327"/>
      <c r="E52" s="328"/>
      <c r="F52" s="329"/>
      <c r="G52" s="324"/>
      <c r="H52" s="325"/>
      <c r="I52" s="326"/>
      <c r="J52" s="327"/>
      <c r="K52" s="328"/>
      <c r="L52" s="329"/>
    </row>
    <row r="53" spans="1:12" ht="13.5" customHeight="1">
      <c r="A53" s="324"/>
      <c r="B53" s="325"/>
      <c r="C53" s="326"/>
      <c r="D53" s="327"/>
      <c r="E53" s="328"/>
      <c r="F53" s="329"/>
      <c r="G53" s="324"/>
      <c r="H53" s="325"/>
      <c r="I53" s="326"/>
      <c r="J53" s="327"/>
      <c r="K53" s="328"/>
      <c r="L53" s="329"/>
    </row>
    <row r="54" spans="1:12" ht="13.5" customHeight="1">
      <c r="A54" s="330"/>
      <c r="B54" s="331"/>
      <c r="C54" s="332"/>
      <c r="D54" s="333"/>
      <c r="E54" s="334"/>
      <c r="F54" s="335"/>
      <c r="G54" s="330"/>
      <c r="H54" s="331"/>
      <c r="I54" s="332"/>
      <c r="J54" s="333"/>
      <c r="K54" s="334"/>
      <c r="L54" s="335"/>
    </row>
    <row r="55" spans="1:12" ht="13.5" customHeight="1">
      <c r="A55" s="336"/>
      <c r="B55" s="337"/>
      <c r="C55" s="336"/>
      <c r="D55" s="338"/>
      <c r="E55" s="338"/>
      <c r="F55" s="339"/>
      <c r="G55" s="336"/>
      <c r="H55" s="337"/>
      <c r="I55" s="336" t="s">
        <v>220</v>
      </c>
      <c r="J55" s="338"/>
      <c r="K55" s="338"/>
      <c r="L55" s="339">
        <v>2.1509999999999998</v>
      </c>
    </row>
    <row r="56" spans="1:12" ht="13.5" customHeight="1">
      <c r="A56" s="340"/>
      <c r="B56" s="341"/>
      <c r="C56" s="342" t="s">
        <v>239</v>
      </c>
      <c r="D56" s="343"/>
      <c r="E56" s="344" t="s">
        <v>238</v>
      </c>
      <c r="F56" s="345"/>
      <c r="G56" s="340"/>
      <c r="H56" s="341"/>
      <c r="I56" s="342" t="s">
        <v>249</v>
      </c>
      <c r="J56" s="343"/>
      <c r="K56" s="344"/>
      <c r="L56" s="345"/>
    </row>
    <row r="57" spans="1:12" ht="13.5" customHeight="1">
      <c r="A57" s="324" t="s">
        <v>240</v>
      </c>
      <c r="B57" s="325"/>
      <c r="C57" s="346" t="s">
        <v>210</v>
      </c>
      <c r="D57" s="370" t="s">
        <v>211</v>
      </c>
      <c r="E57" s="348" t="s">
        <v>212</v>
      </c>
      <c r="F57" s="349">
        <v>4.2999999999999997E-2</v>
      </c>
      <c r="G57" s="324" t="s">
        <v>250</v>
      </c>
      <c r="H57" s="325"/>
      <c r="I57" s="346" t="s">
        <v>218</v>
      </c>
      <c r="J57" s="370" t="s">
        <v>211</v>
      </c>
      <c r="K57" s="348" t="s">
        <v>219</v>
      </c>
      <c r="L57" s="349">
        <v>0.111</v>
      </c>
    </row>
    <row r="58" spans="1:12" ht="13.5" customHeight="1">
      <c r="A58" s="324" t="s">
        <v>241</v>
      </c>
      <c r="B58" s="325">
        <v>1</v>
      </c>
      <c r="C58" s="346" t="s">
        <v>243</v>
      </c>
      <c r="D58" s="347">
        <v>0.10000000149011612</v>
      </c>
      <c r="E58" s="348">
        <v>0.5</v>
      </c>
      <c r="F58" s="349">
        <v>0.2</v>
      </c>
      <c r="G58" s="324" t="s">
        <v>251</v>
      </c>
      <c r="H58" s="325">
        <v>1</v>
      </c>
      <c r="I58" s="346" t="s">
        <v>217</v>
      </c>
      <c r="J58" s="347">
        <v>6.0000000521540642E-3</v>
      </c>
      <c r="K58" s="348">
        <v>0.2</v>
      </c>
      <c r="L58" s="349">
        <v>0.03</v>
      </c>
    </row>
    <row r="59" spans="1:12" ht="13.5" customHeight="1">
      <c r="A59" s="324" t="s">
        <v>242</v>
      </c>
      <c r="B59" s="325">
        <v>2</v>
      </c>
      <c r="C59" s="346" t="s">
        <v>244</v>
      </c>
      <c r="D59" s="347">
        <v>5.000000074505806E-2</v>
      </c>
      <c r="E59" s="348">
        <v>3.4000000000000002E-2</v>
      </c>
      <c r="F59" s="349">
        <v>1.4710000000000001</v>
      </c>
      <c r="G59" s="324"/>
      <c r="H59" s="325">
        <v>2</v>
      </c>
      <c r="I59" s="346" t="s">
        <v>216</v>
      </c>
      <c r="J59" s="347">
        <v>1.2000000104308128E-2</v>
      </c>
      <c r="K59" s="348">
        <v>0.22</v>
      </c>
      <c r="L59" s="349">
        <v>5.5E-2</v>
      </c>
    </row>
    <row r="60" spans="1:12" ht="13.5" customHeight="1">
      <c r="A60" s="324" t="s">
        <v>209</v>
      </c>
      <c r="B60" s="325">
        <v>3</v>
      </c>
      <c r="C60" s="346" t="s">
        <v>245</v>
      </c>
      <c r="D60" s="347">
        <v>9.9999997764825821E-3</v>
      </c>
      <c r="E60" s="348">
        <v>0.11</v>
      </c>
      <c r="F60" s="349">
        <v>9.0999999999999998E-2</v>
      </c>
      <c r="G60" s="324"/>
      <c r="H60" s="325">
        <v>3</v>
      </c>
      <c r="I60" s="346" t="s">
        <v>215</v>
      </c>
      <c r="J60" s="370" t="s">
        <v>211</v>
      </c>
      <c r="K60" s="371" t="s">
        <v>211</v>
      </c>
      <c r="L60" s="349">
        <v>7.0000000000000007E-2</v>
      </c>
    </row>
    <row r="61" spans="1:12" ht="13.5" customHeight="1">
      <c r="A61" s="324"/>
      <c r="B61" s="325">
        <v>4</v>
      </c>
      <c r="C61" s="346" t="s">
        <v>246</v>
      </c>
      <c r="D61" s="347">
        <v>0.15000000596046448</v>
      </c>
      <c r="E61" s="348">
        <v>1.6</v>
      </c>
      <c r="F61" s="349">
        <v>9.4E-2</v>
      </c>
      <c r="G61" s="324"/>
      <c r="H61" s="325">
        <v>4</v>
      </c>
      <c r="I61" s="346" t="s">
        <v>216</v>
      </c>
      <c r="J61" s="347">
        <v>1.2000000104308128E-2</v>
      </c>
      <c r="K61" s="348">
        <v>0.22</v>
      </c>
      <c r="L61" s="349">
        <v>5.5E-2</v>
      </c>
    </row>
    <row r="62" spans="1:12" ht="13.5" customHeight="1">
      <c r="A62" s="324"/>
      <c r="B62" s="325">
        <v>5</v>
      </c>
      <c r="C62" s="346" t="s">
        <v>215</v>
      </c>
      <c r="D62" s="370" t="s">
        <v>211</v>
      </c>
      <c r="E62" s="371" t="s">
        <v>211</v>
      </c>
      <c r="F62" s="349">
        <v>7.0000000000000007E-2</v>
      </c>
      <c r="G62" s="324"/>
      <c r="H62" s="325">
        <v>5</v>
      </c>
      <c r="I62" s="346" t="s">
        <v>217</v>
      </c>
      <c r="J62" s="347">
        <v>6.0000000521540642E-3</v>
      </c>
      <c r="K62" s="348">
        <v>0.2</v>
      </c>
      <c r="L62" s="349">
        <v>0.03</v>
      </c>
    </row>
    <row r="63" spans="1:12" ht="13.5" customHeight="1">
      <c r="A63" s="324"/>
      <c r="B63" s="325">
        <v>6</v>
      </c>
      <c r="C63" s="346" t="s">
        <v>216</v>
      </c>
      <c r="D63" s="347">
        <v>8.999999612569809E-3</v>
      </c>
      <c r="E63" s="348">
        <v>0.22</v>
      </c>
      <c r="F63" s="349">
        <v>4.1000000000000002E-2</v>
      </c>
      <c r="G63" s="324"/>
      <c r="H63" s="325"/>
      <c r="I63" s="346" t="s">
        <v>218</v>
      </c>
      <c r="J63" s="370" t="s">
        <v>211</v>
      </c>
      <c r="K63" s="348" t="s">
        <v>219</v>
      </c>
      <c r="L63" s="349">
        <v>0.111</v>
      </c>
    </row>
    <row r="64" spans="1:12" ht="13.5" customHeight="1">
      <c r="A64" s="324"/>
      <c r="B64" s="325"/>
      <c r="C64" s="346" t="s">
        <v>218</v>
      </c>
      <c r="D64" s="370" t="s">
        <v>211</v>
      </c>
      <c r="E64" s="348" t="s">
        <v>219</v>
      </c>
      <c r="F64" s="349">
        <v>0.111</v>
      </c>
      <c r="G64" s="324"/>
      <c r="H64" s="325"/>
      <c r="I64" s="346"/>
      <c r="J64" s="347"/>
      <c r="K64" s="348"/>
      <c r="L64" s="349"/>
    </row>
    <row r="65" spans="1:12" ht="13.5" customHeight="1">
      <c r="A65" s="324"/>
      <c r="B65" s="325"/>
      <c r="C65" s="346"/>
      <c r="D65" s="347"/>
      <c r="E65" s="348"/>
      <c r="F65" s="349"/>
      <c r="G65" s="324"/>
      <c r="H65" s="325"/>
      <c r="I65" s="346"/>
      <c r="J65" s="347"/>
      <c r="K65" s="348"/>
      <c r="L65" s="349"/>
    </row>
    <row r="66" spans="1:12" ht="13.5" customHeight="1">
      <c r="A66" s="324"/>
      <c r="B66" s="325"/>
      <c r="C66" s="346"/>
      <c r="D66" s="347"/>
      <c r="E66" s="348"/>
      <c r="F66" s="349"/>
      <c r="G66" s="324"/>
      <c r="H66" s="325"/>
      <c r="I66" s="346"/>
      <c r="J66" s="347"/>
      <c r="K66" s="348"/>
      <c r="L66" s="349"/>
    </row>
    <row r="67" spans="1:12" ht="13.5" customHeight="1">
      <c r="A67" s="324"/>
      <c r="B67" s="325"/>
      <c r="C67" s="346"/>
      <c r="D67" s="347"/>
      <c r="E67" s="348"/>
      <c r="F67" s="349"/>
      <c r="G67" s="324"/>
      <c r="H67" s="325"/>
      <c r="I67" s="346"/>
      <c r="J67" s="347"/>
      <c r="K67" s="348"/>
      <c r="L67" s="349"/>
    </row>
    <row r="68" spans="1:12" ht="13.5" customHeight="1">
      <c r="A68" s="324"/>
      <c r="B68" s="325"/>
      <c r="C68" s="346"/>
      <c r="D68" s="347"/>
      <c r="E68" s="348"/>
      <c r="F68" s="349"/>
      <c r="G68" s="324"/>
      <c r="H68" s="325"/>
      <c r="I68" s="346"/>
      <c r="J68" s="347"/>
      <c r="K68" s="348"/>
      <c r="L68" s="349"/>
    </row>
    <row r="69" spans="1:12" ht="13.5" customHeight="1">
      <c r="A69" s="324"/>
      <c r="B69" s="325"/>
      <c r="C69" s="346"/>
      <c r="D69" s="347"/>
      <c r="E69" s="348"/>
      <c r="F69" s="349"/>
      <c r="G69" s="324"/>
      <c r="H69" s="325"/>
      <c r="I69" s="346"/>
      <c r="J69" s="347"/>
      <c r="K69" s="348"/>
      <c r="L69" s="349"/>
    </row>
    <row r="70" spans="1:12" ht="13.5" customHeight="1">
      <c r="A70" s="324"/>
      <c r="B70" s="325"/>
      <c r="C70" s="346"/>
      <c r="D70" s="347"/>
      <c r="E70" s="348"/>
      <c r="F70" s="349"/>
      <c r="G70" s="324"/>
      <c r="H70" s="325"/>
      <c r="I70" s="346"/>
      <c r="J70" s="347"/>
      <c r="K70" s="348"/>
      <c r="L70" s="349"/>
    </row>
    <row r="71" spans="1:12" ht="13.5" customHeight="1">
      <c r="A71" s="330"/>
      <c r="B71" s="331"/>
      <c r="C71" s="350"/>
      <c r="D71" s="351"/>
      <c r="E71" s="352"/>
      <c r="F71" s="353"/>
      <c r="G71" s="330"/>
      <c r="H71" s="331"/>
      <c r="I71" s="350"/>
      <c r="J71" s="351"/>
      <c r="K71" s="352"/>
      <c r="L71" s="353"/>
    </row>
    <row r="72" spans="1:12" ht="13.5" customHeight="1">
      <c r="A72" s="336"/>
      <c r="B72" s="337"/>
      <c r="C72" s="354" t="s">
        <v>220</v>
      </c>
      <c r="D72" s="355"/>
      <c r="E72" s="355"/>
      <c r="F72" s="356">
        <v>2.121</v>
      </c>
      <c r="G72" s="336"/>
      <c r="H72" s="337"/>
      <c r="I72" s="354" t="s">
        <v>220</v>
      </c>
      <c r="J72" s="355"/>
      <c r="K72" s="355"/>
      <c r="L72" s="356">
        <v>0.46200000000000002</v>
      </c>
    </row>
    <row r="73" spans="1:12" ht="13.5" customHeight="1">
      <c r="A73" s="357"/>
      <c r="B73" s="358"/>
      <c r="C73" s="359" t="s">
        <v>247</v>
      </c>
      <c r="D73" s="360"/>
      <c r="E73" s="361"/>
      <c r="F73" s="362"/>
      <c r="G73" s="357"/>
      <c r="H73" s="358"/>
      <c r="I73" s="359" t="s">
        <v>252</v>
      </c>
      <c r="J73" s="360"/>
      <c r="K73" s="361"/>
      <c r="L73" s="362"/>
    </row>
    <row r="74" spans="1:12" ht="13.5" customHeight="1">
      <c r="A74" s="318" t="s">
        <v>250</v>
      </c>
      <c r="B74" s="319"/>
      <c r="C74" s="320" t="s">
        <v>218</v>
      </c>
      <c r="D74" s="367" t="s">
        <v>211</v>
      </c>
      <c r="E74" s="322" t="s">
        <v>219</v>
      </c>
      <c r="F74" s="323">
        <v>0.111</v>
      </c>
      <c r="G74" s="318" t="s">
        <v>257</v>
      </c>
      <c r="H74" s="319"/>
      <c r="I74" s="320" t="s">
        <v>218</v>
      </c>
      <c r="J74" s="367" t="s">
        <v>211</v>
      </c>
      <c r="K74" s="322" t="s">
        <v>219</v>
      </c>
      <c r="L74" s="323">
        <v>0.111</v>
      </c>
    </row>
    <row r="75" spans="1:12" ht="13.5" customHeight="1">
      <c r="A75" s="324" t="s">
        <v>253</v>
      </c>
      <c r="B75" s="325">
        <v>1</v>
      </c>
      <c r="C75" s="326" t="s">
        <v>216</v>
      </c>
      <c r="D75" s="327">
        <v>1.2000000104308128E-2</v>
      </c>
      <c r="E75" s="328">
        <v>0.22</v>
      </c>
      <c r="F75" s="329">
        <v>5.5E-2</v>
      </c>
      <c r="G75" s="324" t="s">
        <v>258</v>
      </c>
      <c r="H75" s="325">
        <v>1</v>
      </c>
      <c r="I75" s="326" t="s">
        <v>259</v>
      </c>
      <c r="J75" s="327">
        <v>2.0000000949949026E-3</v>
      </c>
      <c r="K75" s="328">
        <v>0.19</v>
      </c>
      <c r="L75" s="329">
        <v>1.0999999999999999E-2</v>
      </c>
    </row>
    <row r="76" spans="1:12" ht="13.5" customHeight="1">
      <c r="A76" s="324"/>
      <c r="B76" s="325">
        <v>2</v>
      </c>
      <c r="C76" s="326" t="s">
        <v>215</v>
      </c>
      <c r="D76" s="368" t="s">
        <v>211</v>
      </c>
      <c r="E76" s="369" t="s">
        <v>211</v>
      </c>
      <c r="F76" s="329">
        <v>7.0000000000000007E-2</v>
      </c>
      <c r="G76" s="324"/>
      <c r="H76" s="325">
        <v>2</v>
      </c>
      <c r="I76" s="326" t="s">
        <v>260</v>
      </c>
      <c r="J76" s="327">
        <v>2.9999999329447746E-2</v>
      </c>
      <c r="K76" s="328">
        <v>1.5</v>
      </c>
      <c r="L76" s="329">
        <v>0.02</v>
      </c>
    </row>
    <row r="77" spans="1:12" ht="13.5" customHeight="1">
      <c r="A77" s="324"/>
      <c r="B77" s="325">
        <v>3</v>
      </c>
      <c r="C77" s="326" t="s">
        <v>216</v>
      </c>
      <c r="D77" s="327">
        <v>1.2000000104308128E-2</v>
      </c>
      <c r="E77" s="328">
        <v>0.22</v>
      </c>
      <c r="F77" s="329">
        <v>5.5E-2</v>
      </c>
      <c r="G77" s="324"/>
      <c r="H77" s="325">
        <v>3</v>
      </c>
      <c r="I77" s="326" t="s">
        <v>246</v>
      </c>
      <c r="J77" s="327">
        <v>0.15000000596046448</v>
      </c>
      <c r="K77" s="328">
        <v>1.6</v>
      </c>
      <c r="L77" s="329">
        <v>9.4E-2</v>
      </c>
    </row>
    <row r="78" spans="1:12" ht="13.5" customHeight="1">
      <c r="A78" s="324"/>
      <c r="B78" s="325"/>
      <c r="C78" s="326" t="s">
        <v>218</v>
      </c>
      <c r="D78" s="368" t="s">
        <v>211</v>
      </c>
      <c r="E78" s="328" t="s">
        <v>219</v>
      </c>
      <c r="F78" s="329">
        <v>0.111</v>
      </c>
      <c r="G78" s="324"/>
      <c r="H78" s="325">
        <v>4</v>
      </c>
      <c r="I78" s="326" t="s">
        <v>215</v>
      </c>
      <c r="J78" s="368" t="s">
        <v>211</v>
      </c>
      <c r="K78" s="369" t="s">
        <v>211</v>
      </c>
      <c r="L78" s="329">
        <v>7.0000000000000007E-2</v>
      </c>
    </row>
    <row r="79" spans="1:12" ht="13.5" customHeight="1">
      <c r="A79" s="324"/>
      <c r="B79" s="325"/>
      <c r="C79" s="326"/>
      <c r="D79" s="327"/>
      <c r="E79" s="328"/>
      <c r="F79" s="329"/>
      <c r="G79" s="324"/>
      <c r="H79" s="325">
        <v>5</v>
      </c>
      <c r="I79" s="326" t="s">
        <v>216</v>
      </c>
      <c r="J79" s="327">
        <v>8.999999612569809E-3</v>
      </c>
      <c r="K79" s="328">
        <v>0.22</v>
      </c>
      <c r="L79" s="329">
        <v>4.1000000000000002E-2</v>
      </c>
    </row>
    <row r="80" spans="1:12" ht="13.5" customHeight="1">
      <c r="A80" s="324"/>
      <c r="B80" s="325"/>
      <c r="C80" s="326"/>
      <c r="D80" s="327"/>
      <c r="E80" s="328"/>
      <c r="F80" s="329"/>
      <c r="G80" s="324"/>
      <c r="H80" s="325"/>
      <c r="I80" s="326" t="s">
        <v>218</v>
      </c>
      <c r="J80" s="368" t="s">
        <v>211</v>
      </c>
      <c r="K80" s="328" t="s">
        <v>219</v>
      </c>
      <c r="L80" s="329">
        <v>0.111</v>
      </c>
    </row>
    <row r="81" spans="1:12" ht="13.5" customHeight="1">
      <c r="A81" s="324"/>
      <c r="B81" s="325"/>
      <c r="C81" s="326"/>
      <c r="D81" s="327"/>
      <c r="E81" s="328"/>
      <c r="F81" s="329"/>
      <c r="G81" s="324"/>
      <c r="H81" s="325"/>
      <c r="I81" s="326"/>
      <c r="J81" s="327"/>
      <c r="K81" s="328"/>
      <c r="L81" s="329"/>
    </row>
    <row r="82" spans="1:12" ht="13.5" customHeight="1">
      <c r="A82" s="324"/>
      <c r="B82" s="325"/>
      <c r="C82" s="326"/>
      <c r="D82" s="327"/>
      <c r="E82" s="328"/>
      <c r="F82" s="329"/>
      <c r="G82" s="324"/>
      <c r="H82" s="325"/>
      <c r="I82" s="326"/>
      <c r="J82" s="327"/>
      <c r="K82" s="328"/>
      <c r="L82" s="329"/>
    </row>
    <row r="83" spans="1:12" ht="13.5" customHeight="1">
      <c r="A83" s="324"/>
      <c r="B83" s="325"/>
      <c r="C83" s="326"/>
      <c r="D83" s="327"/>
      <c r="E83" s="328"/>
      <c r="F83" s="329"/>
      <c r="G83" s="324"/>
      <c r="H83" s="325"/>
      <c r="I83" s="326"/>
      <c r="J83" s="327"/>
      <c r="K83" s="328"/>
      <c r="L83" s="329"/>
    </row>
    <row r="84" spans="1:12" ht="13.5" customHeight="1">
      <c r="A84" s="324"/>
      <c r="B84" s="325"/>
      <c r="C84" s="326"/>
      <c r="D84" s="327"/>
      <c r="E84" s="328"/>
      <c r="F84" s="329"/>
      <c r="G84" s="324"/>
      <c r="H84" s="325"/>
      <c r="I84" s="326"/>
      <c r="J84" s="327"/>
      <c r="K84" s="328"/>
      <c r="L84" s="329"/>
    </row>
    <row r="85" spans="1:12" ht="13.5" customHeight="1">
      <c r="A85" s="324"/>
      <c r="B85" s="325"/>
      <c r="C85" s="326"/>
      <c r="D85" s="327"/>
      <c r="E85" s="328"/>
      <c r="F85" s="329"/>
      <c r="G85" s="324"/>
      <c r="H85" s="325"/>
      <c r="I85" s="326"/>
      <c r="J85" s="327"/>
      <c r="K85" s="328"/>
      <c r="L85" s="329"/>
    </row>
    <row r="86" spans="1:12" ht="13.5" customHeight="1">
      <c r="A86" s="324"/>
      <c r="B86" s="325"/>
      <c r="C86" s="326"/>
      <c r="D86" s="327"/>
      <c r="E86" s="328"/>
      <c r="F86" s="329"/>
      <c r="G86" s="324"/>
      <c r="H86" s="325"/>
      <c r="I86" s="326"/>
      <c r="J86" s="327"/>
      <c r="K86" s="328"/>
      <c r="L86" s="329"/>
    </row>
    <row r="87" spans="1:12" ht="13.5" customHeight="1">
      <c r="A87" s="324"/>
      <c r="B87" s="325"/>
      <c r="C87" s="326"/>
      <c r="D87" s="327"/>
      <c r="E87" s="328"/>
      <c r="F87" s="329"/>
      <c r="G87" s="324"/>
      <c r="H87" s="325"/>
      <c r="I87" s="326"/>
      <c r="J87" s="327"/>
      <c r="K87" s="328"/>
      <c r="L87" s="329"/>
    </row>
    <row r="88" spans="1:12" ht="13.5" customHeight="1">
      <c r="A88" s="330"/>
      <c r="B88" s="331"/>
      <c r="C88" s="332"/>
      <c r="D88" s="333"/>
      <c r="E88" s="334"/>
      <c r="F88" s="335"/>
      <c r="G88" s="330"/>
      <c r="H88" s="331"/>
      <c r="I88" s="332"/>
      <c r="J88" s="333"/>
      <c r="K88" s="334"/>
      <c r="L88" s="335"/>
    </row>
    <row r="89" spans="1:12" ht="13.5" customHeight="1">
      <c r="A89" s="336"/>
      <c r="B89" s="337"/>
      <c r="C89" s="336" t="s">
        <v>220</v>
      </c>
      <c r="D89" s="338"/>
      <c r="E89" s="338"/>
      <c r="F89" s="339">
        <v>0.40200000000000002</v>
      </c>
      <c r="G89" s="336"/>
      <c r="H89" s="337"/>
      <c r="I89" s="336" t="s">
        <v>220</v>
      </c>
      <c r="J89" s="338"/>
      <c r="K89" s="338"/>
      <c r="L89" s="339">
        <v>0.45800000000000002</v>
      </c>
    </row>
    <row r="90" spans="1:12" ht="13.5" customHeight="1">
      <c r="A90" s="340"/>
      <c r="B90" s="341"/>
      <c r="C90" s="342" t="s">
        <v>254</v>
      </c>
      <c r="D90" s="343"/>
      <c r="E90" s="344"/>
      <c r="F90" s="345"/>
      <c r="G90" s="340"/>
      <c r="H90" s="341"/>
      <c r="I90" s="342" t="s">
        <v>261</v>
      </c>
      <c r="J90" s="343"/>
      <c r="K90" s="344"/>
      <c r="L90" s="345"/>
    </row>
    <row r="91" spans="1:12" ht="13.5" customHeight="1">
      <c r="A91" s="324" t="s">
        <v>250</v>
      </c>
      <c r="B91" s="325"/>
      <c r="C91" s="346" t="s">
        <v>218</v>
      </c>
      <c r="D91" s="370" t="s">
        <v>211</v>
      </c>
      <c r="E91" s="348" t="s">
        <v>219</v>
      </c>
      <c r="F91" s="349">
        <v>0.111</v>
      </c>
      <c r="G91" s="324" t="s">
        <v>257</v>
      </c>
      <c r="H91" s="325"/>
      <c r="I91" s="346" t="s">
        <v>218</v>
      </c>
      <c r="J91" s="370" t="s">
        <v>211</v>
      </c>
      <c r="K91" s="348" t="s">
        <v>219</v>
      </c>
      <c r="L91" s="349">
        <v>0.111</v>
      </c>
    </row>
    <row r="92" spans="1:12" ht="13.5" customHeight="1">
      <c r="A92" s="324" t="s">
        <v>255</v>
      </c>
      <c r="B92" s="325">
        <v>1</v>
      </c>
      <c r="C92" s="346" t="s">
        <v>217</v>
      </c>
      <c r="D92" s="347">
        <v>6.0000000521540642E-3</v>
      </c>
      <c r="E92" s="348">
        <v>0.2</v>
      </c>
      <c r="F92" s="349">
        <v>0.03</v>
      </c>
      <c r="G92" s="324" t="s">
        <v>262</v>
      </c>
      <c r="H92" s="325">
        <v>1</v>
      </c>
      <c r="I92" s="346" t="s">
        <v>216</v>
      </c>
      <c r="J92" s="347">
        <v>8.999999612569809E-3</v>
      </c>
      <c r="K92" s="348">
        <v>0.22</v>
      </c>
      <c r="L92" s="349">
        <v>4.1000000000000002E-2</v>
      </c>
    </row>
    <row r="93" spans="1:12" ht="13.5" customHeight="1">
      <c r="A93" s="324"/>
      <c r="B93" s="325">
        <v>2</v>
      </c>
      <c r="C93" s="346" t="s">
        <v>216</v>
      </c>
      <c r="D93" s="347">
        <v>1.2000000104308128E-2</v>
      </c>
      <c r="E93" s="348">
        <v>0.22</v>
      </c>
      <c r="F93" s="349">
        <v>5.5E-2</v>
      </c>
      <c r="G93" s="324"/>
      <c r="H93" s="325">
        <v>2</v>
      </c>
      <c r="I93" s="346" t="s">
        <v>217</v>
      </c>
      <c r="J93" s="347">
        <v>6.0000000521540642E-3</v>
      </c>
      <c r="K93" s="348">
        <v>0.2</v>
      </c>
      <c r="L93" s="349">
        <v>0.03</v>
      </c>
    </row>
    <row r="94" spans="1:12" ht="13.5" customHeight="1">
      <c r="A94" s="324"/>
      <c r="B94" s="325">
        <v>3</v>
      </c>
      <c r="C94" s="346" t="s">
        <v>215</v>
      </c>
      <c r="D94" s="370" t="s">
        <v>211</v>
      </c>
      <c r="E94" s="371" t="s">
        <v>211</v>
      </c>
      <c r="F94" s="349">
        <v>7.0000000000000007E-2</v>
      </c>
      <c r="G94" s="324"/>
      <c r="H94" s="325"/>
      <c r="I94" s="346" t="s">
        <v>218</v>
      </c>
      <c r="J94" s="370" t="s">
        <v>211</v>
      </c>
      <c r="K94" s="348" t="s">
        <v>219</v>
      </c>
      <c r="L94" s="349">
        <v>0.111</v>
      </c>
    </row>
    <row r="95" spans="1:12" ht="13.5" customHeight="1">
      <c r="A95" s="324"/>
      <c r="B95" s="325">
        <v>4</v>
      </c>
      <c r="C95" s="346" t="s">
        <v>216</v>
      </c>
      <c r="D95" s="347">
        <v>1.2000000104308128E-2</v>
      </c>
      <c r="E95" s="348">
        <v>0.22</v>
      </c>
      <c r="F95" s="349">
        <v>5.5E-2</v>
      </c>
      <c r="G95" s="324"/>
      <c r="H95" s="325"/>
      <c r="I95" s="346"/>
      <c r="J95" s="347"/>
      <c r="K95" s="348"/>
      <c r="L95" s="349"/>
    </row>
    <row r="96" spans="1:12" ht="13.5" customHeight="1">
      <c r="A96" s="324"/>
      <c r="B96" s="325"/>
      <c r="C96" s="346" t="s">
        <v>218</v>
      </c>
      <c r="D96" s="370" t="s">
        <v>211</v>
      </c>
      <c r="E96" s="348" t="s">
        <v>219</v>
      </c>
      <c r="F96" s="349">
        <v>0.111</v>
      </c>
      <c r="G96" s="324"/>
      <c r="H96" s="325"/>
      <c r="I96" s="346"/>
      <c r="J96" s="347"/>
      <c r="K96" s="348"/>
      <c r="L96" s="349"/>
    </row>
    <row r="97" spans="1:12" ht="13.5" customHeight="1">
      <c r="A97" s="324"/>
      <c r="B97" s="325"/>
      <c r="C97" s="346"/>
      <c r="D97" s="347"/>
      <c r="E97" s="348"/>
      <c r="F97" s="349"/>
      <c r="G97" s="324"/>
      <c r="H97" s="325"/>
      <c r="I97" s="346"/>
      <c r="J97" s="347"/>
      <c r="K97" s="348"/>
      <c r="L97" s="349"/>
    </row>
    <row r="98" spans="1:12" ht="13.5" customHeight="1">
      <c r="A98" s="324"/>
      <c r="B98" s="325"/>
      <c r="C98" s="346"/>
      <c r="D98" s="347"/>
      <c r="E98" s="348"/>
      <c r="F98" s="349"/>
      <c r="G98" s="324"/>
      <c r="H98" s="325"/>
      <c r="I98" s="346"/>
      <c r="J98" s="347"/>
      <c r="K98" s="348"/>
      <c r="L98" s="349"/>
    </row>
    <row r="99" spans="1:12" ht="13.5" customHeight="1">
      <c r="A99" s="324"/>
      <c r="B99" s="325"/>
      <c r="C99" s="346"/>
      <c r="D99" s="347"/>
      <c r="E99" s="348"/>
      <c r="F99" s="349"/>
      <c r="G99" s="324"/>
      <c r="H99" s="325"/>
      <c r="I99" s="346"/>
      <c r="J99" s="347"/>
      <c r="K99" s="348"/>
      <c r="L99" s="349"/>
    </row>
    <row r="100" spans="1:12" ht="13.5" customHeight="1">
      <c r="A100" s="324"/>
      <c r="B100" s="325"/>
      <c r="C100" s="346"/>
      <c r="D100" s="347"/>
      <c r="E100" s="348"/>
      <c r="F100" s="349"/>
      <c r="G100" s="324"/>
      <c r="H100" s="325"/>
      <c r="I100" s="346"/>
      <c r="J100" s="347"/>
      <c r="K100" s="348"/>
      <c r="L100" s="349"/>
    </row>
    <row r="101" spans="1:12" ht="13.5" customHeight="1">
      <c r="A101" s="324"/>
      <c r="B101" s="325"/>
      <c r="C101" s="346"/>
      <c r="D101" s="347"/>
      <c r="E101" s="348"/>
      <c r="F101" s="349"/>
      <c r="G101" s="324"/>
      <c r="H101" s="325"/>
      <c r="I101" s="346"/>
      <c r="J101" s="347"/>
      <c r="K101" s="348"/>
      <c r="L101" s="349"/>
    </row>
    <row r="102" spans="1:12" ht="13.5" customHeight="1">
      <c r="A102" s="324"/>
      <c r="B102" s="325"/>
      <c r="C102" s="346"/>
      <c r="D102" s="347"/>
      <c r="E102" s="348"/>
      <c r="F102" s="349"/>
      <c r="G102" s="324"/>
      <c r="H102" s="325"/>
      <c r="I102" s="346"/>
      <c r="J102" s="347"/>
      <c r="K102" s="348"/>
      <c r="L102" s="349"/>
    </row>
    <row r="103" spans="1:12" ht="13.5" customHeight="1">
      <c r="A103" s="324"/>
      <c r="B103" s="325"/>
      <c r="C103" s="346"/>
      <c r="D103" s="347"/>
      <c r="E103" s="348"/>
      <c r="F103" s="349"/>
      <c r="G103" s="324"/>
      <c r="H103" s="325"/>
      <c r="I103" s="346"/>
      <c r="J103" s="347"/>
      <c r="K103" s="348"/>
      <c r="L103" s="349"/>
    </row>
    <row r="104" spans="1:12" ht="13.5" customHeight="1">
      <c r="A104" s="324"/>
      <c r="B104" s="325"/>
      <c r="C104" s="346"/>
      <c r="D104" s="347"/>
      <c r="E104" s="348"/>
      <c r="F104" s="349"/>
      <c r="G104" s="324"/>
      <c r="H104" s="325"/>
      <c r="I104" s="346"/>
      <c r="J104" s="347"/>
      <c r="K104" s="348"/>
      <c r="L104" s="349"/>
    </row>
    <row r="105" spans="1:12" ht="13.5" customHeight="1">
      <c r="A105" s="330"/>
      <c r="B105" s="331"/>
      <c r="C105" s="350"/>
      <c r="D105" s="351"/>
      <c r="E105" s="352"/>
      <c r="F105" s="353"/>
      <c r="G105" s="330"/>
      <c r="H105" s="331"/>
      <c r="I105" s="350"/>
      <c r="J105" s="351"/>
      <c r="K105" s="352"/>
      <c r="L105" s="353"/>
    </row>
    <row r="106" spans="1:12" ht="13.5" customHeight="1">
      <c r="A106" s="336"/>
      <c r="B106" s="337"/>
      <c r="C106" s="354" t="s">
        <v>220</v>
      </c>
      <c r="D106" s="355"/>
      <c r="E106" s="355"/>
      <c r="F106" s="356">
        <v>0.432</v>
      </c>
      <c r="G106" s="336"/>
      <c r="H106" s="337"/>
      <c r="I106" s="354" t="s">
        <v>220</v>
      </c>
      <c r="J106" s="355"/>
      <c r="K106" s="355"/>
      <c r="L106" s="356">
        <v>0.29299999999999998</v>
      </c>
    </row>
    <row r="107" spans="1:12" ht="13.5" customHeight="1">
      <c r="A107" s="357"/>
      <c r="B107" s="358"/>
      <c r="C107" s="359" t="s">
        <v>256</v>
      </c>
      <c r="D107" s="360"/>
      <c r="E107" s="361"/>
      <c r="F107" s="362"/>
      <c r="G107" s="357"/>
      <c r="H107" s="358"/>
      <c r="I107" s="359" t="s">
        <v>263</v>
      </c>
      <c r="J107" s="360"/>
      <c r="K107" s="361"/>
      <c r="L107" s="362"/>
    </row>
    <row r="108" spans="1:12" ht="13.5" customHeight="1">
      <c r="A108" s="318" t="s">
        <v>257</v>
      </c>
      <c r="B108" s="319"/>
      <c r="C108" s="320" t="s">
        <v>218</v>
      </c>
      <c r="D108" s="367" t="s">
        <v>211</v>
      </c>
      <c r="E108" s="322" t="s">
        <v>219</v>
      </c>
      <c r="F108" s="323">
        <v>0.111</v>
      </c>
      <c r="G108" s="318" t="s">
        <v>266</v>
      </c>
      <c r="H108" s="319"/>
      <c r="I108" s="320" t="s">
        <v>218</v>
      </c>
      <c r="J108" s="367" t="s">
        <v>211</v>
      </c>
      <c r="K108" s="322" t="s">
        <v>219</v>
      </c>
      <c r="L108" s="323">
        <v>0.111</v>
      </c>
    </row>
    <row r="109" spans="1:12" ht="13.5" customHeight="1">
      <c r="A109" s="324" t="s">
        <v>264</v>
      </c>
      <c r="B109" s="325">
        <v>1</v>
      </c>
      <c r="C109" s="326" t="s">
        <v>259</v>
      </c>
      <c r="D109" s="327">
        <v>3.0000000260770321E-3</v>
      </c>
      <c r="E109" s="328">
        <v>0.19</v>
      </c>
      <c r="F109" s="329">
        <v>1.6E-2</v>
      </c>
      <c r="G109" s="324" t="s">
        <v>271</v>
      </c>
      <c r="H109" s="325">
        <v>1</v>
      </c>
      <c r="I109" s="326" t="s">
        <v>259</v>
      </c>
      <c r="J109" s="327">
        <v>3.0000000260770321E-3</v>
      </c>
      <c r="K109" s="328">
        <v>0.19</v>
      </c>
      <c r="L109" s="329">
        <v>1.6E-2</v>
      </c>
    </row>
    <row r="110" spans="1:12" ht="13.5" customHeight="1">
      <c r="A110" s="324"/>
      <c r="B110" s="325">
        <v>2</v>
      </c>
      <c r="C110" s="326" t="s">
        <v>260</v>
      </c>
      <c r="D110" s="327">
        <v>2.9999999329447746E-2</v>
      </c>
      <c r="E110" s="328">
        <v>1.5</v>
      </c>
      <c r="F110" s="329">
        <v>0.02</v>
      </c>
      <c r="G110" s="324"/>
      <c r="H110" s="325">
        <v>2</v>
      </c>
      <c r="I110" s="326" t="s">
        <v>260</v>
      </c>
      <c r="J110" s="327">
        <v>2.9999999329447746E-2</v>
      </c>
      <c r="K110" s="328">
        <v>1.5</v>
      </c>
      <c r="L110" s="329">
        <v>0.02</v>
      </c>
    </row>
    <row r="111" spans="1:12" ht="13.5" customHeight="1">
      <c r="A111" s="324"/>
      <c r="B111" s="325">
        <v>3</v>
      </c>
      <c r="C111" s="326" t="s">
        <v>246</v>
      </c>
      <c r="D111" s="327">
        <v>0.15000000596046448</v>
      </c>
      <c r="E111" s="328">
        <v>1.6</v>
      </c>
      <c r="F111" s="329">
        <v>9.4E-2</v>
      </c>
      <c r="G111" s="324"/>
      <c r="H111" s="325">
        <v>3</v>
      </c>
      <c r="I111" s="326" t="s">
        <v>246</v>
      </c>
      <c r="J111" s="327">
        <v>0.15000000596046448</v>
      </c>
      <c r="K111" s="328">
        <v>1.6</v>
      </c>
      <c r="L111" s="329">
        <v>9.4E-2</v>
      </c>
    </row>
    <row r="112" spans="1:12" ht="13.5" customHeight="1">
      <c r="A112" s="324"/>
      <c r="B112" s="325"/>
      <c r="C112" s="326" t="s">
        <v>218</v>
      </c>
      <c r="D112" s="368" t="s">
        <v>211</v>
      </c>
      <c r="E112" s="328" t="s">
        <v>219</v>
      </c>
      <c r="F112" s="329">
        <v>0.111</v>
      </c>
      <c r="G112" s="324"/>
      <c r="H112" s="325">
        <v>4</v>
      </c>
      <c r="I112" s="326" t="s">
        <v>215</v>
      </c>
      <c r="J112" s="368" t="s">
        <v>211</v>
      </c>
      <c r="K112" s="369" t="s">
        <v>211</v>
      </c>
      <c r="L112" s="329">
        <v>7.0000000000000007E-2</v>
      </c>
    </row>
    <row r="113" spans="1:12" ht="13.5" customHeight="1">
      <c r="A113" s="324"/>
      <c r="B113" s="325"/>
      <c r="C113" s="326"/>
      <c r="D113" s="327"/>
      <c r="E113" s="328"/>
      <c r="F113" s="329"/>
      <c r="G113" s="324"/>
      <c r="H113" s="325">
        <v>5</v>
      </c>
      <c r="I113" s="326" t="s">
        <v>246</v>
      </c>
      <c r="J113" s="327">
        <v>0.15000000596046448</v>
      </c>
      <c r="K113" s="328">
        <v>1.6</v>
      </c>
      <c r="L113" s="329">
        <v>9.4E-2</v>
      </c>
    </row>
    <row r="114" spans="1:12" ht="13.5" customHeight="1">
      <c r="A114" s="324"/>
      <c r="B114" s="325"/>
      <c r="C114" s="326"/>
      <c r="D114" s="327"/>
      <c r="E114" s="328"/>
      <c r="F114" s="329"/>
      <c r="G114" s="324"/>
      <c r="H114" s="325">
        <v>6</v>
      </c>
      <c r="I114" s="326" t="s">
        <v>268</v>
      </c>
      <c r="J114" s="327">
        <v>0.15000000596046448</v>
      </c>
      <c r="K114" s="328">
        <v>3.1</v>
      </c>
      <c r="L114" s="329">
        <v>4.8000000000000001E-2</v>
      </c>
    </row>
    <row r="115" spans="1:12" ht="13.5" customHeight="1">
      <c r="A115" s="324"/>
      <c r="B115" s="325"/>
      <c r="C115" s="326"/>
      <c r="D115" s="327"/>
      <c r="E115" s="328"/>
      <c r="F115" s="329"/>
      <c r="G115" s="324"/>
      <c r="H115" s="325">
        <v>7</v>
      </c>
      <c r="I115" s="326" t="s">
        <v>269</v>
      </c>
      <c r="J115" s="327">
        <v>1</v>
      </c>
      <c r="K115" s="328">
        <v>1</v>
      </c>
      <c r="L115" s="329">
        <v>1</v>
      </c>
    </row>
    <row r="116" spans="1:12" ht="13.5" customHeight="1">
      <c r="A116" s="324"/>
      <c r="B116" s="325"/>
      <c r="C116" s="326"/>
      <c r="D116" s="327"/>
      <c r="E116" s="328"/>
      <c r="F116" s="329"/>
      <c r="G116" s="324"/>
      <c r="H116" s="325"/>
      <c r="I116" s="326"/>
      <c r="J116" s="327"/>
      <c r="K116" s="328"/>
      <c r="L116" s="329"/>
    </row>
    <row r="117" spans="1:12" ht="13.5" customHeight="1">
      <c r="A117" s="324"/>
      <c r="B117" s="325"/>
      <c r="C117" s="326"/>
      <c r="D117" s="327"/>
      <c r="E117" s="328"/>
      <c r="F117" s="329"/>
      <c r="G117" s="324"/>
      <c r="H117" s="325"/>
      <c r="I117" s="326"/>
      <c r="J117" s="327"/>
      <c r="K117" s="328"/>
      <c r="L117" s="329"/>
    </row>
    <row r="118" spans="1:12" ht="13.5" customHeight="1">
      <c r="A118" s="324"/>
      <c r="B118" s="325"/>
      <c r="C118" s="326"/>
      <c r="D118" s="327"/>
      <c r="E118" s="328"/>
      <c r="F118" s="329"/>
      <c r="G118" s="324"/>
      <c r="H118" s="325"/>
      <c r="I118" s="326"/>
      <c r="J118" s="327"/>
      <c r="K118" s="328"/>
      <c r="L118" s="329"/>
    </row>
    <row r="119" spans="1:12" ht="13.5" customHeight="1">
      <c r="A119" s="324"/>
      <c r="B119" s="325"/>
      <c r="C119" s="326"/>
      <c r="D119" s="327"/>
      <c r="E119" s="328"/>
      <c r="F119" s="329"/>
      <c r="G119" s="324"/>
      <c r="H119" s="325"/>
      <c r="I119" s="326"/>
      <c r="J119" s="327"/>
      <c r="K119" s="328"/>
      <c r="L119" s="329"/>
    </row>
    <row r="120" spans="1:12" ht="13.5" customHeight="1">
      <c r="A120" s="324"/>
      <c r="B120" s="325"/>
      <c r="C120" s="326"/>
      <c r="D120" s="327"/>
      <c r="E120" s="328"/>
      <c r="F120" s="329"/>
      <c r="G120" s="324"/>
      <c r="H120" s="325"/>
      <c r="I120" s="326"/>
      <c r="J120" s="327"/>
      <c r="K120" s="328"/>
      <c r="L120" s="329"/>
    </row>
    <row r="121" spans="1:12" ht="13.5" customHeight="1">
      <c r="A121" s="324"/>
      <c r="B121" s="325"/>
      <c r="C121" s="326"/>
      <c r="D121" s="327"/>
      <c r="E121" s="328"/>
      <c r="F121" s="329"/>
      <c r="G121" s="324"/>
      <c r="H121" s="325"/>
      <c r="I121" s="326"/>
      <c r="J121" s="327"/>
      <c r="K121" s="328"/>
      <c r="L121" s="329"/>
    </row>
    <row r="122" spans="1:12" ht="13.5" customHeight="1">
      <c r="A122" s="330"/>
      <c r="B122" s="331"/>
      <c r="C122" s="332"/>
      <c r="D122" s="333"/>
      <c r="E122" s="334"/>
      <c r="F122" s="335"/>
      <c r="G122" s="330"/>
      <c r="H122" s="331"/>
      <c r="I122" s="332"/>
      <c r="J122" s="333"/>
      <c r="K122" s="334"/>
      <c r="L122" s="335"/>
    </row>
    <row r="123" spans="1:12" ht="13.5" customHeight="1">
      <c r="A123" s="336"/>
      <c r="B123" s="337"/>
      <c r="C123" s="336" t="s">
        <v>220</v>
      </c>
      <c r="D123" s="338"/>
      <c r="E123" s="338"/>
      <c r="F123" s="339">
        <v>0.35199999999999998</v>
      </c>
      <c r="G123" s="336"/>
      <c r="H123" s="337"/>
      <c r="I123" s="336" t="s">
        <v>220</v>
      </c>
      <c r="J123" s="338"/>
      <c r="K123" s="338"/>
      <c r="L123" s="339">
        <v>1.4530000000000001</v>
      </c>
    </row>
    <row r="124" spans="1:12" ht="13.5" customHeight="1">
      <c r="A124" s="340"/>
      <c r="B124" s="341"/>
      <c r="C124" s="342" t="s">
        <v>265</v>
      </c>
      <c r="D124" s="343"/>
      <c r="E124" s="344"/>
      <c r="F124" s="345"/>
      <c r="G124" s="340"/>
      <c r="H124" s="341"/>
      <c r="I124" s="342" t="s">
        <v>272</v>
      </c>
      <c r="J124" s="343"/>
      <c r="K124" s="344"/>
      <c r="L124" s="345"/>
    </row>
    <row r="125" spans="1:12" ht="13.5" customHeight="1">
      <c r="A125" s="324" t="s">
        <v>266</v>
      </c>
      <c r="B125" s="325"/>
      <c r="C125" s="346" t="s">
        <v>218</v>
      </c>
      <c r="D125" s="370" t="s">
        <v>211</v>
      </c>
      <c r="E125" s="348" t="s">
        <v>219</v>
      </c>
      <c r="F125" s="349">
        <v>0.111</v>
      </c>
      <c r="G125" s="324" t="s">
        <v>273</v>
      </c>
      <c r="H125" s="325"/>
      <c r="I125" s="346" t="s">
        <v>218</v>
      </c>
      <c r="J125" s="370" t="s">
        <v>211</v>
      </c>
      <c r="K125" s="348" t="s">
        <v>219</v>
      </c>
      <c r="L125" s="349">
        <v>0.111</v>
      </c>
    </row>
    <row r="126" spans="1:12" ht="13.5" customHeight="1">
      <c r="A126" s="324" t="s">
        <v>267</v>
      </c>
      <c r="B126" s="325">
        <v>1</v>
      </c>
      <c r="C126" s="346" t="s">
        <v>259</v>
      </c>
      <c r="D126" s="347">
        <v>3.0000000260770321E-3</v>
      </c>
      <c r="E126" s="348">
        <v>0.19</v>
      </c>
      <c r="F126" s="349">
        <v>1.6E-2</v>
      </c>
      <c r="G126" s="324" t="s">
        <v>274</v>
      </c>
      <c r="H126" s="325">
        <v>1</v>
      </c>
      <c r="I126" s="346" t="s">
        <v>216</v>
      </c>
      <c r="J126" s="347">
        <v>1.2000000104308128E-2</v>
      </c>
      <c r="K126" s="348">
        <v>0.22</v>
      </c>
      <c r="L126" s="349">
        <v>5.5E-2</v>
      </c>
    </row>
    <row r="127" spans="1:12" ht="13.5" customHeight="1">
      <c r="A127" s="324"/>
      <c r="B127" s="325">
        <v>2</v>
      </c>
      <c r="C127" s="346" t="s">
        <v>260</v>
      </c>
      <c r="D127" s="347">
        <v>2.9999999329447746E-2</v>
      </c>
      <c r="E127" s="348">
        <v>1.5</v>
      </c>
      <c r="F127" s="349">
        <v>0.02</v>
      </c>
      <c r="G127" s="324"/>
      <c r="H127" s="325">
        <v>2</v>
      </c>
      <c r="I127" s="346" t="s">
        <v>215</v>
      </c>
      <c r="J127" s="370" t="s">
        <v>211</v>
      </c>
      <c r="K127" s="371" t="s">
        <v>211</v>
      </c>
      <c r="L127" s="349">
        <v>7.0000000000000007E-2</v>
      </c>
    </row>
    <row r="128" spans="1:12" ht="13.5" customHeight="1">
      <c r="A128" s="324"/>
      <c r="B128" s="325">
        <v>3</v>
      </c>
      <c r="C128" s="346" t="s">
        <v>246</v>
      </c>
      <c r="D128" s="347">
        <v>0.15000000596046448</v>
      </c>
      <c r="E128" s="348">
        <v>1.6</v>
      </c>
      <c r="F128" s="349">
        <v>9.4E-2</v>
      </c>
      <c r="G128" s="324"/>
      <c r="H128" s="325">
        <v>3</v>
      </c>
      <c r="I128" s="346" t="s">
        <v>275</v>
      </c>
      <c r="J128" s="347">
        <v>0.10000000149011612</v>
      </c>
      <c r="K128" s="348">
        <v>0.53</v>
      </c>
      <c r="L128" s="349">
        <v>0.189</v>
      </c>
    </row>
    <row r="129" spans="1:12" ht="13.5" customHeight="1">
      <c r="A129" s="324"/>
      <c r="B129" s="325">
        <v>4</v>
      </c>
      <c r="C129" s="346" t="s">
        <v>268</v>
      </c>
      <c r="D129" s="347">
        <v>0.15000000596046448</v>
      </c>
      <c r="E129" s="348">
        <v>3.1</v>
      </c>
      <c r="F129" s="349">
        <v>4.8000000000000001E-2</v>
      </c>
      <c r="G129" s="324"/>
      <c r="H129" s="325">
        <v>4</v>
      </c>
      <c r="I129" s="346" t="s">
        <v>215</v>
      </c>
      <c r="J129" s="370" t="s">
        <v>211</v>
      </c>
      <c r="K129" s="371" t="s">
        <v>211</v>
      </c>
      <c r="L129" s="349">
        <v>7.0000000000000007E-2</v>
      </c>
    </row>
    <row r="130" spans="1:12" ht="13.5" customHeight="1">
      <c r="A130" s="324"/>
      <c r="B130" s="325">
        <v>5</v>
      </c>
      <c r="C130" s="346" t="s">
        <v>269</v>
      </c>
      <c r="D130" s="347">
        <v>1</v>
      </c>
      <c r="E130" s="348">
        <v>1</v>
      </c>
      <c r="F130" s="349">
        <v>1</v>
      </c>
      <c r="G130" s="324"/>
      <c r="H130" s="325">
        <v>5</v>
      </c>
      <c r="I130" s="346" t="s">
        <v>246</v>
      </c>
      <c r="J130" s="347">
        <v>0.15000000596046448</v>
      </c>
      <c r="K130" s="348">
        <v>1.6</v>
      </c>
      <c r="L130" s="349">
        <v>9.4E-2</v>
      </c>
    </row>
    <row r="131" spans="1:12" ht="13.5" customHeight="1">
      <c r="A131" s="324"/>
      <c r="B131" s="325"/>
      <c r="C131" s="346"/>
      <c r="D131" s="347"/>
      <c r="E131" s="348"/>
      <c r="F131" s="349"/>
      <c r="G131" s="324"/>
      <c r="H131" s="325">
        <v>6</v>
      </c>
      <c r="I131" s="346" t="s">
        <v>269</v>
      </c>
      <c r="J131" s="347">
        <v>1</v>
      </c>
      <c r="K131" s="348">
        <v>1</v>
      </c>
      <c r="L131" s="349">
        <v>1</v>
      </c>
    </row>
    <row r="132" spans="1:12" ht="13.5" customHeight="1">
      <c r="A132" s="324"/>
      <c r="B132" s="325"/>
      <c r="C132" s="346"/>
      <c r="D132" s="347"/>
      <c r="E132" s="348"/>
      <c r="F132" s="349"/>
      <c r="G132" s="324"/>
      <c r="H132" s="325"/>
      <c r="I132" s="346"/>
      <c r="J132" s="347"/>
      <c r="K132" s="348"/>
      <c r="L132" s="349"/>
    </row>
    <row r="133" spans="1:12" ht="13.5" customHeight="1">
      <c r="A133" s="324"/>
      <c r="B133" s="325"/>
      <c r="C133" s="346"/>
      <c r="D133" s="347"/>
      <c r="E133" s="348"/>
      <c r="F133" s="349"/>
      <c r="G133" s="324"/>
      <c r="H133" s="325"/>
      <c r="I133" s="346"/>
      <c r="J133" s="347"/>
      <c r="K133" s="348"/>
      <c r="L133" s="349"/>
    </row>
    <row r="134" spans="1:12" ht="13.5" customHeight="1">
      <c r="A134" s="324"/>
      <c r="B134" s="325"/>
      <c r="C134" s="346"/>
      <c r="D134" s="347"/>
      <c r="E134" s="348"/>
      <c r="F134" s="349"/>
      <c r="G134" s="324"/>
      <c r="H134" s="325"/>
      <c r="I134" s="346"/>
      <c r="J134" s="347"/>
      <c r="K134" s="348"/>
      <c r="L134" s="349"/>
    </row>
    <row r="135" spans="1:12" ht="13.5" customHeight="1">
      <c r="A135" s="324"/>
      <c r="B135" s="325"/>
      <c r="C135" s="346"/>
      <c r="D135" s="347"/>
      <c r="E135" s="348"/>
      <c r="F135" s="349"/>
      <c r="G135" s="324"/>
      <c r="H135" s="325"/>
      <c r="I135" s="346"/>
      <c r="J135" s="347"/>
      <c r="K135" s="348"/>
      <c r="L135" s="349"/>
    </row>
    <row r="136" spans="1:12" ht="13.5" customHeight="1">
      <c r="A136" s="324"/>
      <c r="B136" s="325"/>
      <c r="C136" s="346"/>
      <c r="D136" s="347"/>
      <c r="E136" s="348"/>
      <c r="F136" s="349"/>
      <c r="G136" s="324"/>
      <c r="H136" s="325"/>
      <c r="I136" s="346"/>
      <c r="J136" s="347"/>
      <c r="K136" s="348"/>
      <c r="L136" s="349"/>
    </row>
    <row r="137" spans="1:12" ht="13.5" customHeight="1">
      <c r="A137" s="324"/>
      <c r="B137" s="325"/>
      <c r="C137" s="346"/>
      <c r="D137" s="347"/>
      <c r="E137" s="348"/>
      <c r="F137" s="349"/>
      <c r="G137" s="324"/>
      <c r="H137" s="325"/>
      <c r="I137" s="346"/>
      <c r="J137" s="347"/>
      <c r="K137" s="348"/>
      <c r="L137" s="349"/>
    </row>
    <row r="138" spans="1:12" ht="13.5" customHeight="1">
      <c r="A138" s="324"/>
      <c r="B138" s="325"/>
      <c r="C138" s="346"/>
      <c r="D138" s="347"/>
      <c r="E138" s="348"/>
      <c r="F138" s="349"/>
      <c r="G138" s="324"/>
      <c r="H138" s="325"/>
      <c r="I138" s="346"/>
      <c r="J138" s="347"/>
      <c r="K138" s="348"/>
      <c r="L138" s="349"/>
    </row>
    <row r="139" spans="1:12" ht="13.5" customHeight="1">
      <c r="A139" s="330"/>
      <c r="B139" s="331"/>
      <c r="C139" s="350"/>
      <c r="D139" s="351"/>
      <c r="E139" s="352"/>
      <c r="F139" s="353"/>
      <c r="G139" s="330"/>
      <c r="H139" s="331"/>
      <c r="I139" s="350"/>
      <c r="J139" s="351"/>
      <c r="K139" s="352"/>
      <c r="L139" s="353"/>
    </row>
    <row r="140" spans="1:12" ht="13.5" customHeight="1">
      <c r="A140" s="336"/>
      <c r="B140" s="337"/>
      <c r="C140" s="354" t="s">
        <v>220</v>
      </c>
      <c r="D140" s="355"/>
      <c r="E140" s="355"/>
      <c r="F140" s="356">
        <v>1.2889999999999999</v>
      </c>
      <c r="G140" s="336"/>
      <c r="H140" s="337"/>
      <c r="I140" s="354" t="s">
        <v>220</v>
      </c>
      <c r="J140" s="355"/>
      <c r="K140" s="355"/>
      <c r="L140" s="356">
        <v>1.589</v>
      </c>
    </row>
    <row r="141" spans="1:12" ht="13.5" customHeight="1">
      <c r="A141" s="357"/>
      <c r="B141" s="358"/>
      <c r="C141" s="359" t="s">
        <v>270</v>
      </c>
      <c r="D141" s="360"/>
      <c r="E141" s="361"/>
      <c r="F141" s="362"/>
      <c r="G141" s="357"/>
      <c r="H141" s="358"/>
      <c r="I141" s="359" t="s">
        <v>276</v>
      </c>
      <c r="J141" s="360"/>
      <c r="K141" s="361"/>
      <c r="L141" s="362"/>
    </row>
    <row r="142" spans="1:12" ht="13.5" customHeight="1">
      <c r="G142" s="365"/>
      <c r="I142" s="365"/>
    </row>
    <row r="143" spans="1:12" ht="13.5" customHeight="1">
      <c r="G143" s="365"/>
      <c r="I143" s="365"/>
    </row>
    <row r="144" spans="1:12" ht="13.5" customHeight="1">
      <c r="G144" s="365"/>
      <c r="I144" s="365"/>
    </row>
    <row r="145" spans="1:12" ht="13.5" customHeight="1">
      <c r="G145" s="365"/>
      <c r="I145" s="365"/>
    </row>
    <row r="146" spans="1:12" ht="13.5" customHeight="1">
      <c r="G146" s="365"/>
      <c r="I146" s="365"/>
    </row>
    <row r="147" spans="1:12" ht="13.5" customHeight="1">
      <c r="G147" s="365"/>
      <c r="I147" s="365"/>
    </row>
    <row r="148" spans="1:12" ht="13.5" customHeight="1">
      <c r="G148" s="365"/>
      <c r="I148" s="365"/>
    </row>
    <row r="149" spans="1:12" ht="13.5" customHeight="1">
      <c r="G149" s="365"/>
      <c r="I149" s="365"/>
    </row>
    <row r="150" spans="1:12" ht="13.5" customHeight="1">
      <c r="G150" s="365"/>
      <c r="I150" s="365"/>
    </row>
    <row r="151" spans="1:12" s="364" customFormat="1" ht="13.5" customHeight="1">
      <c r="A151" s="302"/>
      <c r="B151" s="363"/>
      <c r="C151" s="302"/>
      <c r="E151" s="365"/>
      <c r="F151" s="365"/>
      <c r="G151" s="365"/>
      <c r="H151" s="363"/>
      <c r="I151" s="365"/>
      <c r="K151" s="365"/>
      <c r="L151" s="365"/>
    </row>
    <row r="152" spans="1:12" s="364" customFormat="1" ht="13.5" customHeight="1">
      <c r="A152" s="302"/>
      <c r="B152" s="363"/>
      <c r="C152" s="302"/>
      <c r="E152" s="365"/>
      <c r="F152" s="365"/>
      <c r="G152" s="365"/>
      <c r="H152" s="363"/>
      <c r="I152" s="365"/>
      <c r="K152" s="365"/>
      <c r="L152" s="365"/>
    </row>
    <row r="153" spans="1:12" s="364" customFormat="1" ht="13.5" customHeight="1">
      <c r="A153" s="302"/>
      <c r="B153" s="363"/>
      <c r="C153" s="302"/>
      <c r="E153" s="365"/>
      <c r="F153" s="365"/>
      <c r="G153" s="365"/>
      <c r="H153" s="363"/>
      <c r="I153" s="365"/>
      <c r="K153" s="365"/>
      <c r="L153" s="365"/>
    </row>
    <row r="154" spans="1:12" s="364" customFormat="1" ht="13.5" customHeight="1">
      <c r="A154" s="302"/>
      <c r="B154" s="363"/>
      <c r="C154" s="302"/>
      <c r="E154" s="365"/>
      <c r="F154" s="365"/>
      <c r="G154" s="365"/>
      <c r="H154" s="363"/>
      <c r="I154" s="365"/>
      <c r="K154" s="365"/>
      <c r="L154" s="365"/>
    </row>
    <row r="155" spans="1:12" s="364" customFormat="1" ht="13.5" customHeight="1">
      <c r="A155" s="302"/>
      <c r="B155" s="363"/>
      <c r="C155" s="302"/>
      <c r="E155" s="365"/>
      <c r="F155" s="365"/>
      <c r="G155" s="365"/>
      <c r="H155" s="363"/>
      <c r="I155" s="365"/>
      <c r="K155" s="365"/>
      <c r="L155" s="365"/>
    </row>
    <row r="156" spans="1:12" s="364" customFormat="1" ht="13.5" customHeight="1">
      <c r="A156" s="302"/>
      <c r="B156" s="363"/>
      <c r="C156" s="302"/>
      <c r="E156" s="365"/>
      <c r="F156" s="365"/>
      <c r="G156" s="365"/>
      <c r="H156" s="363"/>
      <c r="I156" s="365"/>
      <c r="K156" s="365"/>
      <c r="L156" s="365"/>
    </row>
    <row r="157" spans="1:12" s="364" customFormat="1" ht="13.5" customHeight="1">
      <c r="A157" s="302"/>
      <c r="B157" s="363"/>
      <c r="C157" s="302"/>
      <c r="E157" s="365"/>
      <c r="F157" s="365"/>
      <c r="G157" s="365"/>
      <c r="H157" s="363"/>
      <c r="I157" s="365"/>
      <c r="K157" s="365"/>
      <c r="L157" s="365"/>
    </row>
    <row r="158" spans="1:12" s="364" customFormat="1" ht="13.5" customHeight="1">
      <c r="A158" s="302"/>
      <c r="B158" s="363"/>
      <c r="C158" s="302"/>
      <c r="E158" s="365"/>
      <c r="F158" s="365"/>
      <c r="G158" s="365"/>
      <c r="H158" s="363"/>
      <c r="I158" s="365"/>
      <c r="K158" s="365"/>
      <c r="L158" s="365"/>
    </row>
    <row r="159" spans="1:12" s="364" customFormat="1" ht="13.5" customHeight="1">
      <c r="A159" s="302"/>
      <c r="B159" s="363"/>
      <c r="C159" s="302"/>
      <c r="E159" s="365"/>
      <c r="F159" s="365"/>
      <c r="G159" s="365"/>
      <c r="H159" s="363"/>
      <c r="I159" s="365"/>
      <c r="K159" s="365"/>
      <c r="L159" s="365"/>
    </row>
    <row r="160" spans="1:12" s="364" customFormat="1" ht="13.5" customHeight="1">
      <c r="A160" s="302"/>
      <c r="B160" s="363"/>
      <c r="C160" s="302"/>
      <c r="E160" s="365"/>
      <c r="F160" s="365"/>
      <c r="G160" s="365"/>
      <c r="H160" s="363"/>
      <c r="I160" s="365"/>
      <c r="K160" s="365"/>
      <c r="L160" s="365"/>
    </row>
    <row r="161" spans="1:12" s="364" customFormat="1" ht="13.5" customHeight="1">
      <c r="A161" s="302"/>
      <c r="B161" s="363"/>
      <c r="C161" s="302"/>
      <c r="E161" s="365"/>
      <c r="F161" s="365"/>
      <c r="G161" s="365"/>
      <c r="H161" s="363"/>
      <c r="I161" s="365"/>
      <c r="K161" s="365"/>
      <c r="L161" s="365"/>
    </row>
    <row r="162" spans="1:12" s="364" customFormat="1" ht="13.5" customHeight="1">
      <c r="A162" s="302"/>
      <c r="B162" s="363"/>
      <c r="C162" s="302"/>
      <c r="E162" s="365"/>
      <c r="F162" s="365"/>
      <c r="G162" s="365"/>
      <c r="H162" s="363"/>
      <c r="I162" s="365"/>
      <c r="K162" s="365"/>
      <c r="L162" s="365"/>
    </row>
    <row r="163" spans="1:12" s="364" customFormat="1" ht="13.5" customHeight="1">
      <c r="A163" s="302"/>
      <c r="B163" s="363"/>
      <c r="C163" s="302"/>
      <c r="E163" s="365"/>
      <c r="F163" s="365"/>
      <c r="G163" s="365"/>
      <c r="H163" s="363"/>
      <c r="I163" s="365"/>
      <c r="K163" s="365"/>
      <c r="L163" s="365"/>
    </row>
    <row r="164" spans="1:12" s="364" customFormat="1" ht="13.5" customHeight="1">
      <c r="A164" s="302"/>
      <c r="B164" s="363"/>
      <c r="C164" s="302"/>
      <c r="E164" s="365"/>
      <c r="F164" s="365"/>
      <c r="G164" s="365"/>
      <c r="H164" s="363"/>
      <c r="I164" s="365"/>
      <c r="K164" s="365"/>
      <c r="L164" s="365"/>
    </row>
    <row r="165" spans="1:12" s="364" customFormat="1" ht="13.5" customHeight="1">
      <c r="A165" s="302"/>
      <c r="B165" s="363"/>
      <c r="C165" s="302"/>
      <c r="E165" s="365"/>
      <c r="F165" s="365"/>
      <c r="G165" s="365"/>
      <c r="H165" s="363"/>
      <c r="I165" s="365"/>
      <c r="K165" s="365"/>
      <c r="L165" s="365"/>
    </row>
    <row r="166" spans="1:12" s="364" customFormat="1" ht="13.5" customHeight="1">
      <c r="A166" s="302"/>
      <c r="B166" s="363"/>
      <c r="C166" s="302"/>
      <c r="E166" s="365"/>
      <c r="F166" s="365"/>
      <c r="G166" s="365"/>
      <c r="H166" s="363"/>
      <c r="I166" s="365"/>
      <c r="K166" s="365"/>
      <c r="L166" s="365"/>
    </row>
    <row r="167" spans="1:12" s="364" customFormat="1" ht="13.5" customHeight="1">
      <c r="A167" s="302"/>
      <c r="B167" s="363"/>
      <c r="C167" s="302"/>
      <c r="E167" s="365"/>
      <c r="F167" s="365"/>
      <c r="G167" s="365"/>
      <c r="H167" s="363"/>
      <c r="I167" s="365"/>
      <c r="K167" s="365"/>
      <c r="L167" s="365"/>
    </row>
    <row r="168" spans="1:12" s="364" customFormat="1" ht="13.5" customHeight="1">
      <c r="A168" s="302"/>
      <c r="B168" s="363"/>
      <c r="C168" s="302"/>
      <c r="E168" s="365"/>
      <c r="F168" s="365"/>
      <c r="G168" s="365"/>
      <c r="H168" s="363"/>
      <c r="I168" s="365"/>
      <c r="K168" s="365"/>
      <c r="L168" s="365"/>
    </row>
    <row r="169" spans="1:12" s="364" customFormat="1" ht="13.5" customHeight="1">
      <c r="A169" s="302"/>
      <c r="B169" s="363"/>
      <c r="C169" s="302"/>
      <c r="E169" s="365"/>
      <c r="F169" s="365"/>
      <c r="G169" s="365"/>
      <c r="H169" s="363"/>
      <c r="I169" s="365"/>
      <c r="K169" s="365"/>
      <c r="L169" s="365"/>
    </row>
    <row r="170" spans="1:12" s="364" customFormat="1" ht="13.5" customHeight="1">
      <c r="A170" s="302"/>
      <c r="B170" s="363"/>
      <c r="C170" s="302"/>
      <c r="E170" s="365"/>
      <c r="F170" s="365"/>
      <c r="G170" s="365"/>
      <c r="H170" s="363"/>
      <c r="I170" s="365"/>
      <c r="K170" s="365"/>
      <c r="L170" s="365"/>
    </row>
    <row r="171" spans="1:12" s="364" customFormat="1" ht="13.5" customHeight="1">
      <c r="A171" s="302"/>
      <c r="B171" s="363"/>
      <c r="C171" s="302"/>
      <c r="E171" s="365"/>
      <c r="F171" s="365"/>
      <c r="G171" s="365"/>
      <c r="H171" s="363"/>
      <c r="I171" s="365"/>
      <c r="K171" s="365"/>
      <c r="L171" s="365"/>
    </row>
    <row r="172" spans="1:12" s="364" customFormat="1" ht="13.5" customHeight="1">
      <c r="A172" s="302"/>
      <c r="B172" s="363"/>
      <c r="C172" s="302"/>
      <c r="E172" s="365"/>
      <c r="F172" s="365"/>
      <c r="G172" s="365"/>
      <c r="H172" s="363"/>
      <c r="I172" s="365"/>
      <c r="K172" s="365"/>
      <c r="L172" s="365"/>
    </row>
    <row r="173" spans="1:12" s="364" customFormat="1" ht="13.5" customHeight="1">
      <c r="A173" s="302"/>
      <c r="B173" s="363"/>
      <c r="C173" s="302"/>
      <c r="E173" s="365"/>
      <c r="F173" s="365"/>
      <c r="G173" s="365"/>
      <c r="H173" s="363"/>
      <c r="I173" s="365"/>
      <c r="K173" s="365"/>
      <c r="L173" s="365"/>
    </row>
    <row r="174" spans="1:12" s="364" customFormat="1" ht="13.5" customHeight="1">
      <c r="A174" s="302"/>
      <c r="B174" s="363"/>
      <c r="C174" s="302"/>
      <c r="E174" s="365"/>
      <c r="F174" s="365"/>
      <c r="G174" s="365"/>
      <c r="H174" s="363"/>
      <c r="I174" s="365"/>
      <c r="K174" s="365"/>
      <c r="L174" s="365"/>
    </row>
    <row r="175" spans="1:12" s="364" customFormat="1" ht="13.5" customHeight="1">
      <c r="A175" s="302"/>
      <c r="B175" s="363"/>
      <c r="C175" s="302"/>
      <c r="E175" s="365"/>
      <c r="F175" s="365"/>
      <c r="G175" s="365"/>
      <c r="H175" s="363"/>
      <c r="I175" s="365"/>
      <c r="K175" s="365"/>
      <c r="L175" s="365"/>
    </row>
    <row r="176" spans="1:12" s="364" customFormat="1" ht="13.5" customHeight="1">
      <c r="A176" s="302"/>
      <c r="B176" s="363"/>
      <c r="C176" s="302"/>
      <c r="E176" s="365"/>
      <c r="F176" s="365"/>
      <c r="G176" s="365"/>
      <c r="H176" s="363"/>
      <c r="I176" s="365"/>
      <c r="K176" s="365"/>
      <c r="L176" s="365"/>
    </row>
    <row r="177" spans="1:12" s="364" customFormat="1" ht="13.5" customHeight="1">
      <c r="A177" s="302"/>
      <c r="B177" s="363"/>
      <c r="C177" s="302"/>
      <c r="E177" s="365"/>
      <c r="F177" s="365"/>
      <c r="G177" s="365"/>
      <c r="H177" s="363"/>
      <c r="I177" s="365"/>
      <c r="K177" s="365"/>
      <c r="L177" s="365"/>
    </row>
    <row r="178" spans="1:12" s="364" customFormat="1" ht="13.5" customHeight="1">
      <c r="A178" s="302"/>
      <c r="B178" s="363"/>
      <c r="C178" s="302"/>
      <c r="E178" s="365"/>
      <c r="F178" s="365"/>
      <c r="G178" s="365"/>
      <c r="H178" s="363"/>
      <c r="I178" s="365"/>
      <c r="K178" s="365"/>
      <c r="L178" s="365"/>
    </row>
    <row r="179" spans="1:12" s="364" customFormat="1" ht="13.5" customHeight="1">
      <c r="A179" s="302"/>
      <c r="B179" s="363"/>
      <c r="C179" s="302"/>
      <c r="E179" s="365"/>
      <c r="F179" s="365"/>
      <c r="G179" s="365"/>
      <c r="H179" s="363"/>
      <c r="I179" s="365"/>
      <c r="K179" s="365"/>
      <c r="L179" s="365"/>
    </row>
    <row r="180" spans="1:12" s="364" customFormat="1" ht="13.5" customHeight="1">
      <c r="A180" s="302"/>
      <c r="B180" s="363"/>
      <c r="C180" s="302"/>
      <c r="E180" s="365"/>
      <c r="F180" s="365"/>
      <c r="G180" s="365"/>
      <c r="H180" s="363"/>
      <c r="I180" s="365"/>
      <c r="K180" s="365"/>
      <c r="L180" s="365"/>
    </row>
    <row r="181" spans="1:12" s="364" customFormat="1" ht="13.5" customHeight="1">
      <c r="A181" s="302"/>
      <c r="B181" s="363"/>
      <c r="C181" s="302"/>
      <c r="E181" s="365"/>
      <c r="F181" s="365"/>
      <c r="G181" s="365"/>
      <c r="H181" s="363"/>
      <c r="I181" s="365"/>
      <c r="K181" s="365"/>
      <c r="L181" s="365"/>
    </row>
    <row r="182" spans="1:12" s="364" customFormat="1" ht="13.5" customHeight="1">
      <c r="A182" s="302"/>
      <c r="B182" s="363"/>
      <c r="C182" s="302"/>
      <c r="E182" s="365"/>
      <c r="F182" s="365"/>
      <c r="G182" s="365"/>
      <c r="H182" s="363"/>
      <c r="I182" s="365"/>
      <c r="K182" s="365"/>
      <c r="L182" s="365"/>
    </row>
    <row r="183" spans="1:12" s="364" customFormat="1" ht="13.5" customHeight="1">
      <c r="A183" s="302"/>
      <c r="B183" s="363"/>
      <c r="C183" s="302"/>
      <c r="E183" s="365"/>
      <c r="F183" s="365"/>
      <c r="G183" s="365"/>
      <c r="H183" s="363"/>
      <c r="I183" s="365"/>
      <c r="K183" s="365"/>
      <c r="L183" s="365"/>
    </row>
    <row r="184" spans="1:12" s="364" customFormat="1" ht="13.5" customHeight="1">
      <c r="A184" s="302"/>
      <c r="B184" s="363"/>
      <c r="C184" s="302"/>
      <c r="E184" s="365"/>
      <c r="F184" s="365"/>
      <c r="G184" s="365"/>
      <c r="H184" s="363"/>
      <c r="I184" s="365"/>
      <c r="K184" s="365"/>
      <c r="L184" s="365"/>
    </row>
    <row r="185" spans="1:12" s="364" customFormat="1" ht="13.5" customHeight="1">
      <c r="A185" s="302"/>
      <c r="B185" s="363"/>
      <c r="C185" s="302"/>
      <c r="E185" s="365"/>
      <c r="F185" s="365"/>
      <c r="G185" s="365"/>
      <c r="H185" s="363"/>
      <c r="I185" s="365"/>
      <c r="K185" s="365"/>
      <c r="L185" s="365"/>
    </row>
    <row r="186" spans="1:12" s="364" customFormat="1" ht="13.5" customHeight="1">
      <c r="A186" s="302"/>
      <c r="B186" s="363"/>
      <c r="C186" s="302"/>
      <c r="E186" s="365"/>
      <c r="F186" s="365"/>
      <c r="G186" s="365"/>
      <c r="H186" s="363"/>
      <c r="I186" s="365"/>
      <c r="K186" s="365"/>
      <c r="L186" s="365"/>
    </row>
    <row r="187" spans="1:12" s="364" customFormat="1" ht="13.5" customHeight="1">
      <c r="A187" s="302"/>
      <c r="B187" s="363"/>
      <c r="C187" s="302"/>
      <c r="E187" s="365"/>
      <c r="F187" s="365"/>
      <c r="G187" s="365"/>
      <c r="H187" s="363"/>
      <c r="I187" s="365"/>
      <c r="K187" s="365"/>
      <c r="L187" s="365"/>
    </row>
    <row r="188" spans="1:12" s="364" customFormat="1" ht="13.5" customHeight="1">
      <c r="A188" s="302"/>
      <c r="B188" s="363"/>
      <c r="C188" s="302"/>
      <c r="E188" s="365"/>
      <c r="F188" s="365"/>
      <c r="G188" s="365"/>
      <c r="H188" s="363"/>
      <c r="I188" s="365"/>
      <c r="K188" s="365"/>
      <c r="L188" s="365"/>
    </row>
    <row r="189" spans="1:12" s="364" customFormat="1" ht="13.5" customHeight="1">
      <c r="A189" s="302"/>
      <c r="B189" s="363"/>
      <c r="C189" s="302"/>
      <c r="E189" s="365"/>
      <c r="F189" s="365"/>
      <c r="G189" s="365"/>
      <c r="H189" s="363"/>
      <c r="I189" s="365"/>
      <c r="K189" s="365"/>
      <c r="L189" s="365"/>
    </row>
    <row r="190" spans="1:12" s="364" customFormat="1" ht="13.5" customHeight="1">
      <c r="A190" s="302"/>
      <c r="B190" s="363"/>
      <c r="C190" s="302"/>
      <c r="E190" s="365"/>
      <c r="F190" s="365"/>
      <c r="G190" s="365"/>
      <c r="H190" s="363"/>
      <c r="I190" s="365"/>
      <c r="K190" s="365"/>
      <c r="L190" s="365"/>
    </row>
    <row r="191" spans="1:12" s="364" customFormat="1" ht="13.5" customHeight="1">
      <c r="A191" s="302"/>
      <c r="B191" s="363"/>
      <c r="C191" s="302"/>
      <c r="E191" s="365"/>
      <c r="F191" s="365"/>
      <c r="G191" s="365"/>
      <c r="H191" s="363"/>
      <c r="I191" s="365"/>
      <c r="K191" s="365"/>
      <c r="L191" s="365"/>
    </row>
    <row r="192" spans="1:12" s="364" customFormat="1" ht="13.5" customHeight="1">
      <c r="A192" s="302"/>
      <c r="B192" s="363"/>
      <c r="C192" s="302"/>
      <c r="E192" s="365"/>
      <c r="F192" s="365"/>
      <c r="G192" s="365"/>
      <c r="H192" s="363"/>
      <c r="I192" s="365"/>
      <c r="K192" s="365"/>
      <c r="L192" s="365"/>
    </row>
    <row r="193" spans="1:12" s="364" customFormat="1" ht="13.5" customHeight="1">
      <c r="A193" s="302"/>
      <c r="B193" s="363"/>
      <c r="C193" s="302"/>
      <c r="E193" s="365"/>
      <c r="F193" s="365"/>
      <c r="G193" s="365"/>
      <c r="H193" s="363"/>
      <c r="I193" s="365"/>
      <c r="K193" s="365"/>
      <c r="L193" s="365"/>
    </row>
    <row r="194" spans="1:12" s="364" customFormat="1" ht="13.5" customHeight="1">
      <c r="A194" s="302"/>
      <c r="B194" s="363"/>
      <c r="C194" s="302"/>
      <c r="E194" s="365"/>
      <c r="F194" s="365"/>
      <c r="G194" s="365"/>
      <c r="H194" s="363"/>
      <c r="I194" s="365"/>
      <c r="K194" s="365"/>
      <c r="L194" s="365"/>
    </row>
    <row r="195" spans="1:12" s="364" customFormat="1" ht="13.5" customHeight="1">
      <c r="A195" s="302"/>
      <c r="B195" s="363"/>
      <c r="C195" s="302"/>
      <c r="E195" s="365"/>
      <c r="F195" s="365"/>
      <c r="G195" s="365"/>
      <c r="H195" s="363"/>
      <c r="I195" s="365"/>
      <c r="K195" s="365"/>
      <c r="L195" s="365"/>
    </row>
    <row r="196" spans="1:12" s="364" customFormat="1" ht="13.5" customHeight="1">
      <c r="A196" s="302"/>
      <c r="B196" s="363"/>
      <c r="C196" s="302"/>
      <c r="E196" s="365"/>
      <c r="F196" s="365"/>
      <c r="G196" s="365"/>
      <c r="H196" s="363"/>
      <c r="I196" s="365"/>
      <c r="K196" s="365"/>
      <c r="L196" s="365"/>
    </row>
    <row r="197" spans="1:12" s="364" customFormat="1" ht="13.5" customHeight="1">
      <c r="A197" s="302"/>
      <c r="B197" s="363"/>
      <c r="C197" s="302"/>
      <c r="E197" s="365"/>
      <c r="F197" s="365"/>
      <c r="G197" s="365"/>
      <c r="H197" s="363"/>
      <c r="I197" s="365"/>
      <c r="K197" s="365"/>
      <c r="L197" s="365"/>
    </row>
    <row r="198" spans="1:12" s="364" customFormat="1" ht="13.5" customHeight="1">
      <c r="A198" s="302"/>
      <c r="B198" s="363"/>
      <c r="C198" s="302"/>
      <c r="E198" s="365"/>
      <c r="F198" s="365"/>
      <c r="G198" s="365"/>
      <c r="H198" s="363"/>
      <c r="I198" s="365"/>
      <c r="K198" s="365"/>
      <c r="L198" s="365"/>
    </row>
    <row r="199" spans="1:12" s="364" customFormat="1" ht="13.5" customHeight="1">
      <c r="A199" s="302"/>
      <c r="B199" s="363"/>
      <c r="C199" s="302"/>
      <c r="E199" s="365"/>
      <c r="F199" s="365"/>
      <c r="G199" s="365"/>
      <c r="H199" s="363"/>
      <c r="I199" s="365"/>
      <c r="K199" s="365"/>
      <c r="L199" s="365"/>
    </row>
    <row r="200" spans="1:12" s="364" customFormat="1" ht="13.5" customHeight="1">
      <c r="A200" s="302"/>
      <c r="B200" s="363"/>
      <c r="C200" s="302"/>
      <c r="E200" s="365"/>
      <c r="F200" s="365"/>
      <c r="G200" s="365"/>
      <c r="H200" s="363"/>
      <c r="I200" s="365"/>
      <c r="K200" s="365"/>
      <c r="L200" s="365"/>
    </row>
    <row r="201" spans="1:12" s="364" customFormat="1" ht="13.5" customHeight="1">
      <c r="A201" s="302"/>
      <c r="B201" s="363"/>
      <c r="C201" s="302"/>
      <c r="E201" s="365"/>
      <c r="F201" s="365"/>
      <c r="G201" s="365"/>
      <c r="H201" s="363"/>
      <c r="I201" s="365"/>
      <c r="K201" s="365"/>
      <c r="L201" s="365"/>
    </row>
    <row r="202" spans="1:12" s="364" customFormat="1" ht="13.5" customHeight="1">
      <c r="A202" s="302"/>
      <c r="B202" s="363"/>
      <c r="C202" s="302"/>
      <c r="E202" s="365"/>
      <c r="F202" s="365"/>
      <c r="G202" s="365"/>
      <c r="H202" s="363"/>
      <c r="I202" s="365"/>
      <c r="K202" s="365"/>
      <c r="L202" s="365"/>
    </row>
    <row r="203" spans="1:12" s="364" customFormat="1" ht="13.5" customHeight="1">
      <c r="A203" s="302"/>
      <c r="B203" s="363"/>
      <c r="C203" s="302"/>
      <c r="E203" s="365"/>
      <c r="F203" s="365"/>
      <c r="G203" s="365"/>
      <c r="H203" s="363"/>
      <c r="I203" s="365"/>
      <c r="K203" s="365"/>
      <c r="L203" s="365"/>
    </row>
    <row r="204" spans="1:12" s="364" customFormat="1" ht="13.5" customHeight="1">
      <c r="A204" s="302"/>
      <c r="B204" s="363"/>
      <c r="C204" s="302"/>
      <c r="E204" s="365"/>
      <c r="F204" s="365"/>
      <c r="G204" s="365"/>
      <c r="H204" s="363"/>
      <c r="I204" s="365"/>
      <c r="K204" s="365"/>
      <c r="L204" s="365"/>
    </row>
    <row r="205" spans="1:12" s="364" customFormat="1" ht="13.5" customHeight="1">
      <c r="A205" s="302"/>
      <c r="B205" s="363"/>
      <c r="C205" s="302"/>
      <c r="E205" s="365"/>
      <c r="F205" s="365"/>
      <c r="G205" s="365"/>
      <c r="H205" s="363"/>
      <c r="I205" s="365"/>
      <c r="K205" s="365"/>
      <c r="L205" s="365"/>
    </row>
    <row r="206" spans="1:12" s="364" customFormat="1" ht="13.5" customHeight="1">
      <c r="A206" s="302"/>
      <c r="B206" s="363"/>
      <c r="C206" s="302"/>
      <c r="E206" s="365"/>
      <c r="F206" s="365"/>
      <c r="G206" s="365"/>
      <c r="H206" s="363"/>
      <c r="I206" s="365"/>
      <c r="K206" s="365"/>
      <c r="L206" s="365"/>
    </row>
    <row r="207" spans="1:12" s="364" customFormat="1" ht="13.5" customHeight="1">
      <c r="A207" s="302"/>
      <c r="B207" s="363"/>
      <c r="C207" s="302"/>
      <c r="E207" s="365"/>
      <c r="F207" s="365"/>
      <c r="G207" s="365"/>
      <c r="H207" s="363"/>
      <c r="I207" s="365"/>
      <c r="K207" s="365"/>
      <c r="L207" s="365"/>
    </row>
    <row r="208" spans="1:12" s="364" customFormat="1" ht="13.5" customHeight="1">
      <c r="A208" s="302"/>
      <c r="B208" s="363"/>
      <c r="C208" s="302"/>
      <c r="E208" s="365"/>
      <c r="F208" s="365"/>
      <c r="G208" s="365"/>
      <c r="H208" s="363"/>
      <c r="I208" s="365"/>
      <c r="K208" s="365"/>
      <c r="L208" s="365"/>
    </row>
    <row r="209" spans="1:12" s="364" customFormat="1" ht="13.5" customHeight="1">
      <c r="A209" s="302"/>
      <c r="B209" s="363"/>
      <c r="C209" s="302"/>
      <c r="E209" s="365"/>
      <c r="F209" s="365"/>
      <c r="G209" s="365"/>
      <c r="H209" s="363"/>
      <c r="I209" s="365"/>
      <c r="K209" s="365"/>
      <c r="L209" s="365"/>
    </row>
    <row r="210" spans="1:12" s="364" customFormat="1" ht="13.5" customHeight="1">
      <c r="A210" s="302"/>
      <c r="B210" s="363"/>
      <c r="C210" s="302"/>
      <c r="E210" s="365"/>
      <c r="F210" s="365"/>
      <c r="G210" s="365"/>
      <c r="H210" s="363"/>
      <c r="I210" s="365"/>
      <c r="K210" s="365"/>
      <c r="L210" s="365"/>
    </row>
    <row r="211" spans="1:12" s="364" customFormat="1" ht="13.5" customHeight="1">
      <c r="A211" s="302"/>
      <c r="B211" s="363"/>
      <c r="C211" s="302"/>
      <c r="E211" s="365"/>
      <c r="F211" s="365"/>
      <c r="G211" s="365"/>
      <c r="H211" s="363"/>
      <c r="I211" s="365"/>
      <c r="K211" s="365"/>
      <c r="L211" s="365"/>
    </row>
    <row r="212" spans="1:12" s="364" customFormat="1" ht="13.5" customHeight="1">
      <c r="A212" s="302"/>
      <c r="B212" s="363"/>
      <c r="C212" s="302"/>
      <c r="E212" s="365"/>
      <c r="F212" s="365"/>
      <c r="G212" s="365"/>
      <c r="H212" s="363"/>
      <c r="I212" s="365"/>
      <c r="K212" s="365"/>
      <c r="L212" s="365"/>
    </row>
    <row r="213" spans="1:12" s="364" customFormat="1" ht="13.5" customHeight="1">
      <c r="A213" s="302"/>
      <c r="B213" s="363"/>
      <c r="C213" s="302"/>
      <c r="E213" s="365"/>
      <c r="F213" s="365"/>
      <c r="G213" s="365"/>
      <c r="H213" s="363"/>
      <c r="I213" s="365"/>
      <c r="K213" s="365"/>
      <c r="L213" s="365"/>
    </row>
    <row r="214" spans="1:12" s="364" customFormat="1" ht="13.5" customHeight="1">
      <c r="A214" s="302"/>
      <c r="B214" s="363"/>
      <c r="C214" s="302"/>
      <c r="E214" s="365"/>
      <c r="F214" s="365"/>
      <c r="G214" s="365"/>
      <c r="H214" s="363"/>
      <c r="I214" s="365"/>
      <c r="K214" s="365"/>
      <c r="L214" s="365"/>
    </row>
    <row r="215" spans="1:12" s="364" customFormat="1" ht="13.5" customHeight="1">
      <c r="A215" s="302"/>
      <c r="B215" s="363"/>
      <c r="C215" s="302"/>
      <c r="E215" s="365"/>
      <c r="F215" s="365"/>
      <c r="G215" s="365"/>
      <c r="H215" s="363"/>
      <c r="I215" s="365"/>
      <c r="K215" s="365"/>
      <c r="L215" s="365"/>
    </row>
    <row r="216" spans="1:12" s="364" customFormat="1" ht="13.5" customHeight="1">
      <c r="A216" s="302"/>
      <c r="B216" s="363"/>
      <c r="C216" s="302"/>
      <c r="E216" s="365"/>
      <c r="F216" s="365"/>
      <c r="G216" s="365"/>
      <c r="H216" s="363"/>
      <c r="I216" s="365"/>
      <c r="K216" s="365"/>
      <c r="L216" s="365"/>
    </row>
    <row r="217" spans="1:12" s="364" customFormat="1" ht="13.5" customHeight="1">
      <c r="A217" s="302"/>
      <c r="B217" s="363"/>
      <c r="C217" s="302"/>
      <c r="E217" s="365"/>
      <c r="F217" s="365"/>
      <c r="G217" s="365"/>
      <c r="H217" s="363"/>
      <c r="I217" s="365"/>
      <c r="K217" s="365"/>
      <c r="L217" s="365"/>
    </row>
    <row r="218" spans="1:12" s="364" customFormat="1" ht="13.5" customHeight="1">
      <c r="A218" s="302"/>
      <c r="B218" s="363"/>
      <c r="C218" s="302"/>
      <c r="E218" s="365"/>
      <c r="F218" s="365"/>
      <c r="G218" s="365"/>
      <c r="H218" s="363"/>
      <c r="I218" s="365"/>
      <c r="K218" s="365"/>
      <c r="L218" s="365"/>
    </row>
    <row r="219" spans="1:12" s="364" customFormat="1" ht="13.5" customHeight="1">
      <c r="A219" s="302"/>
      <c r="B219" s="363"/>
      <c r="C219" s="302"/>
      <c r="E219" s="365"/>
      <c r="F219" s="365"/>
      <c r="G219" s="365"/>
      <c r="H219" s="363"/>
      <c r="I219" s="365"/>
      <c r="K219" s="365"/>
      <c r="L219" s="365"/>
    </row>
    <row r="220" spans="1:12" s="364" customFormat="1" ht="13.5" customHeight="1">
      <c r="A220" s="302"/>
      <c r="B220" s="363"/>
      <c r="C220" s="302"/>
      <c r="E220" s="365"/>
      <c r="F220" s="365"/>
      <c r="G220" s="365"/>
      <c r="H220" s="363"/>
      <c r="I220" s="365"/>
      <c r="K220" s="365"/>
      <c r="L220" s="365"/>
    </row>
    <row r="221" spans="1:12" s="364" customFormat="1" ht="13.5" customHeight="1">
      <c r="A221" s="302"/>
      <c r="B221" s="363"/>
      <c r="C221" s="302"/>
      <c r="E221" s="365"/>
      <c r="F221" s="365"/>
      <c r="G221" s="365"/>
      <c r="H221" s="363"/>
      <c r="I221" s="365"/>
      <c r="K221" s="365"/>
      <c r="L221" s="365"/>
    </row>
    <row r="222" spans="1:12" s="364" customFormat="1" ht="13.5" customHeight="1">
      <c r="A222" s="302"/>
      <c r="B222" s="363"/>
      <c r="C222" s="302"/>
      <c r="E222" s="365"/>
      <c r="F222" s="365"/>
      <c r="G222" s="365"/>
      <c r="H222" s="363"/>
      <c r="I222" s="365"/>
      <c r="K222" s="365"/>
      <c r="L222" s="365"/>
    </row>
    <row r="223" spans="1:12" s="364" customFormat="1" ht="13.5" customHeight="1">
      <c r="A223" s="302"/>
      <c r="B223" s="363"/>
      <c r="C223" s="302"/>
      <c r="E223" s="365"/>
      <c r="F223" s="365"/>
      <c r="G223" s="365"/>
      <c r="H223" s="363"/>
      <c r="I223" s="365"/>
      <c r="K223" s="365"/>
      <c r="L223" s="365"/>
    </row>
    <row r="224" spans="1:12" s="364" customFormat="1" ht="13.5" customHeight="1">
      <c r="A224" s="302"/>
      <c r="B224" s="363"/>
      <c r="C224" s="302"/>
      <c r="E224" s="365"/>
      <c r="F224" s="365"/>
      <c r="G224" s="365"/>
      <c r="H224" s="363"/>
      <c r="I224" s="365"/>
      <c r="K224" s="365"/>
      <c r="L224" s="365"/>
    </row>
    <row r="225" spans="1:12" s="364" customFormat="1" ht="13.5" customHeight="1">
      <c r="A225" s="302"/>
      <c r="B225" s="363"/>
      <c r="C225" s="302"/>
      <c r="E225" s="365"/>
      <c r="F225" s="365"/>
      <c r="G225" s="365"/>
      <c r="H225" s="363"/>
      <c r="I225" s="365"/>
      <c r="K225" s="365"/>
      <c r="L225" s="365"/>
    </row>
    <row r="226" spans="1:12" s="364" customFormat="1" ht="13.5" customHeight="1">
      <c r="A226" s="302"/>
      <c r="B226" s="363"/>
      <c r="C226" s="302"/>
      <c r="E226" s="365"/>
      <c r="F226" s="365"/>
      <c r="G226" s="365"/>
      <c r="H226" s="363"/>
      <c r="I226" s="365"/>
      <c r="K226" s="365"/>
      <c r="L226" s="365"/>
    </row>
    <row r="227" spans="1:12" s="364" customFormat="1" ht="13.5" customHeight="1">
      <c r="A227" s="302"/>
      <c r="B227" s="363"/>
      <c r="C227" s="302"/>
      <c r="E227" s="365"/>
      <c r="F227" s="365"/>
      <c r="G227" s="365"/>
      <c r="H227" s="363"/>
      <c r="I227" s="365"/>
      <c r="K227" s="365"/>
      <c r="L227" s="365"/>
    </row>
    <row r="228" spans="1:12" s="364" customFormat="1" ht="13.5" customHeight="1">
      <c r="A228" s="302"/>
      <c r="B228" s="363"/>
      <c r="C228" s="302"/>
      <c r="E228" s="365"/>
      <c r="F228" s="365"/>
      <c r="G228" s="365"/>
      <c r="H228" s="363"/>
      <c r="I228" s="365"/>
      <c r="K228" s="365"/>
      <c r="L228" s="365"/>
    </row>
    <row r="229" spans="1:12" s="364" customFormat="1" ht="13.5" customHeight="1">
      <c r="A229" s="302"/>
      <c r="B229" s="363"/>
      <c r="C229" s="302"/>
      <c r="E229" s="365"/>
      <c r="F229" s="365"/>
      <c r="G229" s="365"/>
      <c r="H229" s="363"/>
      <c r="I229" s="365"/>
      <c r="K229" s="365"/>
      <c r="L229" s="365"/>
    </row>
    <row r="230" spans="1:12" s="364" customFormat="1" ht="13.5" customHeight="1">
      <c r="A230" s="302"/>
      <c r="B230" s="363"/>
      <c r="C230" s="302"/>
      <c r="E230" s="365"/>
      <c r="F230" s="365"/>
      <c r="G230" s="365"/>
      <c r="H230" s="363"/>
      <c r="I230" s="365"/>
      <c r="K230" s="365"/>
      <c r="L230" s="365"/>
    </row>
    <row r="231" spans="1:12" s="364" customFormat="1" ht="13.5" customHeight="1">
      <c r="A231" s="302"/>
      <c r="B231" s="363"/>
      <c r="C231" s="302"/>
      <c r="E231" s="365"/>
      <c r="F231" s="365"/>
      <c r="G231" s="365"/>
      <c r="H231" s="363"/>
      <c r="I231" s="365"/>
      <c r="K231" s="365"/>
      <c r="L231" s="365"/>
    </row>
    <row r="232" spans="1:12" s="364" customFormat="1" ht="13.5" customHeight="1">
      <c r="A232" s="302"/>
      <c r="B232" s="363"/>
      <c r="C232" s="302"/>
      <c r="E232" s="365"/>
      <c r="F232" s="365"/>
      <c r="G232" s="365"/>
      <c r="H232" s="363"/>
      <c r="I232" s="365"/>
      <c r="K232" s="365"/>
      <c r="L232" s="365"/>
    </row>
    <row r="233" spans="1:12" s="364" customFormat="1" ht="13.5" customHeight="1">
      <c r="A233" s="302"/>
      <c r="B233" s="363"/>
      <c r="C233" s="302"/>
      <c r="E233" s="365"/>
      <c r="F233" s="365"/>
      <c r="G233" s="365"/>
      <c r="H233" s="363"/>
      <c r="I233" s="365"/>
      <c r="K233" s="365"/>
      <c r="L233" s="365"/>
    </row>
    <row r="234" spans="1:12" s="364" customFormat="1" ht="13.5" customHeight="1">
      <c r="A234" s="302"/>
      <c r="B234" s="363"/>
      <c r="C234" s="302"/>
      <c r="E234" s="365"/>
      <c r="F234" s="365"/>
      <c r="G234" s="365"/>
      <c r="H234" s="363"/>
      <c r="I234" s="365"/>
      <c r="K234" s="365"/>
      <c r="L234" s="365"/>
    </row>
    <row r="235" spans="1:12" s="364" customFormat="1" ht="13.5" customHeight="1">
      <c r="A235" s="302"/>
      <c r="B235" s="363"/>
      <c r="C235" s="302"/>
      <c r="E235" s="365"/>
      <c r="F235" s="365"/>
      <c r="G235" s="365"/>
      <c r="H235" s="363"/>
      <c r="I235" s="365"/>
      <c r="K235" s="365"/>
      <c r="L235" s="365"/>
    </row>
    <row r="236" spans="1:12" s="364" customFormat="1" ht="13.5" customHeight="1">
      <c r="A236" s="302"/>
      <c r="B236" s="363"/>
      <c r="C236" s="302"/>
      <c r="E236" s="365"/>
      <c r="F236" s="365"/>
      <c r="G236" s="365"/>
      <c r="H236" s="363"/>
      <c r="I236" s="365"/>
      <c r="K236" s="365"/>
      <c r="L236" s="365"/>
    </row>
    <row r="237" spans="1:12" s="364" customFormat="1" ht="13.5" customHeight="1">
      <c r="A237" s="302"/>
      <c r="B237" s="363"/>
      <c r="C237" s="302"/>
      <c r="E237" s="365"/>
      <c r="F237" s="365"/>
      <c r="G237" s="365"/>
      <c r="H237" s="363"/>
      <c r="I237" s="365"/>
      <c r="K237" s="365"/>
      <c r="L237" s="365"/>
    </row>
    <row r="238" spans="1:12" s="364" customFormat="1" ht="13.5" customHeight="1">
      <c r="A238" s="302"/>
      <c r="B238" s="363"/>
      <c r="C238" s="302"/>
      <c r="E238" s="365"/>
      <c r="F238" s="365"/>
      <c r="G238" s="365"/>
      <c r="H238" s="363"/>
      <c r="I238" s="365"/>
      <c r="K238" s="365"/>
      <c r="L238" s="365"/>
    </row>
    <row r="239" spans="1:12" s="364" customFormat="1" ht="13.5" customHeight="1">
      <c r="A239" s="302"/>
      <c r="B239" s="363"/>
      <c r="C239" s="302"/>
      <c r="E239" s="365"/>
      <c r="F239" s="365"/>
      <c r="G239" s="365"/>
      <c r="H239" s="363"/>
      <c r="I239" s="365"/>
      <c r="K239" s="365"/>
      <c r="L239" s="365"/>
    </row>
    <row r="240" spans="1:12" s="364" customFormat="1" ht="13.5" customHeight="1">
      <c r="A240" s="302"/>
      <c r="B240" s="363"/>
      <c r="C240" s="302"/>
      <c r="E240" s="365"/>
      <c r="F240" s="365"/>
      <c r="G240" s="365"/>
      <c r="H240" s="363"/>
      <c r="I240" s="365"/>
      <c r="K240" s="365"/>
      <c r="L240" s="365"/>
    </row>
    <row r="241" spans="1:12" s="364" customFormat="1" ht="13.5" customHeight="1">
      <c r="A241" s="302"/>
      <c r="B241" s="363"/>
      <c r="C241" s="302"/>
      <c r="E241" s="365"/>
      <c r="F241" s="365"/>
      <c r="G241" s="365"/>
      <c r="H241" s="363"/>
      <c r="I241" s="365"/>
      <c r="K241" s="365"/>
      <c r="L241" s="365"/>
    </row>
    <row r="242" spans="1:12" s="364" customFormat="1" ht="13.5" customHeight="1">
      <c r="A242" s="302"/>
      <c r="B242" s="363"/>
      <c r="C242" s="302"/>
      <c r="E242" s="365"/>
      <c r="F242" s="365"/>
      <c r="G242" s="365"/>
      <c r="H242" s="363"/>
      <c r="I242" s="365"/>
      <c r="K242" s="365"/>
      <c r="L242" s="365"/>
    </row>
    <row r="243" spans="1:12" s="364" customFormat="1" ht="13.5" customHeight="1">
      <c r="A243" s="302"/>
      <c r="B243" s="363"/>
      <c r="C243" s="302"/>
      <c r="E243" s="365"/>
      <c r="F243" s="365"/>
      <c r="G243" s="365"/>
      <c r="H243" s="363"/>
      <c r="I243" s="365"/>
      <c r="K243" s="365"/>
      <c r="L243" s="365"/>
    </row>
    <row r="244" spans="1:12" s="364" customFormat="1" ht="13.5" customHeight="1">
      <c r="A244" s="302"/>
      <c r="B244" s="363"/>
      <c r="C244" s="302"/>
      <c r="E244" s="365"/>
      <c r="F244" s="365"/>
      <c r="G244" s="365"/>
      <c r="H244" s="363"/>
      <c r="I244" s="365"/>
      <c r="K244" s="365"/>
      <c r="L244" s="365"/>
    </row>
    <row r="245" spans="1:12" s="364" customFormat="1" ht="13.5" customHeight="1">
      <c r="A245" s="302"/>
      <c r="B245" s="363"/>
      <c r="C245" s="302"/>
      <c r="E245" s="365"/>
      <c r="F245" s="365"/>
      <c r="G245" s="365"/>
      <c r="H245" s="363"/>
      <c r="I245" s="365"/>
      <c r="K245" s="365"/>
      <c r="L245" s="365"/>
    </row>
    <row r="246" spans="1:12" s="364" customFormat="1" ht="13.5" customHeight="1">
      <c r="A246" s="302"/>
      <c r="B246" s="363"/>
      <c r="C246" s="302"/>
      <c r="E246" s="365"/>
      <c r="F246" s="365"/>
      <c r="G246" s="365"/>
      <c r="H246" s="363"/>
      <c r="I246" s="365"/>
      <c r="K246" s="365"/>
      <c r="L246" s="365"/>
    </row>
    <row r="247" spans="1:12" s="364" customFormat="1" ht="13.5" customHeight="1">
      <c r="A247" s="302"/>
      <c r="B247" s="363"/>
      <c r="C247" s="302"/>
      <c r="E247" s="365"/>
      <c r="F247" s="365"/>
      <c r="G247" s="365"/>
      <c r="H247" s="363"/>
      <c r="I247" s="365"/>
      <c r="K247" s="365"/>
      <c r="L247" s="365"/>
    </row>
    <row r="248" spans="1:12" s="364" customFormat="1" ht="13.5" customHeight="1">
      <c r="A248" s="302"/>
      <c r="B248" s="363"/>
      <c r="C248" s="302"/>
      <c r="E248" s="365"/>
      <c r="F248" s="365"/>
      <c r="G248" s="365"/>
      <c r="H248" s="363"/>
      <c r="I248" s="365"/>
      <c r="K248" s="365"/>
      <c r="L248" s="365"/>
    </row>
    <row r="249" spans="1:12" s="364" customFormat="1" ht="13.5" customHeight="1">
      <c r="A249" s="302"/>
      <c r="B249" s="363"/>
      <c r="C249" s="302"/>
      <c r="E249" s="365"/>
      <c r="F249" s="365"/>
      <c r="G249" s="365"/>
      <c r="H249" s="363"/>
      <c r="I249" s="365"/>
      <c r="K249" s="365"/>
      <c r="L249" s="365"/>
    </row>
    <row r="250" spans="1:12" s="364" customFormat="1" ht="13.5" customHeight="1">
      <c r="A250" s="302"/>
      <c r="B250" s="363"/>
      <c r="C250" s="302"/>
      <c r="E250" s="365"/>
      <c r="F250" s="365"/>
      <c r="G250" s="365"/>
      <c r="H250" s="363"/>
      <c r="I250" s="365"/>
      <c r="K250" s="365"/>
      <c r="L250" s="365"/>
    </row>
    <row r="251" spans="1:12" s="364" customFormat="1" ht="13.5" customHeight="1">
      <c r="A251" s="302"/>
      <c r="B251" s="363"/>
      <c r="C251" s="302"/>
      <c r="E251" s="365"/>
      <c r="F251" s="365"/>
      <c r="G251" s="365"/>
      <c r="H251" s="363"/>
      <c r="I251" s="365"/>
      <c r="K251" s="365"/>
      <c r="L251" s="365"/>
    </row>
    <row r="252" spans="1:12" s="364" customFormat="1" ht="13.5" customHeight="1">
      <c r="A252" s="302"/>
      <c r="B252" s="363"/>
      <c r="C252" s="302"/>
      <c r="E252" s="365"/>
      <c r="F252" s="365"/>
      <c r="G252" s="365"/>
      <c r="H252" s="363"/>
      <c r="I252" s="365"/>
      <c r="K252" s="365"/>
      <c r="L252" s="365"/>
    </row>
    <row r="253" spans="1:12" s="364" customFormat="1" ht="13.5" customHeight="1">
      <c r="A253" s="302"/>
      <c r="B253" s="363"/>
      <c r="C253" s="302"/>
      <c r="E253" s="365"/>
      <c r="F253" s="365"/>
      <c r="G253" s="365"/>
      <c r="H253" s="363"/>
      <c r="I253" s="365"/>
      <c r="K253" s="365"/>
      <c r="L253" s="365"/>
    </row>
    <row r="254" spans="1:12" s="364" customFormat="1" ht="13.5" customHeight="1">
      <c r="A254" s="302"/>
      <c r="B254" s="363"/>
      <c r="C254" s="302"/>
      <c r="E254" s="365"/>
      <c r="F254" s="365"/>
      <c r="G254" s="365"/>
      <c r="H254" s="363"/>
      <c r="I254" s="365"/>
      <c r="K254" s="365"/>
      <c r="L254" s="365"/>
    </row>
    <row r="255" spans="1:12" s="364" customFormat="1" ht="13.5" customHeight="1">
      <c r="A255" s="302"/>
      <c r="B255" s="363"/>
      <c r="C255" s="302"/>
      <c r="E255" s="365"/>
      <c r="F255" s="365"/>
      <c r="G255" s="365"/>
      <c r="H255" s="363"/>
      <c r="I255" s="365"/>
      <c r="K255" s="365"/>
      <c r="L255" s="365"/>
    </row>
    <row r="256" spans="1:12" s="364" customFormat="1" ht="13.5" customHeight="1">
      <c r="A256" s="302"/>
      <c r="B256" s="363"/>
      <c r="C256" s="302"/>
      <c r="E256" s="365"/>
      <c r="F256" s="365"/>
      <c r="G256" s="365"/>
      <c r="H256" s="363"/>
      <c r="I256" s="365"/>
      <c r="K256" s="365"/>
      <c r="L256" s="365"/>
    </row>
    <row r="257" spans="1:12" s="364" customFormat="1" ht="13.5" customHeight="1">
      <c r="A257" s="302"/>
      <c r="B257" s="363"/>
      <c r="C257" s="302"/>
      <c r="E257" s="365"/>
      <c r="F257" s="365"/>
      <c r="G257" s="365"/>
      <c r="H257" s="363"/>
      <c r="I257" s="365"/>
      <c r="K257" s="365"/>
      <c r="L257" s="365"/>
    </row>
    <row r="258" spans="1:12" s="364" customFormat="1" ht="13.5" customHeight="1">
      <c r="A258" s="302"/>
      <c r="B258" s="363"/>
      <c r="C258" s="302"/>
      <c r="E258" s="365"/>
      <c r="F258" s="365"/>
      <c r="G258" s="365"/>
      <c r="H258" s="363"/>
      <c r="I258" s="365"/>
      <c r="K258" s="365"/>
      <c r="L258" s="365"/>
    </row>
    <row r="259" spans="1:12" s="364" customFormat="1" ht="13.5" customHeight="1">
      <c r="A259" s="302"/>
      <c r="B259" s="363"/>
      <c r="C259" s="302"/>
      <c r="E259" s="365"/>
      <c r="F259" s="365"/>
      <c r="G259" s="365"/>
      <c r="H259" s="363"/>
      <c r="I259" s="365"/>
      <c r="K259" s="365"/>
      <c r="L259" s="365"/>
    </row>
    <row r="260" spans="1:12" s="364" customFormat="1" ht="13.5" customHeight="1">
      <c r="A260" s="302"/>
      <c r="B260" s="363"/>
      <c r="C260" s="302"/>
      <c r="E260" s="365"/>
      <c r="F260" s="365"/>
      <c r="G260" s="365"/>
      <c r="H260" s="363"/>
      <c r="I260" s="365"/>
      <c r="K260" s="365"/>
      <c r="L260" s="365"/>
    </row>
    <row r="261" spans="1:12" s="364" customFormat="1" ht="13.5" customHeight="1">
      <c r="A261" s="302"/>
      <c r="B261" s="363"/>
      <c r="C261" s="302"/>
      <c r="E261" s="365"/>
      <c r="F261" s="365"/>
      <c r="G261" s="365"/>
      <c r="H261" s="363"/>
      <c r="I261" s="365"/>
      <c r="K261" s="365"/>
      <c r="L261" s="365"/>
    </row>
    <row r="262" spans="1:12" s="364" customFormat="1" ht="13.5" customHeight="1">
      <c r="A262" s="302"/>
      <c r="B262" s="363"/>
      <c r="C262" s="302"/>
      <c r="E262" s="365"/>
      <c r="F262" s="365"/>
      <c r="G262" s="365"/>
      <c r="H262" s="363"/>
      <c r="I262" s="365"/>
      <c r="K262" s="365"/>
      <c r="L262" s="365"/>
    </row>
    <row r="263" spans="1:12" s="364" customFormat="1" ht="13.5" customHeight="1">
      <c r="A263" s="302"/>
      <c r="B263" s="363"/>
      <c r="C263" s="302"/>
      <c r="E263" s="365"/>
      <c r="F263" s="365"/>
      <c r="G263" s="365"/>
      <c r="H263" s="363"/>
      <c r="I263" s="365"/>
      <c r="K263" s="365"/>
      <c r="L263" s="365"/>
    </row>
    <row r="264" spans="1:12" s="364" customFormat="1" ht="13.5" customHeight="1">
      <c r="A264" s="302"/>
      <c r="B264" s="363"/>
      <c r="C264" s="302"/>
      <c r="E264" s="365"/>
      <c r="F264" s="365"/>
      <c r="G264" s="365"/>
      <c r="H264" s="363"/>
      <c r="I264" s="365"/>
      <c r="K264" s="365"/>
      <c r="L264" s="365"/>
    </row>
    <row r="265" spans="1:12" s="364" customFormat="1" ht="13.5" customHeight="1">
      <c r="A265" s="302"/>
      <c r="B265" s="363"/>
      <c r="C265" s="302"/>
      <c r="E265" s="365"/>
      <c r="F265" s="365"/>
      <c r="G265" s="365"/>
      <c r="H265" s="363"/>
      <c r="I265" s="365"/>
      <c r="K265" s="365"/>
      <c r="L265" s="365"/>
    </row>
    <row r="266" spans="1:12" s="364" customFormat="1" ht="13.5" customHeight="1">
      <c r="A266" s="302"/>
      <c r="B266" s="363"/>
      <c r="C266" s="302"/>
      <c r="E266" s="365"/>
      <c r="F266" s="365"/>
      <c r="G266" s="365"/>
      <c r="H266" s="363"/>
      <c r="I266" s="365"/>
      <c r="K266" s="365"/>
      <c r="L266" s="365"/>
    </row>
    <row r="267" spans="1:12" s="364" customFormat="1" ht="13.5" customHeight="1">
      <c r="A267" s="302"/>
      <c r="B267" s="363"/>
      <c r="C267" s="302"/>
      <c r="E267" s="365"/>
      <c r="F267" s="365"/>
      <c r="G267" s="365"/>
      <c r="H267" s="363"/>
      <c r="I267" s="365"/>
      <c r="K267" s="365"/>
      <c r="L267" s="365"/>
    </row>
    <row r="268" spans="1:12" s="364" customFormat="1" ht="13.5" customHeight="1">
      <c r="A268" s="302"/>
      <c r="B268" s="363"/>
      <c r="C268" s="302"/>
      <c r="E268" s="365"/>
      <c r="F268" s="365"/>
      <c r="G268" s="365"/>
      <c r="H268" s="363"/>
      <c r="I268" s="365"/>
      <c r="K268" s="365"/>
      <c r="L268" s="365"/>
    </row>
    <row r="269" spans="1:12" s="364" customFormat="1" ht="13.5" customHeight="1">
      <c r="A269" s="302"/>
      <c r="B269" s="363"/>
      <c r="C269" s="302"/>
      <c r="E269" s="365"/>
      <c r="F269" s="365"/>
      <c r="G269" s="365"/>
      <c r="H269" s="363"/>
      <c r="I269" s="365"/>
      <c r="K269" s="365"/>
      <c r="L269" s="365"/>
    </row>
    <row r="270" spans="1:12" s="364" customFormat="1" ht="13.5" customHeight="1">
      <c r="A270" s="302"/>
      <c r="B270" s="363"/>
      <c r="C270" s="302"/>
      <c r="E270" s="365"/>
      <c r="F270" s="365"/>
      <c r="G270" s="365"/>
      <c r="H270" s="363"/>
      <c r="I270" s="365"/>
      <c r="K270" s="365"/>
      <c r="L270" s="365"/>
    </row>
    <row r="271" spans="1:12" s="364" customFormat="1" ht="13.5" customHeight="1">
      <c r="A271" s="302"/>
      <c r="B271" s="363"/>
      <c r="C271" s="302"/>
      <c r="E271" s="365"/>
      <c r="F271" s="365"/>
      <c r="G271" s="365"/>
      <c r="H271" s="363"/>
      <c r="I271" s="365"/>
      <c r="K271" s="365"/>
      <c r="L271" s="365"/>
    </row>
    <row r="272" spans="1:12" s="364" customFormat="1" ht="13.5" customHeight="1">
      <c r="A272" s="302"/>
      <c r="B272" s="363"/>
      <c r="C272" s="302"/>
      <c r="E272" s="365"/>
      <c r="F272" s="365"/>
      <c r="G272" s="365"/>
      <c r="H272" s="363"/>
      <c r="I272" s="365"/>
      <c r="K272" s="365"/>
      <c r="L272" s="365"/>
    </row>
    <row r="273" spans="1:12" s="364" customFormat="1" ht="13.5" customHeight="1">
      <c r="A273" s="302"/>
      <c r="B273" s="363"/>
      <c r="C273" s="302"/>
      <c r="E273" s="365"/>
      <c r="F273" s="365"/>
      <c r="G273" s="365"/>
      <c r="H273" s="363"/>
      <c r="I273" s="365"/>
      <c r="K273" s="365"/>
      <c r="L273" s="365"/>
    </row>
    <row r="274" spans="1:12" s="364" customFormat="1" ht="13.5" customHeight="1">
      <c r="A274" s="302"/>
      <c r="B274" s="363"/>
      <c r="C274" s="302"/>
      <c r="E274" s="365"/>
      <c r="F274" s="365"/>
      <c r="G274" s="365"/>
      <c r="H274" s="363"/>
      <c r="I274" s="365"/>
      <c r="K274" s="365"/>
      <c r="L274" s="365"/>
    </row>
    <row r="275" spans="1:12" s="364" customFormat="1" ht="13.5" customHeight="1">
      <c r="A275" s="302"/>
      <c r="B275" s="363"/>
      <c r="C275" s="302"/>
      <c r="E275" s="365"/>
      <c r="F275" s="365"/>
      <c r="G275" s="365"/>
      <c r="H275" s="363"/>
      <c r="I275" s="365"/>
      <c r="K275" s="365"/>
      <c r="L275" s="365"/>
    </row>
    <row r="276" spans="1:12" s="364" customFormat="1" ht="13.5" customHeight="1">
      <c r="A276" s="302"/>
      <c r="B276" s="363"/>
      <c r="C276" s="302"/>
      <c r="E276" s="365"/>
      <c r="F276" s="365"/>
      <c r="G276" s="365"/>
      <c r="H276" s="363"/>
      <c r="I276" s="365"/>
      <c r="K276" s="365"/>
      <c r="L276" s="365"/>
    </row>
    <row r="277" spans="1:12" s="364" customFormat="1" ht="13.5" customHeight="1">
      <c r="A277" s="302"/>
      <c r="B277" s="363"/>
      <c r="C277" s="302"/>
      <c r="E277" s="365"/>
      <c r="F277" s="365"/>
      <c r="G277" s="365"/>
      <c r="H277" s="363"/>
      <c r="I277" s="365"/>
      <c r="K277" s="365"/>
      <c r="L277" s="365"/>
    </row>
    <row r="278" spans="1:12" s="364" customFormat="1" ht="13.5" customHeight="1">
      <c r="A278" s="302"/>
      <c r="B278" s="363"/>
      <c r="C278" s="302"/>
      <c r="E278" s="365"/>
      <c r="F278" s="365"/>
      <c r="G278" s="365"/>
      <c r="H278" s="363"/>
      <c r="I278" s="365"/>
      <c r="K278" s="365"/>
      <c r="L278" s="365"/>
    </row>
    <row r="279" spans="1:12" s="364" customFormat="1" ht="13.5" customHeight="1">
      <c r="A279" s="302"/>
      <c r="B279" s="363"/>
      <c r="C279" s="302"/>
      <c r="E279" s="365"/>
      <c r="F279" s="365"/>
      <c r="G279" s="365"/>
      <c r="H279" s="363"/>
      <c r="I279" s="365"/>
      <c r="K279" s="365"/>
      <c r="L279" s="365"/>
    </row>
    <row r="280" spans="1:12" s="364" customFormat="1" ht="13.5" customHeight="1">
      <c r="A280" s="302"/>
      <c r="B280" s="363"/>
      <c r="C280" s="302"/>
      <c r="E280" s="365"/>
      <c r="F280" s="365"/>
      <c r="G280" s="365"/>
      <c r="H280" s="363"/>
      <c r="I280" s="365"/>
      <c r="K280" s="365"/>
      <c r="L280" s="365"/>
    </row>
    <row r="281" spans="1:12" s="364" customFormat="1" ht="13.5" customHeight="1">
      <c r="A281" s="302"/>
      <c r="B281" s="363"/>
      <c r="C281" s="302"/>
      <c r="E281" s="365"/>
      <c r="F281" s="365"/>
      <c r="G281" s="365"/>
      <c r="H281" s="363"/>
      <c r="I281" s="365"/>
      <c r="K281" s="365"/>
      <c r="L281" s="365"/>
    </row>
    <row r="282" spans="1:12" s="364" customFormat="1" ht="13.5" customHeight="1">
      <c r="A282" s="302"/>
      <c r="B282" s="363"/>
      <c r="C282" s="302"/>
      <c r="E282" s="365"/>
      <c r="F282" s="365"/>
      <c r="G282" s="365"/>
      <c r="H282" s="363"/>
      <c r="I282" s="365"/>
      <c r="K282" s="365"/>
      <c r="L282" s="365"/>
    </row>
    <row r="283" spans="1:12" s="364" customFormat="1" ht="13.5" customHeight="1">
      <c r="A283" s="302"/>
      <c r="B283" s="363"/>
      <c r="C283" s="302"/>
      <c r="E283" s="365"/>
      <c r="F283" s="365"/>
      <c r="G283" s="365"/>
      <c r="H283" s="363"/>
      <c r="I283" s="365"/>
      <c r="K283" s="365"/>
      <c r="L283" s="365"/>
    </row>
    <row r="284" spans="1:12" s="364" customFormat="1" ht="13.5" customHeight="1">
      <c r="A284" s="302"/>
      <c r="B284" s="363"/>
      <c r="C284" s="302"/>
      <c r="E284" s="365"/>
      <c r="F284" s="365"/>
      <c r="G284" s="365"/>
      <c r="H284" s="363"/>
      <c r="I284" s="365"/>
      <c r="K284" s="365"/>
      <c r="L284" s="365"/>
    </row>
    <row r="285" spans="1:12" s="364" customFormat="1" ht="13.5" customHeight="1">
      <c r="A285" s="302"/>
      <c r="B285" s="363"/>
      <c r="C285" s="302"/>
      <c r="E285" s="365"/>
      <c r="F285" s="365"/>
      <c r="G285" s="365"/>
      <c r="H285" s="363"/>
      <c r="I285" s="365"/>
      <c r="K285" s="365"/>
      <c r="L285" s="365"/>
    </row>
    <row r="286" spans="1:12" s="364" customFormat="1" ht="13.5" customHeight="1">
      <c r="A286" s="302"/>
      <c r="B286" s="363"/>
      <c r="C286" s="302"/>
      <c r="E286" s="365"/>
      <c r="F286" s="365"/>
      <c r="G286" s="365"/>
      <c r="H286" s="363"/>
      <c r="I286" s="365"/>
      <c r="K286" s="365"/>
      <c r="L286" s="365"/>
    </row>
    <row r="287" spans="1:12" s="364" customFormat="1" ht="13.5" customHeight="1">
      <c r="A287" s="302"/>
      <c r="B287" s="363"/>
      <c r="C287" s="302"/>
      <c r="E287" s="365"/>
      <c r="F287" s="365"/>
      <c r="G287" s="365"/>
      <c r="H287" s="363"/>
      <c r="I287" s="365"/>
      <c r="K287" s="365"/>
      <c r="L287" s="365"/>
    </row>
    <row r="288" spans="1:12" s="364" customFormat="1" ht="13.5" customHeight="1">
      <c r="A288" s="302"/>
      <c r="B288" s="363"/>
      <c r="C288" s="302"/>
      <c r="E288" s="365"/>
      <c r="F288" s="365"/>
      <c r="G288" s="365"/>
      <c r="H288" s="363"/>
      <c r="I288" s="365"/>
      <c r="K288" s="365"/>
      <c r="L288" s="365"/>
    </row>
    <row r="289" spans="1:12" s="364" customFormat="1" ht="13.5" customHeight="1">
      <c r="A289" s="302"/>
      <c r="B289" s="363"/>
      <c r="C289" s="302"/>
      <c r="E289" s="365"/>
      <c r="F289" s="365"/>
      <c r="G289" s="365"/>
      <c r="H289" s="363"/>
      <c r="I289" s="365"/>
      <c r="K289" s="365"/>
      <c r="L289" s="365"/>
    </row>
    <row r="290" spans="1:12" s="364" customFormat="1" ht="13.5" customHeight="1">
      <c r="A290" s="302"/>
      <c r="B290" s="363"/>
      <c r="C290" s="302"/>
      <c r="E290" s="365"/>
      <c r="F290" s="365"/>
      <c r="G290" s="365"/>
      <c r="H290" s="363"/>
      <c r="I290" s="365"/>
      <c r="K290" s="365"/>
      <c r="L290" s="365"/>
    </row>
    <row r="291" spans="1:12" s="364" customFormat="1" ht="13.5" customHeight="1">
      <c r="A291" s="302"/>
      <c r="B291" s="363"/>
      <c r="C291" s="302"/>
      <c r="E291" s="365"/>
      <c r="F291" s="365"/>
      <c r="G291" s="365"/>
      <c r="H291" s="363"/>
      <c r="I291" s="365"/>
      <c r="K291" s="365"/>
      <c r="L291" s="365"/>
    </row>
    <row r="292" spans="1:12" s="364" customFormat="1" ht="13.5" customHeight="1">
      <c r="A292" s="302"/>
      <c r="B292" s="363"/>
      <c r="C292" s="302"/>
      <c r="E292" s="365"/>
      <c r="F292" s="365"/>
      <c r="G292" s="365"/>
      <c r="H292" s="363"/>
      <c r="I292" s="365"/>
      <c r="K292" s="365"/>
      <c r="L292" s="365"/>
    </row>
    <row r="293" spans="1:12" s="364" customFormat="1" ht="13.5" customHeight="1">
      <c r="A293" s="302"/>
      <c r="B293" s="363"/>
      <c r="C293" s="302"/>
      <c r="E293" s="365"/>
      <c r="F293" s="365"/>
      <c r="G293" s="365"/>
      <c r="H293" s="363"/>
      <c r="I293" s="365"/>
      <c r="K293" s="365"/>
      <c r="L293" s="365"/>
    </row>
    <row r="294" spans="1:12" s="364" customFormat="1" ht="13.5" customHeight="1">
      <c r="A294" s="302"/>
      <c r="B294" s="363"/>
      <c r="C294" s="302"/>
      <c r="E294" s="365"/>
      <c r="F294" s="365"/>
      <c r="G294" s="365"/>
      <c r="H294" s="363"/>
      <c r="I294" s="365"/>
      <c r="K294" s="365"/>
      <c r="L294" s="365"/>
    </row>
    <row r="295" spans="1:12" s="364" customFormat="1" ht="13.5" customHeight="1">
      <c r="A295" s="302"/>
      <c r="B295" s="363"/>
      <c r="C295" s="302"/>
      <c r="E295" s="365"/>
      <c r="F295" s="365"/>
      <c r="G295" s="365"/>
      <c r="H295" s="363"/>
      <c r="I295" s="365"/>
      <c r="K295" s="365"/>
      <c r="L295" s="365"/>
    </row>
    <row r="296" spans="1:12" s="364" customFormat="1" ht="13.5" customHeight="1">
      <c r="A296" s="302"/>
      <c r="B296" s="363"/>
      <c r="C296" s="302"/>
      <c r="E296" s="365"/>
      <c r="F296" s="365"/>
      <c r="G296" s="365"/>
      <c r="H296" s="363"/>
      <c r="I296" s="365"/>
      <c r="K296" s="365"/>
      <c r="L296" s="365"/>
    </row>
    <row r="297" spans="1:12" s="364" customFormat="1" ht="13.5" customHeight="1">
      <c r="A297" s="302"/>
      <c r="B297" s="363"/>
      <c r="C297" s="302"/>
      <c r="E297" s="365"/>
      <c r="F297" s="365"/>
      <c r="G297" s="365"/>
      <c r="H297" s="363"/>
      <c r="I297" s="365"/>
      <c r="K297" s="365"/>
      <c r="L297" s="365"/>
    </row>
    <row r="298" spans="1:12" s="364" customFormat="1" ht="13.5" customHeight="1">
      <c r="A298" s="302"/>
      <c r="B298" s="363"/>
      <c r="C298" s="302"/>
      <c r="E298" s="365"/>
      <c r="F298" s="365"/>
      <c r="G298" s="365"/>
      <c r="H298" s="363"/>
      <c r="I298" s="365"/>
      <c r="K298" s="365"/>
      <c r="L298" s="365"/>
    </row>
    <row r="299" spans="1:12" s="364" customFormat="1" ht="13.5" customHeight="1">
      <c r="A299" s="302"/>
      <c r="B299" s="363"/>
      <c r="C299" s="302"/>
      <c r="E299" s="365"/>
      <c r="F299" s="365"/>
      <c r="G299" s="365"/>
      <c r="H299" s="363"/>
      <c r="I299" s="365"/>
      <c r="K299" s="365"/>
      <c r="L299" s="365"/>
    </row>
    <row r="300" spans="1:12" s="364" customFormat="1" ht="13.5" customHeight="1">
      <c r="A300" s="302"/>
      <c r="B300" s="363"/>
      <c r="C300" s="302"/>
      <c r="E300" s="365"/>
      <c r="F300" s="365"/>
      <c r="G300" s="365"/>
      <c r="H300" s="363"/>
      <c r="I300" s="365"/>
      <c r="K300" s="365"/>
      <c r="L300" s="365"/>
    </row>
    <row r="301" spans="1:12" s="364" customFormat="1" ht="13.5" customHeight="1">
      <c r="A301" s="302"/>
      <c r="B301" s="363"/>
      <c r="C301" s="302"/>
      <c r="E301" s="365"/>
      <c r="F301" s="365"/>
      <c r="G301" s="365"/>
      <c r="H301" s="363"/>
      <c r="I301" s="365"/>
      <c r="K301" s="365"/>
      <c r="L301" s="365"/>
    </row>
    <row r="302" spans="1:12" s="364" customFormat="1" ht="13.5" customHeight="1">
      <c r="A302" s="302"/>
      <c r="B302" s="363"/>
      <c r="C302" s="302"/>
      <c r="E302" s="365"/>
      <c r="F302" s="365"/>
      <c r="G302" s="365"/>
      <c r="H302" s="363"/>
      <c r="I302" s="365"/>
      <c r="K302" s="365"/>
      <c r="L302" s="365"/>
    </row>
    <row r="303" spans="1:12" s="364" customFormat="1" ht="13.5" customHeight="1">
      <c r="A303" s="302"/>
      <c r="B303" s="363"/>
      <c r="C303" s="302"/>
      <c r="E303" s="365"/>
      <c r="F303" s="365"/>
      <c r="G303" s="365"/>
      <c r="H303" s="363"/>
      <c r="I303" s="365"/>
      <c r="K303" s="365"/>
      <c r="L303" s="365"/>
    </row>
    <row r="304" spans="1:12" s="364" customFormat="1" ht="13.5" customHeight="1">
      <c r="A304" s="302"/>
      <c r="B304" s="363"/>
      <c r="C304" s="302"/>
      <c r="E304" s="365"/>
      <c r="F304" s="365"/>
      <c r="G304" s="365"/>
      <c r="H304" s="363"/>
      <c r="I304" s="365"/>
      <c r="K304" s="365"/>
      <c r="L304" s="365"/>
    </row>
    <row r="305" spans="1:12" s="364" customFormat="1" ht="13.5" customHeight="1">
      <c r="A305" s="302"/>
      <c r="B305" s="363"/>
      <c r="C305" s="302"/>
      <c r="E305" s="365"/>
      <c r="F305" s="365"/>
      <c r="G305" s="365"/>
      <c r="H305" s="363"/>
      <c r="I305" s="365"/>
      <c r="K305" s="365"/>
      <c r="L305" s="365"/>
    </row>
    <row r="306" spans="1:12" s="364" customFormat="1" ht="13.5" customHeight="1">
      <c r="A306" s="302"/>
      <c r="B306" s="363"/>
      <c r="C306" s="302"/>
      <c r="E306" s="365"/>
      <c r="F306" s="365"/>
      <c r="G306" s="365"/>
      <c r="H306" s="363"/>
      <c r="I306" s="365"/>
      <c r="K306" s="365"/>
      <c r="L306" s="365"/>
    </row>
    <row r="307" spans="1:12" s="364" customFormat="1" ht="13.5" customHeight="1">
      <c r="A307" s="302"/>
      <c r="B307" s="363"/>
      <c r="C307" s="302"/>
      <c r="E307" s="365"/>
      <c r="F307" s="365"/>
      <c r="G307" s="365"/>
      <c r="H307" s="363"/>
      <c r="I307" s="365"/>
      <c r="K307" s="365"/>
      <c r="L307" s="365"/>
    </row>
    <row r="308" spans="1:12" s="364" customFormat="1" ht="13.5" customHeight="1">
      <c r="A308" s="302"/>
      <c r="B308" s="363"/>
      <c r="C308" s="302"/>
      <c r="E308" s="365"/>
      <c r="F308" s="365"/>
      <c r="G308" s="365"/>
      <c r="H308" s="363"/>
      <c r="I308" s="365"/>
      <c r="K308" s="365"/>
      <c r="L308" s="365"/>
    </row>
    <row r="309" spans="1:12" s="364" customFormat="1" ht="13.5" customHeight="1">
      <c r="A309" s="302"/>
      <c r="B309" s="363"/>
      <c r="C309" s="302"/>
      <c r="E309" s="365"/>
      <c r="F309" s="365"/>
      <c r="G309" s="365"/>
      <c r="H309" s="363"/>
      <c r="I309" s="365"/>
      <c r="K309" s="365"/>
      <c r="L309" s="365"/>
    </row>
    <row r="310" spans="1:12" s="364" customFormat="1" ht="13.5" customHeight="1">
      <c r="A310" s="302"/>
      <c r="B310" s="363"/>
      <c r="C310" s="302"/>
      <c r="E310" s="365"/>
      <c r="F310" s="365"/>
      <c r="G310" s="365"/>
      <c r="H310" s="363"/>
      <c r="I310" s="365"/>
      <c r="K310" s="365"/>
      <c r="L310" s="365"/>
    </row>
    <row r="311" spans="1:12" s="364" customFormat="1" ht="13.5" customHeight="1">
      <c r="A311" s="302"/>
      <c r="B311" s="363"/>
      <c r="C311" s="302"/>
      <c r="E311" s="365"/>
      <c r="F311" s="365"/>
      <c r="G311" s="365"/>
      <c r="H311" s="363"/>
      <c r="I311" s="365"/>
      <c r="K311" s="365"/>
      <c r="L311" s="365"/>
    </row>
    <row r="312" spans="1:12" s="364" customFormat="1" ht="13.5" customHeight="1">
      <c r="A312" s="302"/>
      <c r="B312" s="363"/>
      <c r="C312" s="302"/>
      <c r="E312" s="365"/>
      <c r="F312" s="365"/>
      <c r="G312" s="365"/>
      <c r="H312" s="363"/>
      <c r="I312" s="365"/>
      <c r="K312" s="365"/>
      <c r="L312" s="365"/>
    </row>
    <row r="313" spans="1:12" s="364" customFormat="1" ht="13.5" customHeight="1">
      <c r="A313" s="302"/>
      <c r="B313" s="363"/>
      <c r="C313" s="302"/>
      <c r="E313" s="365"/>
      <c r="F313" s="365"/>
      <c r="G313" s="365"/>
      <c r="H313" s="363"/>
      <c r="I313" s="365"/>
      <c r="K313" s="365"/>
      <c r="L313" s="365"/>
    </row>
    <row r="314" spans="1:12" s="364" customFormat="1" ht="13.5" customHeight="1">
      <c r="A314" s="302"/>
      <c r="B314" s="363"/>
      <c r="C314" s="302"/>
      <c r="E314" s="365"/>
      <c r="F314" s="365"/>
      <c r="G314" s="365"/>
      <c r="H314" s="363"/>
      <c r="I314" s="365"/>
      <c r="K314" s="365"/>
      <c r="L314" s="365"/>
    </row>
    <row r="315" spans="1:12" s="364" customFormat="1" ht="13.5" customHeight="1">
      <c r="A315" s="302"/>
      <c r="B315" s="363"/>
      <c r="C315" s="302"/>
      <c r="E315" s="365"/>
      <c r="F315" s="365"/>
      <c r="G315" s="365"/>
      <c r="H315" s="363"/>
      <c r="I315" s="365"/>
      <c r="K315" s="365"/>
      <c r="L315" s="365"/>
    </row>
    <row r="316" spans="1:12" s="364" customFormat="1" ht="13.5" customHeight="1">
      <c r="A316" s="302"/>
      <c r="B316" s="363"/>
      <c r="C316" s="302"/>
      <c r="E316" s="365"/>
      <c r="F316" s="365"/>
      <c r="G316" s="365"/>
      <c r="H316" s="363"/>
      <c r="I316" s="365"/>
      <c r="K316" s="365"/>
      <c r="L316" s="365"/>
    </row>
    <row r="317" spans="1:12" s="364" customFormat="1" ht="13.5" customHeight="1">
      <c r="A317" s="302"/>
      <c r="B317" s="363"/>
      <c r="C317" s="302"/>
      <c r="E317" s="365"/>
      <c r="F317" s="365"/>
      <c r="G317" s="365"/>
      <c r="H317" s="363"/>
      <c r="I317" s="365"/>
      <c r="K317" s="365"/>
      <c r="L317" s="365"/>
    </row>
    <row r="318" spans="1:12" s="364" customFormat="1" ht="13.5" customHeight="1">
      <c r="A318" s="302"/>
      <c r="B318" s="363"/>
      <c r="C318" s="302"/>
      <c r="E318" s="365"/>
      <c r="F318" s="365"/>
      <c r="G318" s="365"/>
      <c r="H318" s="363"/>
      <c r="I318" s="365"/>
      <c r="K318" s="365"/>
      <c r="L318" s="365"/>
    </row>
    <row r="319" spans="1:12" s="364" customFormat="1" ht="13.5" customHeight="1">
      <c r="A319" s="302"/>
      <c r="B319" s="363"/>
      <c r="C319" s="302"/>
      <c r="E319" s="365"/>
      <c r="F319" s="365"/>
      <c r="G319" s="365"/>
      <c r="H319" s="363"/>
      <c r="I319" s="365"/>
      <c r="K319" s="365"/>
      <c r="L319" s="365"/>
    </row>
    <row r="320" spans="1:12" s="364" customFormat="1" ht="13.5" customHeight="1">
      <c r="A320" s="302"/>
      <c r="B320" s="363"/>
      <c r="C320" s="302"/>
      <c r="E320" s="365"/>
      <c r="F320" s="365"/>
      <c r="G320" s="365"/>
      <c r="H320" s="363"/>
      <c r="I320" s="365"/>
      <c r="K320" s="365"/>
      <c r="L320" s="365"/>
    </row>
    <row r="321" spans="1:12" s="364" customFormat="1" ht="13.5" customHeight="1">
      <c r="A321" s="302"/>
      <c r="B321" s="363"/>
      <c r="C321" s="302"/>
      <c r="E321" s="365"/>
      <c r="F321" s="365"/>
      <c r="G321" s="365"/>
      <c r="H321" s="363"/>
      <c r="I321" s="365"/>
      <c r="K321" s="365"/>
      <c r="L321" s="365"/>
    </row>
    <row r="322" spans="1:12" s="364" customFormat="1" ht="13.5" customHeight="1">
      <c r="A322" s="302"/>
      <c r="B322" s="363"/>
      <c r="C322" s="302"/>
      <c r="E322" s="365"/>
      <c r="F322" s="365"/>
      <c r="G322" s="365"/>
      <c r="H322" s="363"/>
      <c r="I322" s="365"/>
      <c r="K322" s="365"/>
      <c r="L322" s="365"/>
    </row>
    <row r="323" spans="1:12" s="364" customFormat="1" ht="13.5" customHeight="1">
      <c r="A323" s="302"/>
      <c r="B323" s="363"/>
      <c r="C323" s="302"/>
      <c r="E323" s="365"/>
      <c r="F323" s="365"/>
      <c r="G323" s="365"/>
      <c r="H323" s="363"/>
      <c r="I323" s="365"/>
      <c r="K323" s="365"/>
      <c r="L323" s="365"/>
    </row>
    <row r="324" spans="1:12" s="364" customFormat="1" ht="13.5" customHeight="1">
      <c r="A324" s="302"/>
      <c r="B324" s="363"/>
      <c r="C324" s="302"/>
      <c r="E324" s="365"/>
      <c r="F324" s="365"/>
      <c r="G324" s="365"/>
      <c r="H324" s="363"/>
      <c r="I324" s="365"/>
      <c r="K324" s="365"/>
      <c r="L324" s="365"/>
    </row>
    <row r="325" spans="1:12" s="364" customFormat="1" ht="13.5" customHeight="1">
      <c r="A325" s="302"/>
      <c r="B325" s="363"/>
      <c r="C325" s="302"/>
      <c r="E325" s="365"/>
      <c r="F325" s="365"/>
      <c r="G325" s="365"/>
      <c r="H325" s="363"/>
      <c r="I325" s="365"/>
      <c r="K325" s="365"/>
      <c r="L325" s="365"/>
    </row>
    <row r="326" spans="1:12" s="364" customFormat="1" ht="13.5" customHeight="1">
      <c r="A326" s="302"/>
      <c r="B326" s="363"/>
      <c r="C326" s="302"/>
      <c r="E326" s="365"/>
      <c r="F326" s="365"/>
      <c r="G326" s="365"/>
      <c r="H326" s="363"/>
      <c r="I326" s="365"/>
      <c r="K326" s="365"/>
      <c r="L326" s="365"/>
    </row>
    <row r="327" spans="1:12" s="364" customFormat="1" ht="13.5" customHeight="1">
      <c r="A327" s="302"/>
      <c r="B327" s="363"/>
      <c r="C327" s="302"/>
      <c r="E327" s="365"/>
      <c r="F327" s="365"/>
      <c r="G327" s="365"/>
      <c r="H327" s="363"/>
      <c r="I327" s="365"/>
      <c r="K327" s="365"/>
      <c r="L327" s="365"/>
    </row>
    <row r="328" spans="1:12" s="364" customFormat="1" ht="13.5" customHeight="1">
      <c r="A328" s="302"/>
      <c r="B328" s="363"/>
      <c r="C328" s="302"/>
      <c r="E328" s="365"/>
      <c r="F328" s="365"/>
      <c r="G328" s="365"/>
      <c r="H328" s="363"/>
      <c r="I328" s="365"/>
      <c r="K328" s="365"/>
      <c r="L328" s="365"/>
    </row>
    <row r="329" spans="1:12" s="364" customFormat="1" ht="13.5" customHeight="1">
      <c r="A329" s="302"/>
      <c r="B329" s="363"/>
      <c r="C329" s="302"/>
      <c r="E329" s="365"/>
      <c r="F329" s="365"/>
      <c r="G329" s="365"/>
      <c r="H329" s="363"/>
      <c r="I329" s="365"/>
      <c r="K329" s="365"/>
      <c r="L329" s="365"/>
    </row>
    <row r="330" spans="1:12" s="364" customFormat="1" ht="13.5" customHeight="1">
      <c r="A330" s="302"/>
      <c r="B330" s="363"/>
      <c r="C330" s="302"/>
      <c r="E330" s="365"/>
      <c r="F330" s="365"/>
      <c r="G330" s="365"/>
      <c r="H330" s="363"/>
      <c r="I330" s="365"/>
      <c r="K330" s="365"/>
      <c r="L330" s="365"/>
    </row>
    <row r="331" spans="1:12" s="364" customFormat="1" ht="13.5" customHeight="1">
      <c r="A331" s="302"/>
      <c r="B331" s="363"/>
      <c r="C331" s="302"/>
      <c r="E331" s="365"/>
      <c r="F331" s="365"/>
      <c r="G331" s="365"/>
      <c r="H331" s="363"/>
      <c r="I331" s="365"/>
      <c r="K331" s="365"/>
      <c r="L331" s="365"/>
    </row>
    <row r="332" spans="1:12" s="364" customFormat="1" ht="13.5" customHeight="1">
      <c r="A332" s="302"/>
      <c r="B332" s="363"/>
      <c r="C332" s="302"/>
      <c r="E332" s="365"/>
      <c r="F332" s="365"/>
      <c r="G332" s="365"/>
      <c r="H332" s="363"/>
      <c r="I332" s="365"/>
      <c r="K332" s="365"/>
      <c r="L332" s="365"/>
    </row>
    <row r="333" spans="1:12" s="364" customFormat="1" ht="13.5" customHeight="1">
      <c r="A333" s="302"/>
      <c r="B333" s="363"/>
      <c r="C333" s="302"/>
      <c r="E333" s="365"/>
      <c r="F333" s="365"/>
      <c r="G333" s="365"/>
      <c r="H333" s="363"/>
      <c r="I333" s="365"/>
      <c r="K333" s="365"/>
      <c r="L333" s="365"/>
    </row>
    <row r="334" spans="1:12" s="364" customFormat="1" ht="13.5" customHeight="1">
      <c r="A334" s="302"/>
      <c r="B334" s="363"/>
      <c r="C334" s="302"/>
      <c r="E334" s="365"/>
      <c r="F334" s="365"/>
      <c r="G334" s="365"/>
      <c r="H334" s="363"/>
      <c r="I334" s="365"/>
      <c r="K334" s="365"/>
      <c r="L334" s="365"/>
    </row>
    <row r="335" spans="1:12" s="364" customFormat="1" ht="13.5" customHeight="1">
      <c r="A335" s="302"/>
      <c r="B335" s="363"/>
      <c r="C335" s="302"/>
      <c r="E335" s="365"/>
      <c r="F335" s="365"/>
      <c r="G335" s="365"/>
      <c r="H335" s="363"/>
      <c r="I335" s="365"/>
      <c r="K335" s="365"/>
      <c r="L335" s="365"/>
    </row>
    <row r="336" spans="1:12" s="364" customFormat="1" ht="13.5" customHeight="1">
      <c r="A336" s="302"/>
      <c r="B336" s="363"/>
      <c r="C336" s="302"/>
      <c r="E336" s="365"/>
      <c r="F336" s="365"/>
      <c r="G336" s="365"/>
      <c r="H336" s="363"/>
      <c r="I336" s="365"/>
      <c r="K336" s="365"/>
      <c r="L336" s="365"/>
    </row>
    <row r="337" spans="1:12" s="364" customFormat="1" ht="13.5" customHeight="1">
      <c r="A337" s="302"/>
      <c r="B337" s="363"/>
      <c r="C337" s="302"/>
      <c r="E337" s="365"/>
      <c r="F337" s="365"/>
      <c r="G337" s="365"/>
      <c r="H337" s="363"/>
      <c r="I337" s="365"/>
      <c r="K337" s="365"/>
      <c r="L337" s="365"/>
    </row>
    <row r="338" spans="1:12" s="364" customFormat="1" ht="13.5" customHeight="1">
      <c r="A338" s="302"/>
      <c r="B338" s="363"/>
      <c r="C338" s="302"/>
      <c r="E338" s="365"/>
      <c r="F338" s="365"/>
      <c r="G338" s="365"/>
      <c r="H338" s="363"/>
      <c r="I338" s="365"/>
      <c r="K338" s="365"/>
      <c r="L338" s="365"/>
    </row>
    <row r="339" spans="1:12" s="364" customFormat="1" ht="13.5" customHeight="1">
      <c r="A339" s="302"/>
      <c r="B339" s="363"/>
      <c r="C339" s="302"/>
      <c r="E339" s="365"/>
      <c r="F339" s="365"/>
      <c r="G339" s="365"/>
      <c r="H339" s="363"/>
      <c r="I339" s="365"/>
      <c r="K339" s="365"/>
      <c r="L339" s="365"/>
    </row>
    <row r="340" spans="1:12" s="364" customFormat="1" ht="13.5" customHeight="1">
      <c r="A340" s="302"/>
      <c r="B340" s="363"/>
      <c r="C340" s="302"/>
      <c r="E340" s="365"/>
      <c r="F340" s="365"/>
      <c r="G340" s="365"/>
      <c r="H340" s="363"/>
      <c r="I340" s="365"/>
      <c r="K340" s="365"/>
      <c r="L340" s="365"/>
    </row>
    <row r="341" spans="1:12" s="364" customFormat="1" ht="13.5" customHeight="1">
      <c r="A341" s="302"/>
      <c r="B341" s="363"/>
      <c r="C341" s="302"/>
      <c r="E341" s="365"/>
      <c r="F341" s="365"/>
      <c r="G341" s="365"/>
      <c r="H341" s="363"/>
      <c r="I341" s="365"/>
      <c r="K341" s="365"/>
      <c r="L341" s="365"/>
    </row>
    <row r="342" spans="1:12" s="364" customFormat="1" ht="13.5" customHeight="1">
      <c r="A342" s="302"/>
      <c r="B342" s="363"/>
      <c r="C342" s="302"/>
      <c r="E342" s="365"/>
      <c r="F342" s="365"/>
      <c r="G342" s="365"/>
      <c r="H342" s="363"/>
      <c r="I342" s="365"/>
      <c r="K342" s="365"/>
      <c r="L342" s="365"/>
    </row>
    <row r="343" spans="1:12" s="364" customFormat="1" ht="13.5" customHeight="1">
      <c r="A343" s="302"/>
      <c r="B343" s="363"/>
      <c r="C343" s="302"/>
      <c r="E343" s="365"/>
      <c r="F343" s="365"/>
      <c r="G343" s="365"/>
      <c r="H343" s="363"/>
      <c r="I343" s="365"/>
      <c r="K343" s="365"/>
      <c r="L343" s="365"/>
    </row>
    <row r="344" spans="1:12" s="364" customFormat="1" ht="13.5" customHeight="1">
      <c r="A344" s="302"/>
      <c r="B344" s="363"/>
      <c r="C344" s="302"/>
      <c r="E344" s="365"/>
      <c r="F344" s="365"/>
      <c r="G344" s="365"/>
      <c r="H344" s="363"/>
      <c r="I344" s="365"/>
      <c r="K344" s="365"/>
      <c r="L344" s="365"/>
    </row>
    <row r="345" spans="1:12" s="364" customFormat="1" ht="13.5" customHeight="1">
      <c r="A345" s="302"/>
      <c r="B345" s="363"/>
      <c r="C345" s="302"/>
      <c r="E345" s="365"/>
      <c r="F345" s="365"/>
      <c r="G345" s="365"/>
      <c r="H345" s="363"/>
      <c r="I345" s="365"/>
      <c r="K345" s="365"/>
      <c r="L345" s="365"/>
    </row>
    <row r="346" spans="1:12" s="364" customFormat="1" ht="13.5" customHeight="1">
      <c r="A346" s="302"/>
      <c r="B346" s="363"/>
      <c r="C346" s="302"/>
      <c r="E346" s="365"/>
      <c r="F346" s="365"/>
      <c r="G346" s="365"/>
      <c r="H346" s="363"/>
      <c r="I346" s="365"/>
      <c r="K346" s="365"/>
      <c r="L346" s="365"/>
    </row>
    <row r="347" spans="1:12" s="364" customFormat="1" ht="13.5" customHeight="1">
      <c r="A347" s="302"/>
      <c r="B347" s="363"/>
      <c r="C347" s="302"/>
      <c r="E347" s="365"/>
      <c r="F347" s="365"/>
      <c r="G347" s="365"/>
      <c r="H347" s="363"/>
      <c r="I347" s="365"/>
      <c r="K347" s="365"/>
      <c r="L347" s="365"/>
    </row>
    <row r="348" spans="1:12" s="364" customFormat="1" ht="13.5" customHeight="1">
      <c r="A348" s="302"/>
      <c r="B348" s="363"/>
      <c r="C348" s="302"/>
      <c r="E348" s="365"/>
      <c r="F348" s="365"/>
      <c r="G348" s="365"/>
      <c r="H348" s="363"/>
      <c r="I348" s="365"/>
      <c r="K348" s="365"/>
      <c r="L348" s="365"/>
    </row>
    <row r="349" spans="1:12" s="364" customFormat="1" ht="13.5" customHeight="1">
      <c r="A349" s="302"/>
      <c r="B349" s="363"/>
      <c r="C349" s="302"/>
      <c r="E349" s="365"/>
      <c r="F349" s="365"/>
      <c r="G349" s="365"/>
      <c r="H349" s="363"/>
      <c r="I349" s="365"/>
      <c r="K349" s="365"/>
      <c r="L349" s="365"/>
    </row>
    <row r="350" spans="1:12" s="364" customFormat="1" ht="13.5" customHeight="1">
      <c r="A350" s="302"/>
      <c r="B350" s="363"/>
      <c r="C350" s="302"/>
      <c r="E350" s="365"/>
      <c r="F350" s="365"/>
      <c r="G350" s="365"/>
      <c r="H350" s="363"/>
      <c r="I350" s="365"/>
      <c r="K350" s="365"/>
      <c r="L350" s="365"/>
    </row>
    <row r="351" spans="1:12" s="364" customFormat="1" ht="13.5" customHeight="1">
      <c r="A351" s="302"/>
      <c r="B351" s="363"/>
      <c r="C351" s="302"/>
      <c r="E351" s="365"/>
      <c r="F351" s="365"/>
      <c r="G351" s="365"/>
      <c r="H351" s="363"/>
      <c r="I351" s="365"/>
      <c r="K351" s="365"/>
      <c r="L351" s="365"/>
    </row>
    <row r="352" spans="1:12" s="364" customFormat="1" ht="13.5" customHeight="1">
      <c r="A352" s="302"/>
      <c r="B352" s="363"/>
      <c r="C352" s="302"/>
      <c r="E352" s="365"/>
      <c r="F352" s="365"/>
      <c r="G352" s="365"/>
      <c r="H352" s="363"/>
      <c r="I352" s="365"/>
      <c r="K352" s="365"/>
      <c r="L352" s="365"/>
    </row>
    <row r="353" spans="1:12" s="364" customFormat="1" ht="13.5" customHeight="1">
      <c r="A353" s="302"/>
      <c r="B353" s="363"/>
      <c r="C353" s="302"/>
      <c r="E353" s="365"/>
      <c r="F353" s="365"/>
      <c r="G353" s="365"/>
      <c r="H353" s="363"/>
      <c r="I353" s="365"/>
      <c r="K353" s="365"/>
      <c r="L353" s="365"/>
    </row>
    <row r="354" spans="1:12" s="364" customFormat="1" ht="13.5" customHeight="1">
      <c r="A354" s="302"/>
      <c r="B354" s="363"/>
      <c r="C354" s="302"/>
      <c r="E354" s="365"/>
      <c r="F354" s="365"/>
      <c r="G354" s="365"/>
      <c r="H354" s="363"/>
      <c r="I354" s="365"/>
      <c r="K354" s="365"/>
      <c r="L354" s="365"/>
    </row>
    <row r="355" spans="1:12" s="364" customFormat="1" ht="13.5" customHeight="1">
      <c r="A355" s="302"/>
      <c r="B355" s="363"/>
      <c r="C355" s="302"/>
      <c r="E355" s="365"/>
      <c r="F355" s="365"/>
      <c r="G355" s="365"/>
      <c r="H355" s="363"/>
      <c r="I355" s="365"/>
      <c r="K355" s="365"/>
      <c r="L355" s="365"/>
    </row>
    <row r="356" spans="1:12" s="364" customFormat="1" ht="13.5" customHeight="1">
      <c r="A356" s="302"/>
      <c r="B356" s="363"/>
      <c r="C356" s="302"/>
      <c r="E356" s="365"/>
      <c r="F356" s="365"/>
      <c r="G356" s="365"/>
      <c r="H356" s="363"/>
      <c r="I356" s="365"/>
      <c r="K356" s="365"/>
      <c r="L356" s="365"/>
    </row>
    <row r="357" spans="1:12" s="364" customFormat="1" ht="13.5" customHeight="1">
      <c r="A357" s="302"/>
      <c r="B357" s="363"/>
      <c r="C357" s="302"/>
      <c r="E357" s="365"/>
      <c r="F357" s="365"/>
      <c r="G357" s="365"/>
      <c r="H357" s="363"/>
      <c r="I357" s="365"/>
      <c r="K357" s="365"/>
      <c r="L357" s="365"/>
    </row>
    <row r="358" spans="1:12" s="364" customFormat="1" ht="13.5" customHeight="1">
      <c r="A358" s="302"/>
      <c r="B358" s="363"/>
      <c r="C358" s="302"/>
      <c r="E358" s="365"/>
      <c r="F358" s="365"/>
      <c r="G358" s="365"/>
      <c r="H358" s="363"/>
      <c r="I358" s="365"/>
      <c r="K358" s="365"/>
      <c r="L358" s="365"/>
    </row>
    <row r="359" spans="1:12" s="364" customFormat="1" ht="13.5" customHeight="1">
      <c r="A359" s="302"/>
      <c r="B359" s="363"/>
      <c r="C359" s="302"/>
      <c r="E359" s="365"/>
      <c r="F359" s="365"/>
      <c r="G359" s="365"/>
      <c r="H359" s="363"/>
      <c r="I359" s="365"/>
      <c r="K359" s="365"/>
      <c r="L359" s="365"/>
    </row>
    <row r="360" spans="1:12" s="364" customFormat="1" ht="13.5" customHeight="1">
      <c r="A360" s="302"/>
      <c r="B360" s="363"/>
      <c r="C360" s="302"/>
      <c r="E360" s="365"/>
      <c r="F360" s="365"/>
      <c r="G360" s="365"/>
      <c r="H360" s="363"/>
      <c r="I360" s="365"/>
      <c r="K360" s="365"/>
      <c r="L360" s="365"/>
    </row>
    <row r="361" spans="1:12" s="364" customFormat="1" ht="13.5" customHeight="1">
      <c r="A361" s="302"/>
      <c r="B361" s="363"/>
      <c r="C361" s="302"/>
      <c r="E361" s="365"/>
      <c r="F361" s="365"/>
      <c r="G361" s="365"/>
      <c r="H361" s="363"/>
      <c r="I361" s="365"/>
      <c r="K361" s="365"/>
      <c r="L361" s="365"/>
    </row>
    <row r="362" spans="1:12" s="364" customFormat="1" ht="13.5" customHeight="1">
      <c r="A362" s="302"/>
      <c r="B362" s="363"/>
      <c r="C362" s="302"/>
      <c r="E362" s="365"/>
      <c r="F362" s="365"/>
      <c r="G362" s="365"/>
      <c r="H362" s="363"/>
      <c r="I362" s="365"/>
      <c r="K362" s="365"/>
      <c r="L362" s="365"/>
    </row>
    <row r="363" spans="1:12" s="364" customFormat="1" ht="13.5" customHeight="1">
      <c r="A363" s="302"/>
      <c r="B363" s="363"/>
      <c r="C363" s="302"/>
      <c r="E363" s="365"/>
      <c r="F363" s="365"/>
      <c r="G363" s="365"/>
      <c r="H363" s="363"/>
      <c r="I363" s="365"/>
      <c r="K363" s="365"/>
      <c r="L363" s="365"/>
    </row>
    <row r="364" spans="1:12" s="364" customFormat="1" ht="13.5" customHeight="1">
      <c r="A364" s="302"/>
      <c r="B364" s="363"/>
      <c r="C364" s="302"/>
      <c r="E364" s="365"/>
      <c r="F364" s="365"/>
      <c r="G364" s="365"/>
      <c r="H364" s="363"/>
      <c r="I364" s="365"/>
      <c r="K364" s="365"/>
      <c r="L364" s="365"/>
    </row>
    <row r="365" spans="1:12" s="364" customFormat="1" ht="13.5" customHeight="1">
      <c r="A365" s="302"/>
      <c r="B365" s="363"/>
      <c r="C365" s="302"/>
      <c r="E365" s="365"/>
      <c r="F365" s="365"/>
      <c r="G365" s="365"/>
      <c r="H365" s="363"/>
      <c r="I365" s="365"/>
      <c r="K365" s="365"/>
      <c r="L365" s="365"/>
    </row>
    <row r="366" spans="1:12" s="364" customFormat="1" ht="13.5" customHeight="1">
      <c r="A366" s="302"/>
      <c r="B366" s="363"/>
      <c r="C366" s="302"/>
      <c r="E366" s="365"/>
      <c r="F366" s="365"/>
      <c r="G366" s="365"/>
      <c r="H366" s="363"/>
      <c r="I366" s="365"/>
      <c r="K366" s="365"/>
      <c r="L366" s="365"/>
    </row>
    <row r="367" spans="1:12" s="364" customFormat="1" ht="13.5" customHeight="1">
      <c r="A367" s="302"/>
      <c r="B367" s="363"/>
      <c r="C367" s="302"/>
      <c r="E367" s="365"/>
      <c r="F367" s="365"/>
      <c r="G367" s="365"/>
      <c r="H367" s="363"/>
      <c r="I367" s="365"/>
      <c r="K367" s="365"/>
      <c r="L367" s="365"/>
    </row>
    <row r="368" spans="1:12" s="364" customFormat="1" ht="13.5" customHeight="1">
      <c r="A368" s="302"/>
      <c r="B368" s="363"/>
      <c r="C368" s="302"/>
      <c r="E368" s="365"/>
      <c r="F368" s="365"/>
      <c r="G368" s="365"/>
      <c r="H368" s="363"/>
      <c r="I368" s="365"/>
      <c r="K368" s="365"/>
      <c r="L368" s="365"/>
    </row>
    <row r="369" spans="1:12" s="364" customFormat="1" ht="13.5" customHeight="1">
      <c r="A369" s="302"/>
      <c r="B369" s="363"/>
      <c r="C369" s="302"/>
      <c r="E369" s="365"/>
      <c r="F369" s="365"/>
      <c r="G369" s="365"/>
      <c r="H369" s="363"/>
      <c r="I369" s="365"/>
      <c r="K369" s="365"/>
      <c r="L369" s="365"/>
    </row>
    <row r="370" spans="1:12" s="364" customFormat="1" ht="13.5" customHeight="1">
      <c r="A370" s="302"/>
      <c r="B370" s="363"/>
      <c r="C370" s="302"/>
      <c r="E370" s="365"/>
      <c r="F370" s="365"/>
      <c r="G370" s="365"/>
      <c r="H370" s="363"/>
      <c r="I370" s="365"/>
      <c r="K370" s="365"/>
      <c r="L370" s="365"/>
    </row>
    <row r="371" spans="1:12" s="364" customFormat="1" ht="13.5" customHeight="1">
      <c r="A371" s="302"/>
      <c r="B371" s="363"/>
      <c r="C371" s="302"/>
      <c r="E371" s="365"/>
      <c r="F371" s="365"/>
      <c r="G371" s="365"/>
      <c r="H371" s="363"/>
      <c r="I371" s="365"/>
      <c r="K371" s="365"/>
      <c r="L371" s="365"/>
    </row>
    <row r="372" spans="1:12" s="364" customFormat="1" ht="13.5" customHeight="1">
      <c r="A372" s="302"/>
      <c r="B372" s="363"/>
      <c r="C372" s="302"/>
      <c r="E372" s="365"/>
      <c r="F372" s="365"/>
      <c r="G372" s="365"/>
      <c r="H372" s="363"/>
      <c r="I372" s="365"/>
      <c r="K372" s="365"/>
      <c r="L372" s="365"/>
    </row>
    <row r="373" spans="1:12" s="364" customFormat="1" ht="13.5" customHeight="1">
      <c r="A373" s="302"/>
      <c r="B373" s="363"/>
      <c r="C373" s="302"/>
      <c r="E373" s="365"/>
      <c r="F373" s="365"/>
      <c r="G373" s="365"/>
      <c r="H373" s="363"/>
      <c r="I373" s="365"/>
      <c r="K373" s="365"/>
      <c r="L373" s="365"/>
    </row>
    <row r="374" spans="1:12" s="364" customFormat="1" ht="13.5" customHeight="1">
      <c r="A374" s="302"/>
      <c r="B374" s="363"/>
      <c r="C374" s="302"/>
      <c r="E374" s="365"/>
      <c r="F374" s="365"/>
      <c r="G374" s="365"/>
      <c r="H374" s="363"/>
      <c r="I374" s="365"/>
      <c r="K374" s="365"/>
      <c r="L374" s="365"/>
    </row>
    <row r="375" spans="1:12" s="364" customFormat="1" ht="13.5" customHeight="1">
      <c r="A375" s="302"/>
      <c r="B375" s="363"/>
      <c r="C375" s="302"/>
      <c r="E375" s="365"/>
      <c r="F375" s="365"/>
      <c r="G375" s="365"/>
      <c r="H375" s="363"/>
      <c r="I375" s="365"/>
      <c r="K375" s="365"/>
      <c r="L375" s="365"/>
    </row>
    <row r="376" spans="1:12" s="364" customFormat="1" ht="13.5" customHeight="1">
      <c r="A376" s="302"/>
      <c r="B376" s="363"/>
      <c r="C376" s="302"/>
      <c r="E376" s="365"/>
      <c r="F376" s="365"/>
      <c r="G376" s="365"/>
      <c r="H376" s="363"/>
      <c r="I376" s="365"/>
      <c r="K376" s="365"/>
      <c r="L376" s="365"/>
    </row>
    <row r="377" spans="1:12" s="364" customFormat="1" ht="13.5" customHeight="1">
      <c r="A377" s="302"/>
      <c r="B377" s="363"/>
      <c r="C377" s="302"/>
      <c r="E377" s="365"/>
      <c r="F377" s="365"/>
      <c r="G377" s="365"/>
      <c r="H377" s="363"/>
      <c r="I377" s="365"/>
      <c r="K377" s="365"/>
      <c r="L377" s="365"/>
    </row>
    <row r="378" spans="1:12" s="364" customFormat="1" ht="13.5" customHeight="1">
      <c r="A378" s="302"/>
      <c r="B378" s="363"/>
      <c r="C378" s="302"/>
      <c r="E378" s="365"/>
      <c r="F378" s="365"/>
      <c r="G378" s="365"/>
      <c r="H378" s="363"/>
      <c r="I378" s="365"/>
      <c r="K378" s="365"/>
      <c r="L378" s="365"/>
    </row>
    <row r="379" spans="1:12" s="364" customFormat="1" ht="13.5" customHeight="1">
      <c r="A379" s="302"/>
      <c r="B379" s="363"/>
      <c r="C379" s="302"/>
      <c r="E379" s="365"/>
      <c r="F379" s="365"/>
      <c r="G379" s="365"/>
      <c r="H379" s="363"/>
      <c r="I379" s="365"/>
      <c r="K379" s="365"/>
      <c r="L379" s="365"/>
    </row>
    <row r="380" spans="1:12" s="364" customFormat="1" ht="13.5" customHeight="1">
      <c r="A380" s="302"/>
      <c r="B380" s="363"/>
      <c r="C380" s="302"/>
      <c r="E380" s="365"/>
      <c r="F380" s="365"/>
      <c r="G380" s="365"/>
      <c r="H380" s="363"/>
      <c r="I380" s="365"/>
      <c r="K380" s="365"/>
      <c r="L380" s="365"/>
    </row>
    <row r="381" spans="1:12" s="364" customFormat="1" ht="13.5" customHeight="1">
      <c r="A381" s="302"/>
      <c r="B381" s="363"/>
      <c r="C381" s="302"/>
      <c r="E381" s="365"/>
      <c r="F381" s="365"/>
      <c r="G381" s="365"/>
      <c r="H381" s="363"/>
      <c r="I381" s="365"/>
      <c r="K381" s="365"/>
      <c r="L381" s="365"/>
    </row>
    <row r="382" spans="1:12" s="364" customFormat="1" ht="13.5" customHeight="1">
      <c r="A382" s="302"/>
      <c r="B382" s="363"/>
      <c r="C382" s="302"/>
      <c r="E382" s="365"/>
      <c r="F382" s="365"/>
      <c r="G382" s="365"/>
      <c r="H382" s="363"/>
      <c r="I382" s="365"/>
      <c r="K382" s="365"/>
      <c r="L382" s="365"/>
    </row>
    <row r="383" spans="1:12" s="364" customFormat="1" ht="13.5" customHeight="1">
      <c r="A383" s="302"/>
      <c r="B383" s="363"/>
      <c r="C383" s="302"/>
      <c r="E383" s="365"/>
      <c r="F383" s="365"/>
      <c r="G383" s="365"/>
      <c r="H383" s="363"/>
      <c r="I383" s="365"/>
      <c r="K383" s="365"/>
      <c r="L383" s="365"/>
    </row>
    <row r="384" spans="1:12" s="364" customFormat="1" ht="13.5" customHeight="1">
      <c r="A384" s="302"/>
      <c r="B384" s="363"/>
      <c r="C384" s="302"/>
      <c r="E384" s="365"/>
      <c r="F384" s="365"/>
      <c r="G384" s="365"/>
      <c r="H384" s="363"/>
      <c r="I384" s="365"/>
      <c r="K384" s="365"/>
      <c r="L384" s="365"/>
    </row>
    <row r="385" spans="1:12" s="364" customFormat="1" ht="13.5" customHeight="1">
      <c r="A385" s="302"/>
      <c r="B385" s="363"/>
      <c r="C385" s="302"/>
      <c r="E385" s="365"/>
      <c r="F385" s="365"/>
      <c r="G385" s="365"/>
      <c r="H385" s="363"/>
      <c r="I385" s="365"/>
      <c r="K385" s="365"/>
      <c r="L385" s="365"/>
    </row>
    <row r="386" spans="1:12" s="364" customFormat="1" ht="13.5" customHeight="1">
      <c r="A386" s="302"/>
      <c r="B386" s="363"/>
      <c r="C386" s="302"/>
      <c r="E386" s="365"/>
      <c r="F386" s="365"/>
      <c r="G386" s="365"/>
      <c r="H386" s="363"/>
      <c r="I386" s="365"/>
      <c r="K386" s="365"/>
      <c r="L386" s="365"/>
    </row>
    <row r="387" spans="1:12" s="364" customFormat="1" ht="13.5" customHeight="1">
      <c r="A387" s="302"/>
      <c r="B387" s="363"/>
      <c r="C387" s="302"/>
      <c r="E387" s="365"/>
      <c r="F387" s="365"/>
      <c r="G387" s="365"/>
      <c r="H387" s="363"/>
      <c r="I387" s="365"/>
      <c r="K387" s="365"/>
      <c r="L387" s="365"/>
    </row>
    <row r="388" spans="1:12" s="364" customFormat="1" ht="13.5" customHeight="1">
      <c r="A388" s="302"/>
      <c r="B388" s="363"/>
      <c r="C388" s="302"/>
      <c r="E388" s="365"/>
      <c r="F388" s="365"/>
      <c r="G388" s="365"/>
      <c r="H388" s="363"/>
      <c r="I388" s="365"/>
      <c r="K388" s="365"/>
      <c r="L388" s="365"/>
    </row>
    <row r="389" spans="1:12" s="364" customFormat="1" ht="13.5" customHeight="1">
      <c r="A389" s="302"/>
      <c r="B389" s="363"/>
      <c r="C389" s="302"/>
      <c r="E389" s="365"/>
      <c r="F389" s="365"/>
      <c r="G389" s="365"/>
      <c r="H389" s="363"/>
      <c r="I389" s="365"/>
      <c r="K389" s="365"/>
      <c r="L389" s="365"/>
    </row>
    <row r="390" spans="1:12" s="364" customFormat="1" ht="13.5" customHeight="1">
      <c r="A390" s="302"/>
      <c r="B390" s="363"/>
      <c r="C390" s="302"/>
      <c r="E390" s="365"/>
      <c r="F390" s="365"/>
      <c r="G390" s="365"/>
      <c r="H390" s="363"/>
      <c r="I390" s="365"/>
      <c r="K390" s="365"/>
      <c r="L390" s="365"/>
    </row>
    <row r="391" spans="1:12" s="364" customFormat="1" ht="13.5" customHeight="1">
      <c r="A391" s="302"/>
      <c r="B391" s="363"/>
      <c r="C391" s="302"/>
      <c r="E391" s="365"/>
      <c r="F391" s="365"/>
      <c r="G391" s="365"/>
      <c r="H391" s="363"/>
      <c r="I391" s="365"/>
      <c r="K391" s="365"/>
      <c r="L391" s="365"/>
    </row>
    <row r="392" spans="1:12" s="364" customFormat="1" ht="13.5" customHeight="1">
      <c r="A392" s="302"/>
      <c r="B392" s="363"/>
      <c r="C392" s="302"/>
      <c r="E392" s="365"/>
      <c r="F392" s="365"/>
      <c r="G392" s="365"/>
      <c r="H392" s="363"/>
      <c r="I392" s="365"/>
      <c r="K392" s="365"/>
      <c r="L392" s="365"/>
    </row>
    <row r="393" spans="1:12" s="364" customFormat="1" ht="13.5" customHeight="1">
      <c r="A393" s="302"/>
      <c r="B393" s="363"/>
      <c r="C393" s="302"/>
      <c r="E393" s="365"/>
      <c r="F393" s="365"/>
      <c r="G393" s="365"/>
      <c r="H393" s="363"/>
      <c r="I393" s="365"/>
      <c r="K393" s="365"/>
      <c r="L393" s="365"/>
    </row>
    <row r="394" spans="1:12" s="364" customFormat="1" ht="13.5" customHeight="1">
      <c r="A394" s="302"/>
      <c r="B394" s="363"/>
      <c r="C394" s="302"/>
      <c r="E394" s="365"/>
      <c r="F394" s="365"/>
      <c r="G394" s="365"/>
      <c r="H394" s="363"/>
      <c r="I394" s="365"/>
      <c r="K394" s="365"/>
      <c r="L394" s="365"/>
    </row>
    <row r="395" spans="1:12" s="364" customFormat="1" ht="13.5" customHeight="1">
      <c r="A395" s="302"/>
      <c r="B395" s="363"/>
      <c r="C395" s="302"/>
      <c r="E395" s="365"/>
      <c r="F395" s="365"/>
      <c r="G395" s="365"/>
      <c r="H395" s="363"/>
      <c r="I395" s="365"/>
      <c r="K395" s="365"/>
      <c r="L395" s="365"/>
    </row>
    <row r="396" spans="1:12" s="364" customFormat="1" ht="13.5" customHeight="1">
      <c r="A396" s="302"/>
      <c r="B396" s="363"/>
      <c r="C396" s="302"/>
      <c r="E396" s="365"/>
      <c r="F396" s="365"/>
      <c r="G396" s="365"/>
      <c r="H396" s="363"/>
      <c r="I396" s="365"/>
      <c r="K396" s="365"/>
      <c r="L396" s="365"/>
    </row>
    <row r="397" spans="1:12" s="364" customFormat="1" ht="13.5" customHeight="1">
      <c r="A397" s="302"/>
      <c r="B397" s="363"/>
      <c r="C397" s="302"/>
      <c r="E397" s="365"/>
      <c r="F397" s="365"/>
      <c r="G397" s="365"/>
      <c r="H397" s="363"/>
      <c r="I397" s="365"/>
      <c r="K397" s="365"/>
      <c r="L397" s="365"/>
    </row>
    <row r="398" spans="1:12" s="364" customFormat="1" ht="13.5" customHeight="1">
      <c r="A398" s="302"/>
      <c r="B398" s="363"/>
      <c r="C398" s="302"/>
      <c r="E398" s="365"/>
      <c r="F398" s="365"/>
      <c r="G398" s="365"/>
      <c r="H398" s="363"/>
      <c r="I398" s="365"/>
      <c r="K398" s="365"/>
      <c r="L398" s="365"/>
    </row>
    <row r="399" spans="1:12" s="364" customFormat="1" ht="13.5" customHeight="1">
      <c r="A399" s="302"/>
      <c r="B399" s="363"/>
      <c r="C399" s="302"/>
      <c r="E399" s="365"/>
      <c r="F399" s="365"/>
      <c r="G399" s="365"/>
      <c r="H399" s="363"/>
      <c r="I399" s="365"/>
      <c r="K399" s="365"/>
      <c r="L399" s="365"/>
    </row>
    <row r="400" spans="1:12" s="364" customFormat="1" ht="13.5" customHeight="1">
      <c r="A400" s="302"/>
      <c r="B400" s="363"/>
      <c r="C400" s="302"/>
      <c r="E400" s="365"/>
      <c r="F400" s="365"/>
      <c r="G400" s="365"/>
      <c r="H400" s="363"/>
      <c r="I400" s="365"/>
      <c r="K400" s="365"/>
      <c r="L400" s="365"/>
    </row>
    <row r="401" spans="1:12" s="364" customFormat="1" ht="13.5" customHeight="1">
      <c r="A401" s="302"/>
      <c r="B401" s="363"/>
      <c r="C401" s="302"/>
      <c r="E401" s="365"/>
      <c r="F401" s="365"/>
      <c r="G401" s="365"/>
      <c r="H401" s="363"/>
      <c r="I401" s="365"/>
      <c r="K401" s="365"/>
      <c r="L401" s="365"/>
    </row>
    <row r="402" spans="1:12" s="364" customFormat="1" ht="13.5" customHeight="1">
      <c r="A402" s="302"/>
      <c r="B402" s="363"/>
      <c r="C402" s="302"/>
      <c r="E402" s="365"/>
      <c r="F402" s="365"/>
      <c r="G402" s="365"/>
      <c r="H402" s="363"/>
      <c r="I402" s="365"/>
      <c r="K402" s="365"/>
      <c r="L402" s="365"/>
    </row>
    <row r="403" spans="1:12" s="364" customFormat="1" ht="13.5" customHeight="1">
      <c r="A403" s="302"/>
      <c r="B403" s="363"/>
      <c r="C403" s="302"/>
      <c r="E403" s="365"/>
      <c r="F403" s="365"/>
      <c r="G403" s="365"/>
      <c r="H403" s="363"/>
      <c r="I403" s="365"/>
      <c r="K403" s="365"/>
      <c r="L403" s="365"/>
    </row>
    <row r="404" spans="1:12" s="364" customFormat="1" ht="13.5" customHeight="1">
      <c r="A404" s="302"/>
      <c r="B404" s="363"/>
      <c r="C404" s="302"/>
      <c r="E404" s="365"/>
      <c r="F404" s="365"/>
      <c r="G404" s="365"/>
      <c r="H404" s="363"/>
      <c r="I404" s="365"/>
      <c r="K404" s="365"/>
      <c r="L404" s="365"/>
    </row>
    <row r="405" spans="1:12" s="364" customFormat="1" ht="13.5" customHeight="1">
      <c r="A405" s="302"/>
      <c r="B405" s="363"/>
      <c r="C405" s="302"/>
      <c r="E405" s="365"/>
      <c r="F405" s="365"/>
      <c r="G405" s="365"/>
      <c r="H405" s="363"/>
      <c r="I405" s="365"/>
      <c r="K405" s="365"/>
      <c r="L405" s="365"/>
    </row>
    <row r="406" spans="1:12" s="364" customFormat="1" ht="13.5" customHeight="1">
      <c r="A406" s="302"/>
      <c r="B406" s="363"/>
      <c r="C406" s="302"/>
      <c r="E406" s="365"/>
      <c r="F406" s="365"/>
      <c r="G406" s="365"/>
      <c r="H406" s="363"/>
      <c r="I406" s="365"/>
      <c r="K406" s="365"/>
      <c r="L406" s="365"/>
    </row>
  </sheetData>
  <mergeCells count="16">
    <mergeCell ref="J3:J5"/>
    <mergeCell ref="K3:K5"/>
    <mergeCell ref="L3:L5"/>
    <mergeCell ref="I6:I7"/>
    <mergeCell ref="I23:I24"/>
    <mergeCell ref="C40:C41"/>
    <mergeCell ref="H1:I1"/>
    <mergeCell ref="A3:A5"/>
    <mergeCell ref="B3:B5"/>
    <mergeCell ref="C3:C5"/>
    <mergeCell ref="D3:D5"/>
    <mergeCell ref="E3:E5"/>
    <mergeCell ref="F3:F5"/>
    <mergeCell ref="G3:G5"/>
    <mergeCell ref="H3:H5"/>
    <mergeCell ref="I3:I5"/>
  </mergeCells>
  <phoneticPr fontId="3"/>
  <printOptions horizontalCentered="1" gridLinesSet="0"/>
  <pageMargins left="0.39370078740157483" right="0.39370078740157483" top="0.59055118110236227" bottom="0.51181102362204722" header="0.39370078740157483" footer="0.31496062992125984"/>
  <pageSetup paperSize="9" scale="93" fitToHeight="0" orientation="landscape" horizontalDpi="4294967292" verticalDpi="400" r:id="rId1"/>
  <headerFooter scaleWithDoc="0">
    <oddFooter>&amp;C&amp;"ＭＳ Ｐゴシック,標準"&amp;9( &amp;P / &amp;N )</oddFooter>
  </headerFooter>
  <rowBreaks count="4" manualBreakCount="4">
    <brk id="39" max="16383" man="1"/>
    <brk id="73" max="16383" man="1"/>
    <brk id="107" max="16383" man="1"/>
    <brk id="1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277</v>
      </c>
    </row>
    <row r="6" spans="1:5" ht="30" customHeight="1">
      <c r="A6" s="6"/>
    </row>
    <row r="7" spans="1:5" ht="30" customHeight="1">
      <c r="A7" s="6" t="s">
        <v>278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349</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348</v>
      </c>
      <c r="HA1" s="376"/>
      <c r="HB1" s="379"/>
      <c r="HC1" s="1451" t="s">
        <v>433</v>
      </c>
      <c r="HD1" s="382"/>
      <c r="HE1" s="383"/>
      <c r="HF1" s="382"/>
      <c r="HG1" s="1449"/>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355</v>
      </c>
      <c r="B3" s="395">
        <v>201</v>
      </c>
      <c r="C3" s="396" t="s">
        <v>357</v>
      </c>
      <c r="D3" s="397" t="s">
        <v>358</v>
      </c>
      <c r="E3" s="397"/>
      <c r="F3" s="397"/>
      <c r="G3" s="397"/>
      <c r="H3" s="397"/>
      <c r="I3" s="397"/>
      <c r="J3" s="398"/>
      <c r="K3" s="399" t="s">
        <v>359</v>
      </c>
      <c r="L3" s="400"/>
      <c r="M3" s="399" t="s">
        <v>360</v>
      </c>
      <c r="N3" s="400"/>
      <c r="O3" s="401" t="s">
        <v>647</v>
      </c>
      <c r="P3" s="402"/>
      <c r="Q3" s="402"/>
      <c r="R3" s="402"/>
      <c r="S3" s="402"/>
      <c r="T3" s="402"/>
      <c r="U3" s="402"/>
      <c r="V3" s="403"/>
      <c r="W3" s="404" t="s">
        <v>361</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362</v>
      </c>
      <c r="BE3" s="395">
        <v>201</v>
      </c>
      <c r="BF3" s="396" t="s">
        <v>356</v>
      </c>
      <c r="BG3" s="408" t="s">
        <v>343</v>
      </c>
      <c r="BH3" s="408"/>
      <c r="BI3" s="408"/>
      <c r="BJ3" s="408"/>
      <c r="BK3" s="408"/>
      <c r="BL3" s="408"/>
      <c r="BM3" s="409"/>
      <c r="BN3" s="399" t="s">
        <v>359</v>
      </c>
      <c r="BO3" s="400"/>
      <c r="BP3" s="399" t="s">
        <v>360</v>
      </c>
      <c r="BQ3" s="400"/>
      <c r="BR3" s="401" t="s">
        <v>651</v>
      </c>
      <c r="BS3" s="402"/>
      <c r="BT3" s="402"/>
      <c r="BU3" s="402"/>
      <c r="BV3" s="402"/>
      <c r="BW3" s="402"/>
      <c r="BX3" s="402"/>
      <c r="BY3" s="403"/>
      <c r="BZ3" s="404" t="s">
        <v>361</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362</v>
      </c>
      <c r="DH3" s="395">
        <v>201</v>
      </c>
      <c r="DI3" s="396" t="s">
        <v>356</v>
      </c>
      <c r="DJ3" s="408" t="s">
        <v>343</v>
      </c>
      <c r="DK3" s="408"/>
      <c r="DL3" s="408"/>
      <c r="DM3" s="408"/>
      <c r="DN3" s="408"/>
      <c r="DO3" s="408"/>
      <c r="DP3" s="409"/>
      <c r="DQ3" s="399" t="s">
        <v>359</v>
      </c>
      <c r="DR3" s="400"/>
      <c r="DS3" s="399" t="s">
        <v>360</v>
      </c>
      <c r="DT3" s="400"/>
      <c r="DU3" s="401" t="s">
        <v>647</v>
      </c>
      <c r="DV3" s="402"/>
      <c r="DW3" s="402"/>
      <c r="DX3" s="402"/>
      <c r="DY3" s="402"/>
      <c r="DZ3" s="402"/>
      <c r="EA3" s="402"/>
      <c r="EB3" s="403"/>
      <c r="EC3" s="404" t="s">
        <v>361</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362</v>
      </c>
      <c r="FK3" s="395">
        <v>201</v>
      </c>
      <c r="FL3" s="396" t="s">
        <v>356</v>
      </c>
      <c r="FM3" s="408" t="s">
        <v>343</v>
      </c>
      <c r="FN3" s="408"/>
      <c r="FO3" s="408"/>
      <c r="FP3" s="408"/>
      <c r="FQ3" s="408"/>
      <c r="FR3" s="408"/>
      <c r="FS3" s="409"/>
      <c r="FT3" s="399" t="s">
        <v>359</v>
      </c>
      <c r="FU3" s="400"/>
      <c r="FV3" s="399" t="s">
        <v>360</v>
      </c>
      <c r="FW3" s="400"/>
      <c r="FX3" s="401" t="s">
        <v>658</v>
      </c>
      <c r="FY3" s="402"/>
      <c r="FZ3" s="402"/>
      <c r="GA3" s="402"/>
      <c r="GB3" s="402"/>
      <c r="GC3" s="402"/>
      <c r="GD3" s="402"/>
      <c r="GE3" s="403"/>
      <c r="GF3" s="404" t="s">
        <v>361</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363</v>
      </c>
      <c r="P4" s="426"/>
      <c r="Q4" s="427" t="s">
        <v>364</v>
      </c>
      <c r="R4" s="426"/>
      <c r="S4" s="428" t="s">
        <v>365</v>
      </c>
      <c r="T4" s="429"/>
      <c r="U4" s="430" t="s">
        <v>366</v>
      </c>
      <c r="V4" s="431"/>
      <c r="W4" s="432" t="s">
        <v>367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363</v>
      </c>
      <c r="BS4" s="426"/>
      <c r="BT4" s="427" t="s">
        <v>364</v>
      </c>
      <c r="BU4" s="426"/>
      <c r="BV4" s="428" t="s">
        <v>365</v>
      </c>
      <c r="BW4" s="429"/>
      <c r="BX4" s="430" t="s">
        <v>366</v>
      </c>
      <c r="BY4" s="431"/>
      <c r="BZ4" s="432" t="s">
        <v>367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363</v>
      </c>
      <c r="DV4" s="426"/>
      <c r="DW4" s="427" t="s">
        <v>364</v>
      </c>
      <c r="DX4" s="426"/>
      <c r="DY4" s="428" t="s">
        <v>365</v>
      </c>
      <c r="DZ4" s="429"/>
      <c r="EA4" s="430" t="s">
        <v>366</v>
      </c>
      <c r="EB4" s="431"/>
      <c r="EC4" s="432" t="s">
        <v>367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363</v>
      </c>
      <c r="FY4" s="426"/>
      <c r="FZ4" s="427" t="s">
        <v>364</v>
      </c>
      <c r="GA4" s="426"/>
      <c r="GB4" s="428" t="s">
        <v>365</v>
      </c>
      <c r="GC4" s="429"/>
      <c r="GD4" s="430" t="s">
        <v>366</v>
      </c>
      <c r="GE4" s="431"/>
      <c r="GF4" s="432" t="s">
        <v>344</v>
      </c>
      <c r="GG4" s="433"/>
      <c r="GH4" s="434"/>
      <c r="GI4" s="410"/>
      <c r="GJ4" s="437"/>
      <c r="GK4" s="437"/>
      <c r="GL4" s="437"/>
      <c r="GM4" s="437"/>
      <c r="GN4" s="437"/>
      <c r="GO4" s="437"/>
      <c r="GP4" s="437"/>
      <c r="GQ4" s="437"/>
      <c r="GR4" s="437"/>
      <c r="GS4" s="414"/>
      <c r="GT4" s="437"/>
      <c r="GU4" s="437"/>
      <c r="GV4" s="437"/>
      <c r="GW4" s="437"/>
      <c r="GX4" s="437"/>
      <c r="GY4" s="437"/>
      <c r="GZ4" s="437"/>
      <c r="HA4" s="437"/>
      <c r="HB4" s="437"/>
      <c r="HC4" s="1452"/>
      <c r="HD4" s="438"/>
      <c r="HE4" s="438"/>
      <c r="HF4" s="501"/>
      <c r="HG4" s="387"/>
      <c r="MO4" s="393" t="s">
        <v>344</v>
      </c>
    </row>
    <row r="5" spans="1:353" ht="24.95" customHeight="1" thickBot="1">
      <c r="A5" s="439" t="s">
        <v>369</v>
      </c>
      <c r="B5" s="440">
        <v>2</v>
      </c>
      <c r="C5" s="441" t="s">
        <v>370</v>
      </c>
      <c r="D5" s="442">
        <v>54.8</v>
      </c>
      <c r="E5" s="443" t="s">
        <v>371</v>
      </c>
      <c r="F5" s="444">
        <v>2.8</v>
      </c>
      <c r="G5" s="445" t="s">
        <v>372</v>
      </c>
      <c r="H5" s="446"/>
      <c r="I5" s="447">
        <v>153.5</v>
      </c>
      <c r="J5" s="448"/>
      <c r="K5" s="449">
        <v>180</v>
      </c>
      <c r="L5" s="450"/>
      <c r="M5" s="449">
        <v>50</v>
      </c>
      <c r="N5" s="450"/>
      <c r="O5" s="1445" t="s">
        <v>643</v>
      </c>
      <c r="P5" s="451"/>
      <c r="Q5" s="1446" t="s">
        <v>644</v>
      </c>
      <c r="R5" s="452"/>
      <c r="S5" s="1447" t="s">
        <v>645</v>
      </c>
      <c r="T5" s="453"/>
      <c r="U5" s="1448" t="s">
        <v>646</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369</v>
      </c>
      <c r="BE5" s="440">
        <v>2</v>
      </c>
      <c r="BF5" s="441" t="s">
        <v>281</v>
      </c>
      <c r="BG5" s="442">
        <v>54.8</v>
      </c>
      <c r="BH5" s="443" t="s">
        <v>371</v>
      </c>
      <c r="BI5" s="444">
        <v>2.8</v>
      </c>
      <c r="BJ5" s="445" t="s">
        <v>373</v>
      </c>
      <c r="BK5" s="446"/>
      <c r="BL5" s="447">
        <v>153.5</v>
      </c>
      <c r="BM5" s="448"/>
      <c r="BN5" s="449">
        <v>180</v>
      </c>
      <c r="BO5" s="450"/>
      <c r="BP5" s="449">
        <v>50</v>
      </c>
      <c r="BQ5" s="450"/>
      <c r="BR5" s="1445" t="s">
        <v>648</v>
      </c>
      <c r="BS5" s="451"/>
      <c r="BT5" s="1446" t="s">
        <v>644</v>
      </c>
      <c r="BU5" s="452"/>
      <c r="BV5" s="1447" t="s">
        <v>649</v>
      </c>
      <c r="BW5" s="453"/>
      <c r="BX5" s="1448" t="s">
        <v>650</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369</v>
      </c>
      <c r="DH5" s="440">
        <v>2</v>
      </c>
      <c r="DI5" s="441" t="s">
        <v>281</v>
      </c>
      <c r="DJ5" s="442">
        <v>54.8</v>
      </c>
      <c r="DK5" s="443" t="s">
        <v>371</v>
      </c>
      <c r="DL5" s="444">
        <v>2.8</v>
      </c>
      <c r="DM5" s="445" t="s">
        <v>373</v>
      </c>
      <c r="DN5" s="446"/>
      <c r="DO5" s="447">
        <v>153.5</v>
      </c>
      <c r="DP5" s="448"/>
      <c r="DQ5" s="449">
        <v>180</v>
      </c>
      <c r="DR5" s="450"/>
      <c r="DS5" s="449">
        <v>50</v>
      </c>
      <c r="DT5" s="450"/>
      <c r="DU5" s="1445" t="s">
        <v>652</v>
      </c>
      <c r="DV5" s="451"/>
      <c r="DW5" s="1446" t="s">
        <v>644</v>
      </c>
      <c r="DX5" s="452"/>
      <c r="DY5" s="1447" t="s">
        <v>653</v>
      </c>
      <c r="DZ5" s="453"/>
      <c r="EA5" s="1448" t="s">
        <v>646</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369</v>
      </c>
      <c r="FK5" s="440">
        <v>2</v>
      </c>
      <c r="FL5" s="441" t="s">
        <v>281</v>
      </c>
      <c r="FM5" s="442">
        <v>54.8</v>
      </c>
      <c r="FN5" s="443" t="s">
        <v>371</v>
      </c>
      <c r="FO5" s="444">
        <v>2.8</v>
      </c>
      <c r="FP5" s="445" t="s">
        <v>373</v>
      </c>
      <c r="FQ5" s="446"/>
      <c r="FR5" s="447">
        <v>153.5</v>
      </c>
      <c r="FS5" s="448"/>
      <c r="FT5" s="449">
        <v>180</v>
      </c>
      <c r="FU5" s="450"/>
      <c r="FV5" s="449">
        <v>50</v>
      </c>
      <c r="FW5" s="450"/>
      <c r="FX5" s="1445" t="s">
        <v>654</v>
      </c>
      <c r="FY5" s="451"/>
      <c r="FZ5" s="1446" t="s">
        <v>655</v>
      </c>
      <c r="GA5" s="452"/>
      <c r="GB5" s="1447" t="s">
        <v>656</v>
      </c>
      <c r="GC5" s="453"/>
      <c r="GD5" s="1448"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374</v>
      </c>
      <c r="B6" s="464"/>
      <c r="C6" s="465" t="s">
        <v>375</v>
      </c>
      <c r="D6" s="465"/>
      <c r="E6" s="465"/>
      <c r="F6" s="466">
        <v>0</v>
      </c>
      <c r="G6" s="466"/>
      <c r="H6" s="465" t="s">
        <v>376</v>
      </c>
      <c r="I6" s="465"/>
      <c r="J6" s="465"/>
      <c r="K6" s="465"/>
      <c r="L6" s="465"/>
      <c r="M6" s="467">
        <v>0</v>
      </c>
      <c r="N6" s="467"/>
      <c r="O6" s="468"/>
      <c r="P6" s="469"/>
      <c r="Q6" s="469" t="s">
        <v>377</v>
      </c>
      <c r="R6" s="470">
        <v>0</v>
      </c>
      <c r="S6" s="470"/>
      <c r="T6" s="471"/>
      <c r="U6" s="472" t="s">
        <v>378</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380</v>
      </c>
      <c r="BC6" s="476"/>
      <c r="BD6" s="463" t="s">
        <v>374</v>
      </c>
      <c r="BE6" s="464"/>
      <c r="BF6" s="465" t="s">
        <v>375</v>
      </c>
      <c r="BG6" s="465"/>
      <c r="BH6" s="465"/>
      <c r="BI6" s="466">
        <v>0</v>
      </c>
      <c r="BJ6" s="466"/>
      <c r="BK6" s="465" t="s">
        <v>376</v>
      </c>
      <c r="BL6" s="465"/>
      <c r="BM6" s="465"/>
      <c r="BN6" s="465"/>
      <c r="BO6" s="465"/>
      <c r="BP6" s="467">
        <v>0</v>
      </c>
      <c r="BQ6" s="467"/>
      <c r="BR6" s="468"/>
      <c r="BS6" s="469"/>
      <c r="BT6" s="469" t="s">
        <v>282</v>
      </c>
      <c r="BU6" s="470">
        <v>0</v>
      </c>
      <c r="BV6" s="470"/>
      <c r="BW6" s="471"/>
      <c r="BX6" s="472" t="s">
        <v>283</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382</v>
      </c>
      <c r="DF6" s="478"/>
      <c r="DG6" s="463" t="s">
        <v>374</v>
      </c>
      <c r="DH6" s="464"/>
      <c r="DI6" s="465" t="s">
        <v>375</v>
      </c>
      <c r="DJ6" s="465"/>
      <c r="DK6" s="465"/>
      <c r="DL6" s="466">
        <v>0</v>
      </c>
      <c r="DM6" s="466"/>
      <c r="DN6" s="465" t="s">
        <v>376</v>
      </c>
      <c r="DO6" s="465"/>
      <c r="DP6" s="465"/>
      <c r="DQ6" s="465"/>
      <c r="DR6" s="465"/>
      <c r="DS6" s="467">
        <v>0</v>
      </c>
      <c r="DT6" s="467"/>
      <c r="DU6" s="468"/>
      <c r="DV6" s="469"/>
      <c r="DW6" s="469" t="s">
        <v>282</v>
      </c>
      <c r="DX6" s="470">
        <v>0</v>
      </c>
      <c r="DY6" s="470"/>
      <c r="DZ6" s="471"/>
      <c r="EA6" s="472" t="s">
        <v>283</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384</v>
      </c>
      <c r="FI6" s="478"/>
      <c r="FJ6" s="463" t="s">
        <v>385</v>
      </c>
      <c r="FK6" s="464"/>
      <c r="FL6" s="465" t="s">
        <v>375</v>
      </c>
      <c r="FM6" s="465"/>
      <c r="FN6" s="465"/>
      <c r="FO6" s="466">
        <v>0</v>
      </c>
      <c r="FP6" s="466"/>
      <c r="FQ6" s="465" t="s">
        <v>376</v>
      </c>
      <c r="FR6" s="465"/>
      <c r="FS6" s="465"/>
      <c r="FT6" s="465"/>
      <c r="FU6" s="465"/>
      <c r="FV6" s="467">
        <v>0</v>
      </c>
      <c r="FW6" s="467"/>
      <c r="FX6" s="468"/>
      <c r="FY6" s="469"/>
      <c r="FZ6" s="469" t="s">
        <v>386</v>
      </c>
      <c r="GA6" s="470">
        <v>0</v>
      </c>
      <c r="GB6" s="470"/>
      <c r="GC6" s="471"/>
      <c r="GD6" s="472" t="s">
        <v>387</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284</v>
      </c>
      <c r="B7" s="486"/>
      <c r="C7" s="486"/>
      <c r="D7" s="486"/>
      <c r="E7" s="486"/>
      <c r="F7" s="487"/>
      <c r="G7" s="488" t="s">
        <v>285</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284</v>
      </c>
      <c r="BE7" s="486"/>
      <c r="BF7" s="486"/>
      <c r="BG7" s="486"/>
      <c r="BH7" s="486"/>
      <c r="BI7" s="487"/>
      <c r="BJ7" s="488" t="s">
        <v>286</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284</v>
      </c>
      <c r="DH7" s="486"/>
      <c r="DI7" s="486"/>
      <c r="DJ7" s="486"/>
      <c r="DK7" s="486"/>
      <c r="DL7" s="487"/>
      <c r="DM7" s="488" t="s">
        <v>287</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284</v>
      </c>
      <c r="FK7" s="486"/>
      <c r="FL7" s="486"/>
      <c r="FM7" s="486"/>
      <c r="FN7" s="486"/>
      <c r="FO7" s="487"/>
      <c r="FP7" s="491" t="s">
        <v>288</v>
      </c>
      <c r="FQ7" s="492"/>
      <c r="FR7" s="492"/>
      <c r="FS7" s="492"/>
      <c r="FT7" s="492"/>
      <c r="FU7" s="492"/>
      <c r="FV7" s="493" t="s">
        <v>289</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290</v>
      </c>
      <c r="FQ8" s="518"/>
      <c r="FR8" s="519"/>
      <c r="FS8" s="520" t="s">
        <v>291</v>
      </c>
      <c r="FT8" s="520"/>
      <c r="FU8" s="521"/>
      <c r="FV8" s="522"/>
      <c r="FW8" s="523"/>
      <c r="FX8" s="523"/>
      <c r="FY8" s="523"/>
      <c r="FZ8" s="523"/>
      <c r="GA8" s="523"/>
      <c r="GB8" s="523"/>
      <c r="GC8" s="523"/>
      <c r="GD8" s="523"/>
      <c r="GE8" s="524"/>
      <c r="GF8" s="496"/>
      <c r="GG8" s="480"/>
      <c r="GH8" s="480"/>
      <c r="GI8" s="480"/>
      <c r="GJ8" s="525" t="s">
        <v>416</v>
      </c>
      <c r="GK8" s="525"/>
      <c r="GL8" s="526"/>
      <c r="GM8" s="527"/>
      <c r="GN8" s="526"/>
      <c r="GO8" s="527"/>
      <c r="GP8" s="526"/>
      <c r="GQ8" s="526"/>
      <c r="GR8" s="526"/>
      <c r="GS8" s="526"/>
      <c r="GT8" s="525" t="s">
        <v>416</v>
      </c>
      <c r="GU8" s="525"/>
      <c r="GV8" s="414"/>
      <c r="GW8" s="480"/>
      <c r="GX8" s="483"/>
      <c r="GY8" s="480"/>
      <c r="GZ8" s="483"/>
      <c r="HA8" s="527"/>
      <c r="HB8" s="527"/>
      <c r="HC8" s="527"/>
      <c r="HD8" s="438"/>
      <c r="HE8" s="438"/>
      <c r="HF8" s="1450"/>
      <c r="HG8" s="1450"/>
    </row>
    <row r="9" spans="1:353" ht="22.5" customHeight="1">
      <c r="A9" s="529" t="s">
        <v>292</v>
      </c>
      <c r="B9" s="530" t="s">
        <v>293</v>
      </c>
      <c r="C9" s="531" t="s">
        <v>294</v>
      </c>
      <c r="D9" s="531" t="s">
        <v>295</v>
      </c>
      <c r="E9" s="532" t="s">
        <v>296</v>
      </c>
      <c r="F9" s="533" t="s">
        <v>297</v>
      </c>
      <c r="G9" s="534" t="s">
        <v>298</v>
      </c>
      <c r="H9" s="535" t="s">
        <v>299</v>
      </c>
      <c r="I9" s="536" t="s">
        <v>300</v>
      </c>
      <c r="J9" s="535" t="s">
        <v>299</v>
      </c>
      <c r="K9" s="536" t="s">
        <v>300</v>
      </c>
      <c r="L9" s="535" t="s">
        <v>299</v>
      </c>
      <c r="M9" s="536" t="s">
        <v>300</v>
      </c>
      <c r="N9" s="535" t="s">
        <v>299</v>
      </c>
      <c r="O9" s="536" t="s">
        <v>300</v>
      </c>
      <c r="P9" s="535" t="s">
        <v>299</v>
      </c>
      <c r="Q9" s="536" t="s">
        <v>300</v>
      </c>
      <c r="R9" s="535" t="s">
        <v>299</v>
      </c>
      <c r="S9" s="536" t="s">
        <v>300</v>
      </c>
      <c r="T9" s="535" t="s">
        <v>299</v>
      </c>
      <c r="U9" s="536" t="s">
        <v>300</v>
      </c>
      <c r="V9" s="535" t="s">
        <v>299</v>
      </c>
      <c r="W9" s="536" t="s">
        <v>300</v>
      </c>
      <c r="X9" s="535" t="s">
        <v>299</v>
      </c>
      <c r="Y9" s="536" t="s">
        <v>300</v>
      </c>
      <c r="Z9" s="535" t="s">
        <v>299</v>
      </c>
      <c r="AA9" s="536" t="s">
        <v>300</v>
      </c>
      <c r="AB9" s="535" t="s">
        <v>299</v>
      </c>
      <c r="AC9" s="536" t="s">
        <v>300</v>
      </c>
      <c r="AD9" s="535" t="s">
        <v>299</v>
      </c>
      <c r="AE9" s="536" t="s">
        <v>300</v>
      </c>
      <c r="AF9" s="535" t="s">
        <v>299</v>
      </c>
      <c r="AG9" s="536" t="s">
        <v>300</v>
      </c>
      <c r="AH9" s="535" t="s">
        <v>299</v>
      </c>
      <c r="AI9" s="536" t="s">
        <v>300</v>
      </c>
      <c r="AJ9" s="535" t="s">
        <v>299</v>
      </c>
      <c r="AK9" s="536" t="s">
        <v>300</v>
      </c>
      <c r="AL9" s="535" t="s">
        <v>299</v>
      </c>
      <c r="AM9" s="536" t="s">
        <v>300</v>
      </c>
      <c r="AN9" s="535" t="s">
        <v>299</v>
      </c>
      <c r="AO9" s="536" t="s">
        <v>300</v>
      </c>
      <c r="AP9" s="535" t="s">
        <v>299</v>
      </c>
      <c r="AQ9" s="536" t="s">
        <v>300</v>
      </c>
      <c r="AR9" s="535" t="s">
        <v>299</v>
      </c>
      <c r="AS9" s="536" t="s">
        <v>300</v>
      </c>
      <c r="AT9" s="535" t="s">
        <v>299</v>
      </c>
      <c r="AU9" s="536" t="s">
        <v>300</v>
      </c>
      <c r="AV9" s="535" t="s">
        <v>299</v>
      </c>
      <c r="AW9" s="536" t="s">
        <v>300</v>
      </c>
      <c r="AX9" s="535" t="s">
        <v>299</v>
      </c>
      <c r="AY9" s="536" t="s">
        <v>300</v>
      </c>
      <c r="AZ9" s="535" t="s">
        <v>299</v>
      </c>
      <c r="BA9" s="536" t="s">
        <v>300</v>
      </c>
      <c r="BB9" s="537" t="s">
        <v>301</v>
      </c>
      <c r="BC9" s="500"/>
      <c r="BD9" s="529" t="s">
        <v>292</v>
      </c>
      <c r="BE9" s="530" t="s">
        <v>293</v>
      </c>
      <c r="BF9" s="531" t="s">
        <v>294</v>
      </c>
      <c r="BG9" s="531" t="s">
        <v>295</v>
      </c>
      <c r="BH9" s="532" t="s">
        <v>296</v>
      </c>
      <c r="BI9" s="533" t="s">
        <v>297</v>
      </c>
      <c r="BJ9" s="534" t="s">
        <v>298</v>
      </c>
      <c r="BK9" s="535" t="s">
        <v>299</v>
      </c>
      <c r="BL9" s="536" t="s">
        <v>300</v>
      </c>
      <c r="BM9" s="535" t="s">
        <v>299</v>
      </c>
      <c r="BN9" s="536" t="s">
        <v>300</v>
      </c>
      <c r="BO9" s="535" t="s">
        <v>299</v>
      </c>
      <c r="BP9" s="536" t="s">
        <v>300</v>
      </c>
      <c r="BQ9" s="535" t="s">
        <v>299</v>
      </c>
      <c r="BR9" s="536" t="s">
        <v>300</v>
      </c>
      <c r="BS9" s="535" t="s">
        <v>299</v>
      </c>
      <c r="BT9" s="536" t="s">
        <v>300</v>
      </c>
      <c r="BU9" s="535" t="s">
        <v>299</v>
      </c>
      <c r="BV9" s="536" t="s">
        <v>300</v>
      </c>
      <c r="BW9" s="535" t="s">
        <v>299</v>
      </c>
      <c r="BX9" s="536" t="s">
        <v>300</v>
      </c>
      <c r="BY9" s="535" t="s">
        <v>299</v>
      </c>
      <c r="BZ9" s="536" t="s">
        <v>300</v>
      </c>
      <c r="CA9" s="535" t="s">
        <v>299</v>
      </c>
      <c r="CB9" s="536" t="s">
        <v>300</v>
      </c>
      <c r="CC9" s="535" t="s">
        <v>299</v>
      </c>
      <c r="CD9" s="536" t="s">
        <v>300</v>
      </c>
      <c r="CE9" s="535" t="s">
        <v>299</v>
      </c>
      <c r="CF9" s="536" t="s">
        <v>300</v>
      </c>
      <c r="CG9" s="535" t="s">
        <v>299</v>
      </c>
      <c r="CH9" s="536" t="s">
        <v>300</v>
      </c>
      <c r="CI9" s="535" t="s">
        <v>299</v>
      </c>
      <c r="CJ9" s="536" t="s">
        <v>300</v>
      </c>
      <c r="CK9" s="535" t="s">
        <v>299</v>
      </c>
      <c r="CL9" s="536" t="s">
        <v>300</v>
      </c>
      <c r="CM9" s="535" t="s">
        <v>299</v>
      </c>
      <c r="CN9" s="536" t="s">
        <v>300</v>
      </c>
      <c r="CO9" s="535" t="s">
        <v>299</v>
      </c>
      <c r="CP9" s="536" t="s">
        <v>300</v>
      </c>
      <c r="CQ9" s="535" t="s">
        <v>299</v>
      </c>
      <c r="CR9" s="536" t="s">
        <v>300</v>
      </c>
      <c r="CS9" s="535" t="s">
        <v>299</v>
      </c>
      <c r="CT9" s="536" t="s">
        <v>300</v>
      </c>
      <c r="CU9" s="535" t="s">
        <v>299</v>
      </c>
      <c r="CV9" s="536" t="s">
        <v>300</v>
      </c>
      <c r="CW9" s="535" t="s">
        <v>299</v>
      </c>
      <c r="CX9" s="536" t="s">
        <v>300</v>
      </c>
      <c r="CY9" s="535" t="s">
        <v>299</v>
      </c>
      <c r="CZ9" s="536" t="s">
        <v>300</v>
      </c>
      <c r="DA9" s="535" t="s">
        <v>299</v>
      </c>
      <c r="DB9" s="536" t="s">
        <v>300</v>
      </c>
      <c r="DC9" s="535" t="s">
        <v>299</v>
      </c>
      <c r="DD9" s="536" t="s">
        <v>300</v>
      </c>
      <c r="DE9" s="537" t="s">
        <v>301</v>
      </c>
      <c r="DF9" s="500"/>
      <c r="DG9" s="529" t="s">
        <v>292</v>
      </c>
      <c r="DH9" s="530" t="s">
        <v>293</v>
      </c>
      <c r="DI9" s="531" t="s">
        <v>294</v>
      </c>
      <c r="DJ9" s="531" t="s">
        <v>295</v>
      </c>
      <c r="DK9" s="532" t="s">
        <v>296</v>
      </c>
      <c r="DL9" s="533" t="s">
        <v>297</v>
      </c>
      <c r="DM9" s="534" t="s">
        <v>298</v>
      </c>
      <c r="DN9" s="535" t="s">
        <v>299</v>
      </c>
      <c r="DO9" s="536" t="s">
        <v>300</v>
      </c>
      <c r="DP9" s="535" t="s">
        <v>299</v>
      </c>
      <c r="DQ9" s="536" t="s">
        <v>300</v>
      </c>
      <c r="DR9" s="535" t="s">
        <v>299</v>
      </c>
      <c r="DS9" s="536" t="s">
        <v>300</v>
      </c>
      <c r="DT9" s="535" t="s">
        <v>299</v>
      </c>
      <c r="DU9" s="536" t="s">
        <v>300</v>
      </c>
      <c r="DV9" s="535" t="s">
        <v>299</v>
      </c>
      <c r="DW9" s="536" t="s">
        <v>300</v>
      </c>
      <c r="DX9" s="535" t="s">
        <v>299</v>
      </c>
      <c r="DY9" s="536" t="s">
        <v>300</v>
      </c>
      <c r="DZ9" s="535" t="s">
        <v>299</v>
      </c>
      <c r="EA9" s="536" t="s">
        <v>300</v>
      </c>
      <c r="EB9" s="535" t="s">
        <v>299</v>
      </c>
      <c r="EC9" s="536" t="s">
        <v>300</v>
      </c>
      <c r="ED9" s="535" t="s">
        <v>299</v>
      </c>
      <c r="EE9" s="536" t="s">
        <v>300</v>
      </c>
      <c r="EF9" s="535" t="s">
        <v>299</v>
      </c>
      <c r="EG9" s="536" t="s">
        <v>300</v>
      </c>
      <c r="EH9" s="535" t="s">
        <v>299</v>
      </c>
      <c r="EI9" s="536" t="s">
        <v>300</v>
      </c>
      <c r="EJ9" s="535" t="s">
        <v>299</v>
      </c>
      <c r="EK9" s="536" t="s">
        <v>300</v>
      </c>
      <c r="EL9" s="535" t="s">
        <v>299</v>
      </c>
      <c r="EM9" s="536" t="s">
        <v>300</v>
      </c>
      <c r="EN9" s="535" t="s">
        <v>299</v>
      </c>
      <c r="EO9" s="536" t="s">
        <v>300</v>
      </c>
      <c r="EP9" s="535" t="s">
        <v>299</v>
      </c>
      <c r="EQ9" s="536" t="s">
        <v>300</v>
      </c>
      <c r="ER9" s="535" t="s">
        <v>299</v>
      </c>
      <c r="ES9" s="536" t="s">
        <v>300</v>
      </c>
      <c r="ET9" s="535" t="s">
        <v>299</v>
      </c>
      <c r="EU9" s="536" t="s">
        <v>300</v>
      </c>
      <c r="EV9" s="535" t="s">
        <v>299</v>
      </c>
      <c r="EW9" s="536" t="s">
        <v>300</v>
      </c>
      <c r="EX9" s="535" t="s">
        <v>299</v>
      </c>
      <c r="EY9" s="536" t="s">
        <v>300</v>
      </c>
      <c r="EZ9" s="535" t="s">
        <v>299</v>
      </c>
      <c r="FA9" s="536" t="s">
        <v>300</v>
      </c>
      <c r="FB9" s="535" t="s">
        <v>299</v>
      </c>
      <c r="FC9" s="536" t="s">
        <v>300</v>
      </c>
      <c r="FD9" s="535" t="s">
        <v>299</v>
      </c>
      <c r="FE9" s="536" t="s">
        <v>300</v>
      </c>
      <c r="FF9" s="535" t="s">
        <v>299</v>
      </c>
      <c r="FG9" s="536" t="s">
        <v>300</v>
      </c>
      <c r="FH9" s="537" t="s">
        <v>301</v>
      </c>
      <c r="FI9" s="538"/>
      <c r="FJ9" s="539" t="s">
        <v>292</v>
      </c>
      <c r="FK9" s="530" t="s">
        <v>293</v>
      </c>
      <c r="FL9" s="531" t="s">
        <v>294</v>
      </c>
      <c r="FM9" s="531" t="s">
        <v>295</v>
      </c>
      <c r="FN9" s="532" t="s">
        <v>296</v>
      </c>
      <c r="FO9" s="533" t="s">
        <v>297</v>
      </c>
      <c r="FP9" s="540" t="s">
        <v>46</v>
      </c>
      <c r="FQ9" s="541" t="s">
        <v>300</v>
      </c>
      <c r="FR9" s="535" t="s">
        <v>301</v>
      </c>
      <c r="FS9" s="542" t="s">
        <v>46</v>
      </c>
      <c r="FT9" s="541" t="s">
        <v>300</v>
      </c>
      <c r="FU9" s="535" t="s">
        <v>301</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4"/>
      <c r="HG9" s="1454"/>
    </row>
    <row r="10" spans="1:353" ht="20.100000000000001" customHeight="1">
      <c r="A10" s="549"/>
      <c r="B10" s="550" t="s">
        <v>232</v>
      </c>
      <c r="C10" s="551" t="s">
        <v>74</v>
      </c>
      <c r="D10" s="552">
        <f>ROUND(10.8*0.85,2)</f>
        <v>9.18</v>
      </c>
      <c r="E10" s="550" t="s">
        <v>346</v>
      </c>
      <c r="F10" s="551"/>
      <c r="G10" s="553">
        <v>0</v>
      </c>
      <c r="H10" s="554">
        <f>ROUND(ROUND(10.8*0.85,2)*0.49*0,0)</f>
        <v>0</v>
      </c>
      <c r="I10" s="555">
        <v>0</v>
      </c>
      <c r="J10" s="556">
        <f>ROUND(ROUND(10.8*0.85,2)*0.49*0,0)</f>
        <v>0</v>
      </c>
      <c r="K10" s="557">
        <v>0</v>
      </c>
      <c r="L10" s="556">
        <f>ROUND(ROUND(10.8*0.85,2)*0.49*0,0)</f>
        <v>0</v>
      </c>
      <c r="M10" s="557">
        <v>0</v>
      </c>
      <c r="N10" s="556">
        <f>ROUND(ROUND(10.8*0.85,2)*0.49*0,0)</f>
        <v>0</v>
      </c>
      <c r="O10" s="557">
        <v>0</v>
      </c>
      <c r="P10" s="556">
        <f>ROUND(ROUND(10.8*0.85,2)*0.49*0,0)</f>
        <v>0</v>
      </c>
      <c r="Q10" s="557">
        <v>0</v>
      </c>
      <c r="R10" s="556">
        <f>ROUND(ROUND(10.8*0.85,2)*0.49*0,0)</f>
        <v>0</v>
      </c>
      <c r="S10" s="557">
        <v>0</v>
      </c>
      <c r="T10" s="556">
        <f>ROUND(ROUND(10.8*0.85,2)*0.49*0,0)</f>
        <v>0</v>
      </c>
      <c r="U10" s="557">
        <v>0</v>
      </c>
      <c r="V10" s="556">
        <f>ROUND(ROUND(10.8*0.85,2)*0.49*0,0)</f>
        <v>0</v>
      </c>
      <c r="W10" s="557">
        <v>116</v>
      </c>
      <c r="X10" s="556">
        <f>ROUND(ROUND(10.8*0.85,2)*0.49*116,0)</f>
        <v>522</v>
      </c>
      <c r="Y10" s="557">
        <v>130</v>
      </c>
      <c r="Z10" s="556">
        <f>ROUND(ROUND(10.8*0.85,2)*0.49*130,0)</f>
        <v>585</v>
      </c>
      <c r="AA10" s="557">
        <v>163</v>
      </c>
      <c r="AB10" s="556">
        <f>ROUND(ROUND(10.8*0.85,2)*0.49*163,0)</f>
        <v>733</v>
      </c>
      <c r="AC10" s="557">
        <v>229</v>
      </c>
      <c r="AD10" s="556">
        <f>ROUND(ROUND(10.8*0.85,2)*0.49*229,0)</f>
        <v>1030</v>
      </c>
      <c r="AE10" s="557">
        <v>269</v>
      </c>
      <c r="AF10" s="556">
        <f>ROUND(ROUND(10.8*0.85,2)*0.49*269,0)</f>
        <v>1210</v>
      </c>
      <c r="AG10" s="557">
        <v>267</v>
      </c>
      <c r="AH10" s="556">
        <f>ROUND(ROUND(10.8*0.85,2)*0.49*267,0)</f>
        <v>1201</v>
      </c>
      <c r="AI10" s="557">
        <v>224</v>
      </c>
      <c r="AJ10" s="556">
        <f>ROUND(ROUND(10.8*0.85,2)*0.49*224,0)</f>
        <v>1008</v>
      </c>
      <c r="AK10" s="557">
        <v>156</v>
      </c>
      <c r="AL10" s="556">
        <f>ROUND(ROUND(10.8*0.85,2)*0.49*156,0)</f>
        <v>702</v>
      </c>
      <c r="AM10" s="557">
        <v>84</v>
      </c>
      <c r="AN10" s="556">
        <f>ROUND(ROUND(10.8*0.85,2)*0.49*84,0)</f>
        <v>378</v>
      </c>
      <c r="AO10" s="557">
        <v>16</v>
      </c>
      <c r="AP10" s="556">
        <f>ROUND(ROUND(10.8*0.85,2)*0.49*16,0)</f>
        <v>72</v>
      </c>
      <c r="AQ10" s="557">
        <v>0</v>
      </c>
      <c r="AR10" s="556">
        <f>ROUND(ROUND(10.8*0.85,2)*0.49*0,0)</f>
        <v>0</v>
      </c>
      <c r="AS10" s="557">
        <v>0</v>
      </c>
      <c r="AT10" s="556">
        <f>ROUND(ROUND(10.8*0.85,2)*0.49*0,0)</f>
        <v>0</v>
      </c>
      <c r="AU10" s="557">
        <v>0</v>
      </c>
      <c r="AV10" s="556">
        <f>ROUND(ROUND(10.8*0.85,2)*0.49*0,0)</f>
        <v>0</v>
      </c>
      <c r="AW10" s="557">
        <v>0</v>
      </c>
      <c r="AX10" s="556">
        <f>ROUND(ROUND(10.8*0.85,2)*0.49*0,0)</f>
        <v>0</v>
      </c>
      <c r="AY10" s="557">
        <v>0</v>
      </c>
      <c r="AZ10" s="556">
        <f>ROUND(ROUND(10.8*0.85,2)*0.49*0,0)</f>
        <v>0</v>
      </c>
      <c r="BA10" s="557">
        <v>0</v>
      </c>
      <c r="BB10" s="558">
        <f>ROUND(ROUND(10.8*0.85,2)*0.49*0,0)</f>
        <v>0</v>
      </c>
      <c r="BC10" s="559"/>
      <c r="BD10" s="549"/>
      <c r="BE10" s="550"/>
      <c r="BF10" s="551"/>
      <c r="BG10" s="552"/>
      <c r="BH10" s="550"/>
      <c r="BI10" s="551"/>
      <c r="BJ10" s="553">
        <v>0</v>
      </c>
      <c r="BK10" s="554">
        <f>ROUND(ROUND(10.8*0.85,2)*0.49*0,0)</f>
        <v>0</v>
      </c>
      <c r="BL10" s="555">
        <v>0</v>
      </c>
      <c r="BM10" s="556">
        <f>ROUND(ROUND(10.8*0.85,2)*0.49*0,0)</f>
        <v>0</v>
      </c>
      <c r="BN10" s="557">
        <v>0</v>
      </c>
      <c r="BO10" s="556">
        <f>ROUND(ROUND(10.8*0.85,2)*0.49*0,0)</f>
        <v>0</v>
      </c>
      <c r="BP10" s="557">
        <v>0</v>
      </c>
      <c r="BQ10" s="556">
        <f>ROUND(ROUND(10.8*0.85,2)*0.49*0,0)</f>
        <v>0</v>
      </c>
      <c r="BR10" s="557">
        <v>0</v>
      </c>
      <c r="BS10" s="556">
        <f>ROUND(ROUND(10.8*0.85,2)*0.49*0,0)</f>
        <v>0</v>
      </c>
      <c r="BT10" s="557">
        <v>0</v>
      </c>
      <c r="BU10" s="556">
        <f>ROUND(ROUND(10.8*0.85,2)*0.49*0,0)</f>
        <v>0</v>
      </c>
      <c r="BV10" s="557">
        <v>0</v>
      </c>
      <c r="BW10" s="556">
        <f>ROUND(ROUND(10.8*0.85,2)*0.49*0,0)</f>
        <v>0</v>
      </c>
      <c r="BX10" s="557">
        <v>0</v>
      </c>
      <c r="BY10" s="556">
        <f>ROUND(ROUND(10.8*0.85,2)*0.49*0,0)</f>
        <v>0</v>
      </c>
      <c r="BZ10" s="557">
        <v>103</v>
      </c>
      <c r="CA10" s="556">
        <f>ROUND(ROUND(10.8*0.85,2)*0.49*103,0)</f>
        <v>463</v>
      </c>
      <c r="CB10" s="557">
        <v>110</v>
      </c>
      <c r="CC10" s="556">
        <f>ROUND(ROUND(10.8*0.85,2)*0.49*110,0)</f>
        <v>495</v>
      </c>
      <c r="CD10" s="557">
        <v>155</v>
      </c>
      <c r="CE10" s="556">
        <f>ROUND(ROUND(10.8*0.85,2)*0.49*155,0)</f>
        <v>697</v>
      </c>
      <c r="CF10" s="557">
        <v>254</v>
      </c>
      <c r="CG10" s="556">
        <f>ROUND(ROUND(10.8*0.85,2)*0.49*254,0)</f>
        <v>1143</v>
      </c>
      <c r="CH10" s="557">
        <v>320</v>
      </c>
      <c r="CI10" s="556">
        <f>ROUND(ROUND(10.8*0.85,2)*0.49*320,0)</f>
        <v>1439</v>
      </c>
      <c r="CJ10" s="557">
        <v>334</v>
      </c>
      <c r="CK10" s="556">
        <f>ROUND(ROUND(10.8*0.85,2)*0.49*334,0)</f>
        <v>1502</v>
      </c>
      <c r="CL10" s="557">
        <v>301</v>
      </c>
      <c r="CM10" s="556">
        <f>ROUND(ROUND(10.8*0.85,2)*0.49*301,0)</f>
        <v>1354</v>
      </c>
      <c r="CN10" s="557">
        <v>222</v>
      </c>
      <c r="CO10" s="556">
        <f>ROUND(ROUND(10.8*0.85,2)*0.49*222,0)</f>
        <v>999</v>
      </c>
      <c r="CP10" s="557">
        <v>130</v>
      </c>
      <c r="CQ10" s="556">
        <f>ROUND(ROUND(10.8*0.85,2)*0.49*130,0)</f>
        <v>585</v>
      </c>
      <c r="CR10" s="557">
        <v>32</v>
      </c>
      <c r="CS10" s="556">
        <f>ROUND(ROUND(10.8*0.85,2)*0.49*32,0)</f>
        <v>144</v>
      </c>
      <c r="CT10" s="557">
        <v>0</v>
      </c>
      <c r="CU10" s="556">
        <f>ROUND(ROUND(10.8*0.85,2)*0.49*0,0)</f>
        <v>0</v>
      </c>
      <c r="CV10" s="557">
        <v>0</v>
      </c>
      <c r="CW10" s="556">
        <f>ROUND(ROUND(10.8*0.85,2)*0.49*0,0)</f>
        <v>0</v>
      </c>
      <c r="CX10" s="557">
        <v>0</v>
      </c>
      <c r="CY10" s="556">
        <f>ROUND(ROUND(10.8*0.85,2)*0.49*0,0)</f>
        <v>0</v>
      </c>
      <c r="CZ10" s="557">
        <v>0</v>
      </c>
      <c r="DA10" s="556">
        <f>ROUND(ROUND(10.8*0.85,2)*0.49*0,0)</f>
        <v>0</v>
      </c>
      <c r="DB10" s="557">
        <v>0</v>
      </c>
      <c r="DC10" s="556">
        <f>ROUND(ROUND(10.8*0.85,2)*0.49*0,0)</f>
        <v>0</v>
      </c>
      <c r="DD10" s="557">
        <v>0</v>
      </c>
      <c r="DE10" s="558">
        <f>ROUND(ROUND(10.8*0.85,2)*0.49*0,0)</f>
        <v>0</v>
      </c>
      <c r="DF10" s="559"/>
      <c r="DG10" s="549"/>
      <c r="DH10" s="550"/>
      <c r="DI10" s="551"/>
      <c r="DJ10" s="552"/>
      <c r="DK10" s="550"/>
      <c r="DL10" s="551"/>
      <c r="DM10" s="553">
        <v>0</v>
      </c>
      <c r="DN10" s="554">
        <f>ROUND(ROUND(10.8*0.85,2)*0.49*0,0)</f>
        <v>0</v>
      </c>
      <c r="DO10" s="555">
        <v>0</v>
      </c>
      <c r="DP10" s="556">
        <f>ROUND(ROUND(10.8*0.85,2)*0.49*0,0)</f>
        <v>0</v>
      </c>
      <c r="DQ10" s="557">
        <v>0</v>
      </c>
      <c r="DR10" s="556">
        <f>ROUND(ROUND(10.8*0.85,2)*0.49*0,0)</f>
        <v>0</v>
      </c>
      <c r="DS10" s="557">
        <v>0</v>
      </c>
      <c r="DT10" s="556">
        <f>ROUND(ROUND(10.8*0.85,2)*0.49*0,0)</f>
        <v>0</v>
      </c>
      <c r="DU10" s="557">
        <v>0</v>
      </c>
      <c r="DV10" s="556">
        <f>ROUND(ROUND(10.8*0.85,2)*0.49*0,0)</f>
        <v>0</v>
      </c>
      <c r="DW10" s="557">
        <v>0</v>
      </c>
      <c r="DX10" s="556">
        <f>ROUND(ROUND(10.8*0.85,2)*0.49*0,0)</f>
        <v>0</v>
      </c>
      <c r="DY10" s="557">
        <v>0</v>
      </c>
      <c r="DZ10" s="556">
        <f>ROUND(ROUND(10.8*0.85,2)*0.49*0,0)</f>
        <v>0</v>
      </c>
      <c r="EA10" s="557">
        <v>0</v>
      </c>
      <c r="EB10" s="556">
        <f>ROUND(ROUND(10.8*0.85,2)*0.49*0,0)</f>
        <v>0</v>
      </c>
      <c r="EC10" s="557">
        <v>88</v>
      </c>
      <c r="ED10" s="556">
        <f>ROUND(ROUND(10.8*0.85,2)*0.49*88,0)</f>
        <v>396</v>
      </c>
      <c r="EE10" s="557">
        <v>170</v>
      </c>
      <c r="EF10" s="556">
        <f>ROUND(ROUND(10.8*0.85,2)*0.49*170,0)</f>
        <v>765</v>
      </c>
      <c r="EG10" s="557">
        <v>327</v>
      </c>
      <c r="EH10" s="556">
        <f>ROUND(ROUND(10.8*0.85,2)*0.49*327,0)</f>
        <v>1471</v>
      </c>
      <c r="EI10" s="557">
        <v>436</v>
      </c>
      <c r="EJ10" s="556">
        <f>ROUND(ROUND(10.8*0.85,2)*0.49*436,0)</f>
        <v>1961</v>
      </c>
      <c r="EK10" s="557">
        <v>480</v>
      </c>
      <c r="EL10" s="556">
        <f>ROUND(ROUND(10.8*0.85,2)*0.49*480,0)</f>
        <v>2159</v>
      </c>
      <c r="EM10" s="557">
        <v>473</v>
      </c>
      <c r="EN10" s="556">
        <f>ROUND(ROUND(10.8*0.85,2)*0.49*473,0)</f>
        <v>2128</v>
      </c>
      <c r="EO10" s="557">
        <v>403</v>
      </c>
      <c r="EP10" s="556">
        <f>ROUND(ROUND(10.8*0.85,2)*0.49*403,0)</f>
        <v>1813</v>
      </c>
      <c r="EQ10" s="557">
        <v>276</v>
      </c>
      <c r="ER10" s="556">
        <f>ROUND(ROUND(10.8*0.85,2)*0.49*276,0)</f>
        <v>1242</v>
      </c>
      <c r="ES10" s="557">
        <v>131</v>
      </c>
      <c r="ET10" s="556">
        <f>ROUND(ROUND(10.8*0.85,2)*0.49*131,0)</f>
        <v>589</v>
      </c>
      <c r="EU10" s="557">
        <v>0</v>
      </c>
      <c r="EV10" s="556">
        <f>ROUND(ROUND(10.8*0.85,2)*0.49*0,0)</f>
        <v>0</v>
      </c>
      <c r="EW10" s="557">
        <v>0</v>
      </c>
      <c r="EX10" s="556">
        <f>ROUND(ROUND(10.8*0.85,2)*0.49*0,0)</f>
        <v>0</v>
      </c>
      <c r="EY10" s="557">
        <v>0</v>
      </c>
      <c r="EZ10" s="556">
        <f>ROUND(ROUND(10.8*0.85,2)*0.49*0,0)</f>
        <v>0</v>
      </c>
      <c r="FA10" s="557">
        <v>0</v>
      </c>
      <c r="FB10" s="556">
        <f>ROUND(ROUND(10.8*0.85,2)*0.49*0,0)</f>
        <v>0</v>
      </c>
      <c r="FC10" s="557">
        <v>0</v>
      </c>
      <c r="FD10" s="556">
        <f>ROUND(ROUND(10.8*0.85,2)*0.49*0,0)</f>
        <v>0</v>
      </c>
      <c r="FE10" s="557">
        <v>0</v>
      </c>
      <c r="FF10" s="556">
        <f>ROUND(ROUND(10.8*0.85,2)*0.49*0,0)</f>
        <v>0</v>
      </c>
      <c r="FG10" s="557">
        <v>0</v>
      </c>
      <c r="FH10" s="558">
        <f>ROUND(ROUND(10.8*0.85,2)*0.49*0,0)</f>
        <v>0</v>
      </c>
      <c r="FI10" s="560"/>
      <c r="FJ10" s="561"/>
      <c r="FK10" s="550"/>
      <c r="FL10" s="551"/>
      <c r="FM10" s="552"/>
      <c r="FN10" s="550"/>
      <c r="FO10" s="551"/>
      <c r="FP10" s="562"/>
      <c r="FQ10" s="555"/>
      <c r="FR10" s="554" t="s">
        <v>302</v>
      </c>
      <c r="FS10" s="563"/>
      <c r="FT10" s="555"/>
      <c r="FU10" s="564" t="s">
        <v>302</v>
      </c>
      <c r="FV10" s="565" t="s">
        <v>303</v>
      </c>
      <c r="FW10" s="566"/>
      <c r="FX10" s="567" t="s">
        <v>304</v>
      </c>
      <c r="FY10" s="568"/>
      <c r="FZ10" s="569" t="s">
        <v>305</v>
      </c>
      <c r="GA10" s="570"/>
      <c r="GB10" s="571" t="s">
        <v>351</v>
      </c>
      <c r="GC10" s="572"/>
      <c r="GD10" s="573" t="s">
        <v>353</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4"/>
      <c r="HG10" s="1454"/>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302</v>
      </c>
      <c r="FS11" s="588"/>
      <c r="FT11" s="583"/>
      <c r="FU11" s="589" t="s">
        <v>302</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4"/>
      <c r="HG11" s="1454"/>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302</v>
      </c>
      <c r="FS12" s="588"/>
      <c r="FT12" s="583"/>
      <c r="FU12" s="589" t="s">
        <v>302</v>
      </c>
      <c r="FV12" s="590"/>
      <c r="FW12" s="591"/>
      <c r="FX12" s="592"/>
      <c r="FY12" s="593"/>
      <c r="FZ12" s="594"/>
      <c r="GA12" s="595"/>
      <c r="GB12" s="596"/>
      <c r="GC12" s="597"/>
      <c r="GD12" s="596"/>
      <c r="GE12" s="598"/>
      <c r="GF12" s="496"/>
      <c r="GG12" s="599"/>
      <c r="GH12" s="599"/>
      <c r="GI12" s="599"/>
      <c r="GJ12" s="414"/>
      <c r="GK12" s="600" t="s">
        <v>362</v>
      </c>
      <c r="GL12" s="601"/>
      <c r="GM12" s="602" t="s">
        <v>445</v>
      </c>
      <c r="GN12" s="603" t="s">
        <v>446</v>
      </c>
      <c r="GO12" s="604" t="s">
        <v>447</v>
      </c>
      <c r="GP12" s="605" t="s">
        <v>448</v>
      </c>
      <c r="GQ12" s="604" t="s">
        <v>449</v>
      </c>
      <c r="GR12" s="604" t="s">
        <v>450</v>
      </c>
      <c r="GS12" s="606"/>
      <c r="GT12" s="545"/>
      <c r="GU12" s="600" t="s">
        <v>362</v>
      </c>
      <c r="GV12" s="601"/>
      <c r="GW12" s="602" t="s">
        <v>445</v>
      </c>
      <c r="GX12" s="607" t="s">
        <v>451</v>
      </c>
      <c r="GY12" s="608"/>
      <c r="GZ12" s="609" t="s">
        <v>447</v>
      </c>
      <c r="HA12" s="610" t="s">
        <v>452</v>
      </c>
      <c r="HB12" s="611"/>
      <c r="HC12" s="612"/>
      <c r="HD12" s="792"/>
      <c r="HE12" s="438"/>
      <c r="HF12" s="1454"/>
      <c r="HG12" s="1454"/>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302</v>
      </c>
      <c r="FS13" s="623"/>
      <c r="FT13" s="618"/>
      <c r="FU13" s="624" t="s">
        <v>302</v>
      </c>
      <c r="FV13" s="590"/>
      <c r="FW13" s="591"/>
      <c r="FX13" s="592"/>
      <c r="FY13" s="593"/>
      <c r="FZ13" s="594"/>
      <c r="GA13" s="595"/>
      <c r="GB13" s="596"/>
      <c r="GC13" s="597"/>
      <c r="GD13" s="596"/>
      <c r="GE13" s="598"/>
      <c r="GF13" s="496"/>
      <c r="GG13" s="599"/>
      <c r="GH13" s="599"/>
      <c r="GI13" s="599"/>
      <c r="GJ13" s="414"/>
      <c r="GK13" s="625">
        <v>201</v>
      </c>
      <c r="GL13" s="626"/>
      <c r="GM13" s="627" t="s">
        <v>453</v>
      </c>
      <c r="GN13" s="628">
        <v>10.8</v>
      </c>
      <c r="GO13" s="629">
        <v>0</v>
      </c>
      <c r="GP13" s="629">
        <v>1</v>
      </c>
      <c r="GQ13" s="630">
        <v>0</v>
      </c>
      <c r="GR13" s="631">
        <v>10.8</v>
      </c>
      <c r="GS13" s="575"/>
      <c r="GT13" s="414"/>
      <c r="GU13" s="625">
        <v>201</v>
      </c>
      <c r="GV13" s="626"/>
      <c r="GW13" s="632" t="s">
        <v>454</v>
      </c>
      <c r="GX13" s="633">
        <v>10.8</v>
      </c>
      <c r="GY13" s="634"/>
      <c r="GZ13" s="635">
        <v>0.65</v>
      </c>
      <c r="HA13" s="636">
        <v>7.02</v>
      </c>
      <c r="HB13" s="637"/>
      <c r="HC13" s="527"/>
      <c r="HD13" s="792"/>
      <c r="HE13" s="438"/>
      <c r="HF13" s="387"/>
      <c r="HG13" s="387"/>
    </row>
    <row r="14" spans="1:353" ht="20.100000000000001" customHeight="1">
      <c r="A14" s="638"/>
      <c r="B14" s="639"/>
      <c r="C14" s="639"/>
      <c r="D14" s="640" t="s">
        <v>306</v>
      </c>
      <c r="E14" s="639"/>
      <c r="F14" s="639"/>
      <c r="G14" s="641"/>
      <c r="H14" s="642">
        <f>SUM(H10:H13)</f>
        <v>0</v>
      </c>
      <c r="I14" s="643"/>
      <c r="J14" s="642">
        <f>SUM(J10:J13)</f>
        <v>0</v>
      </c>
      <c r="K14" s="643"/>
      <c r="L14" s="642">
        <f>SUM(L10:L13)</f>
        <v>0</v>
      </c>
      <c r="M14" s="643"/>
      <c r="N14" s="642">
        <f>SUM(N10:N13)</f>
        <v>0</v>
      </c>
      <c r="O14" s="643"/>
      <c r="P14" s="642">
        <f>SUM(P10:P13)</f>
        <v>0</v>
      </c>
      <c r="Q14" s="643"/>
      <c r="R14" s="642">
        <f>SUM(R10:R13)</f>
        <v>0</v>
      </c>
      <c r="S14" s="643"/>
      <c r="T14" s="642">
        <f>SUM(T10:T13)</f>
        <v>0</v>
      </c>
      <c r="U14" s="643"/>
      <c r="V14" s="642">
        <f>SUM(V10:V13)</f>
        <v>0</v>
      </c>
      <c r="W14" s="643"/>
      <c r="X14" s="642">
        <f>SUM(X10:X13)</f>
        <v>522</v>
      </c>
      <c r="Y14" s="643"/>
      <c r="Z14" s="642">
        <f>SUM(Z10:Z13)</f>
        <v>585</v>
      </c>
      <c r="AA14" s="643"/>
      <c r="AB14" s="642">
        <f>SUM(AB10:AB13)</f>
        <v>733</v>
      </c>
      <c r="AC14" s="643"/>
      <c r="AD14" s="642">
        <f>SUM(AD10:AD13)</f>
        <v>1030</v>
      </c>
      <c r="AE14" s="643"/>
      <c r="AF14" s="642">
        <f>SUM(AF10:AF13)</f>
        <v>1210</v>
      </c>
      <c r="AG14" s="643"/>
      <c r="AH14" s="642">
        <f>SUM(AH10:AH13)</f>
        <v>1201</v>
      </c>
      <c r="AI14" s="643"/>
      <c r="AJ14" s="642">
        <f>SUM(AJ10:AJ13)</f>
        <v>1008</v>
      </c>
      <c r="AK14" s="643"/>
      <c r="AL14" s="642">
        <f>SUM(AL10:AL13)</f>
        <v>702</v>
      </c>
      <c r="AM14" s="643"/>
      <c r="AN14" s="642">
        <f>SUM(AN10:AN13)</f>
        <v>378</v>
      </c>
      <c r="AO14" s="643"/>
      <c r="AP14" s="642">
        <f>SUM(AP10:AP13)</f>
        <v>72</v>
      </c>
      <c r="AQ14" s="643"/>
      <c r="AR14" s="642">
        <f>SUM(AR10:AR13)</f>
        <v>0</v>
      </c>
      <c r="AS14" s="643"/>
      <c r="AT14" s="642">
        <f>SUM(AT10:AT13)</f>
        <v>0</v>
      </c>
      <c r="AU14" s="643"/>
      <c r="AV14" s="642">
        <f>SUM(AV10:AV13)</f>
        <v>0</v>
      </c>
      <c r="AW14" s="643"/>
      <c r="AX14" s="642">
        <f>SUM(AX10:AX13)</f>
        <v>0</v>
      </c>
      <c r="AY14" s="643"/>
      <c r="AZ14" s="642">
        <f>SUM(AZ10:AZ13)</f>
        <v>0</v>
      </c>
      <c r="BA14" s="643"/>
      <c r="BB14" s="644">
        <f>SUM(BB10:BB13)</f>
        <v>0</v>
      </c>
      <c r="BC14" s="645"/>
      <c r="BD14" s="638"/>
      <c r="BE14" s="639"/>
      <c r="BF14" s="639"/>
      <c r="BG14" s="640" t="s">
        <v>306</v>
      </c>
      <c r="BH14" s="639"/>
      <c r="BI14" s="639"/>
      <c r="BJ14" s="641"/>
      <c r="BK14" s="642">
        <f>SUM(BK10:BK13)</f>
        <v>0</v>
      </c>
      <c r="BL14" s="643"/>
      <c r="BM14" s="642">
        <f>SUM(BM10:BM13)</f>
        <v>0</v>
      </c>
      <c r="BN14" s="643"/>
      <c r="BO14" s="642">
        <f>SUM(BO10:BO13)</f>
        <v>0</v>
      </c>
      <c r="BP14" s="643"/>
      <c r="BQ14" s="642">
        <f>SUM(BQ10:BQ13)</f>
        <v>0</v>
      </c>
      <c r="BR14" s="643"/>
      <c r="BS14" s="642">
        <f>SUM(BS10:BS13)</f>
        <v>0</v>
      </c>
      <c r="BT14" s="643"/>
      <c r="BU14" s="642">
        <f>SUM(BU10:BU13)</f>
        <v>0</v>
      </c>
      <c r="BV14" s="643"/>
      <c r="BW14" s="642">
        <f>SUM(BW10:BW13)</f>
        <v>0</v>
      </c>
      <c r="BX14" s="643"/>
      <c r="BY14" s="642">
        <f>SUM(BY10:BY13)</f>
        <v>0</v>
      </c>
      <c r="BZ14" s="643"/>
      <c r="CA14" s="642">
        <f>SUM(CA10:CA13)</f>
        <v>463</v>
      </c>
      <c r="CB14" s="643"/>
      <c r="CC14" s="642">
        <f>SUM(CC10:CC13)</f>
        <v>495</v>
      </c>
      <c r="CD14" s="643"/>
      <c r="CE14" s="642">
        <f>SUM(CE10:CE13)</f>
        <v>697</v>
      </c>
      <c r="CF14" s="643"/>
      <c r="CG14" s="642">
        <f>SUM(CG10:CG13)</f>
        <v>1143</v>
      </c>
      <c r="CH14" s="643"/>
      <c r="CI14" s="642">
        <f>SUM(CI10:CI13)</f>
        <v>1439</v>
      </c>
      <c r="CJ14" s="643"/>
      <c r="CK14" s="642">
        <f>SUM(CK10:CK13)</f>
        <v>1502</v>
      </c>
      <c r="CL14" s="643"/>
      <c r="CM14" s="642">
        <f>SUM(CM10:CM13)</f>
        <v>1354</v>
      </c>
      <c r="CN14" s="643"/>
      <c r="CO14" s="642">
        <f>SUM(CO10:CO13)</f>
        <v>999</v>
      </c>
      <c r="CP14" s="643"/>
      <c r="CQ14" s="642">
        <f>SUM(CQ10:CQ13)</f>
        <v>585</v>
      </c>
      <c r="CR14" s="643"/>
      <c r="CS14" s="642">
        <f>SUM(CS10:CS13)</f>
        <v>144</v>
      </c>
      <c r="CT14" s="643"/>
      <c r="CU14" s="642">
        <f>SUM(CU10:CU13)</f>
        <v>0</v>
      </c>
      <c r="CV14" s="643"/>
      <c r="CW14" s="642">
        <f>SUM(CW10:CW13)</f>
        <v>0</v>
      </c>
      <c r="CX14" s="643"/>
      <c r="CY14" s="642">
        <f>SUM(CY10:CY13)</f>
        <v>0</v>
      </c>
      <c r="CZ14" s="643"/>
      <c r="DA14" s="642">
        <f>SUM(DA10:DA13)</f>
        <v>0</v>
      </c>
      <c r="DB14" s="643"/>
      <c r="DC14" s="642">
        <f>SUM(DC10:DC13)</f>
        <v>0</v>
      </c>
      <c r="DD14" s="643"/>
      <c r="DE14" s="644">
        <f>SUM(DE10:DE13)</f>
        <v>0</v>
      </c>
      <c r="DF14" s="645"/>
      <c r="DG14" s="638"/>
      <c r="DH14" s="639"/>
      <c r="DI14" s="639"/>
      <c r="DJ14" s="640" t="s">
        <v>306</v>
      </c>
      <c r="DK14" s="639"/>
      <c r="DL14" s="639"/>
      <c r="DM14" s="641"/>
      <c r="DN14" s="642">
        <f>SUM(DN10:DN13)</f>
        <v>0</v>
      </c>
      <c r="DO14" s="643"/>
      <c r="DP14" s="642">
        <f>SUM(DP10:DP13)</f>
        <v>0</v>
      </c>
      <c r="DQ14" s="643"/>
      <c r="DR14" s="642">
        <f>SUM(DR10:DR13)</f>
        <v>0</v>
      </c>
      <c r="DS14" s="643"/>
      <c r="DT14" s="642">
        <f>SUM(DT10:DT13)</f>
        <v>0</v>
      </c>
      <c r="DU14" s="643"/>
      <c r="DV14" s="642">
        <f>SUM(DV10:DV13)</f>
        <v>0</v>
      </c>
      <c r="DW14" s="643"/>
      <c r="DX14" s="642">
        <f>SUM(DX10:DX13)</f>
        <v>0</v>
      </c>
      <c r="DY14" s="643"/>
      <c r="DZ14" s="642">
        <f>SUM(DZ10:DZ13)</f>
        <v>0</v>
      </c>
      <c r="EA14" s="643"/>
      <c r="EB14" s="642">
        <f>SUM(EB10:EB13)</f>
        <v>0</v>
      </c>
      <c r="EC14" s="643"/>
      <c r="ED14" s="642">
        <f>SUM(ED10:ED13)</f>
        <v>396</v>
      </c>
      <c r="EE14" s="643"/>
      <c r="EF14" s="642">
        <f>SUM(EF10:EF13)</f>
        <v>765</v>
      </c>
      <c r="EG14" s="643"/>
      <c r="EH14" s="642">
        <f>SUM(EH10:EH13)</f>
        <v>1471</v>
      </c>
      <c r="EI14" s="643"/>
      <c r="EJ14" s="642">
        <f>SUM(EJ10:EJ13)</f>
        <v>1961</v>
      </c>
      <c r="EK14" s="643"/>
      <c r="EL14" s="642">
        <f>SUM(EL10:EL13)</f>
        <v>2159</v>
      </c>
      <c r="EM14" s="643"/>
      <c r="EN14" s="642">
        <f>SUM(EN10:EN13)</f>
        <v>2128</v>
      </c>
      <c r="EO14" s="643"/>
      <c r="EP14" s="642">
        <f>SUM(EP10:EP13)</f>
        <v>1813</v>
      </c>
      <c r="EQ14" s="643"/>
      <c r="ER14" s="642">
        <f>SUM(ER10:ER13)</f>
        <v>1242</v>
      </c>
      <c r="ES14" s="643"/>
      <c r="ET14" s="642">
        <f>SUM(ET10:ET13)</f>
        <v>589</v>
      </c>
      <c r="EU14" s="643"/>
      <c r="EV14" s="642">
        <f>SUM(EV10:EV13)</f>
        <v>0</v>
      </c>
      <c r="EW14" s="643"/>
      <c r="EX14" s="642">
        <f>SUM(EX10:EX13)</f>
        <v>0</v>
      </c>
      <c r="EY14" s="643"/>
      <c r="EZ14" s="642">
        <f>SUM(EZ10:EZ13)</f>
        <v>0</v>
      </c>
      <c r="FA14" s="643"/>
      <c r="FB14" s="642">
        <f>SUM(FB10:FB13)</f>
        <v>0</v>
      </c>
      <c r="FC14" s="643"/>
      <c r="FD14" s="642">
        <f>SUM(FD10:FD13)</f>
        <v>0</v>
      </c>
      <c r="FE14" s="643"/>
      <c r="FF14" s="642">
        <f>SUM(FF10:FF13)</f>
        <v>0</v>
      </c>
      <c r="FG14" s="643"/>
      <c r="FH14" s="644">
        <f>SUM(FH10:FH13)</f>
        <v>0</v>
      </c>
      <c r="FI14" s="646"/>
      <c r="FJ14" s="561"/>
      <c r="FK14" s="639"/>
      <c r="FL14" s="639"/>
      <c r="FM14" s="640" t="s">
        <v>306</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3"/>
      <c r="HE14" s="416"/>
      <c r="HF14" s="416"/>
      <c r="HG14" s="416"/>
    </row>
    <row r="15" spans="1:353" ht="24" customHeight="1">
      <c r="A15" s="529" t="s">
        <v>307</v>
      </c>
      <c r="B15" s="655" t="s">
        <v>293</v>
      </c>
      <c r="C15" s="656" t="s">
        <v>294</v>
      </c>
      <c r="D15" s="657" t="s">
        <v>295</v>
      </c>
      <c r="E15" s="657" t="s">
        <v>308</v>
      </c>
      <c r="F15" s="658" t="s">
        <v>112</v>
      </c>
      <c r="G15" s="659" t="s">
        <v>309</v>
      </c>
      <c r="H15" s="660" t="s">
        <v>310</v>
      </c>
      <c r="I15" s="661" t="s">
        <v>311</v>
      </c>
      <c r="J15" s="660" t="s">
        <v>310</v>
      </c>
      <c r="K15" s="661" t="s">
        <v>311</v>
      </c>
      <c r="L15" s="660" t="s">
        <v>310</v>
      </c>
      <c r="M15" s="661" t="s">
        <v>311</v>
      </c>
      <c r="N15" s="660" t="s">
        <v>310</v>
      </c>
      <c r="O15" s="661" t="s">
        <v>311</v>
      </c>
      <c r="P15" s="660" t="s">
        <v>310</v>
      </c>
      <c r="Q15" s="661" t="s">
        <v>311</v>
      </c>
      <c r="R15" s="660" t="s">
        <v>310</v>
      </c>
      <c r="S15" s="661" t="s">
        <v>311</v>
      </c>
      <c r="T15" s="660" t="s">
        <v>310</v>
      </c>
      <c r="U15" s="661" t="s">
        <v>311</v>
      </c>
      <c r="V15" s="660" t="s">
        <v>310</v>
      </c>
      <c r="W15" s="661" t="s">
        <v>311</v>
      </c>
      <c r="X15" s="660" t="s">
        <v>310</v>
      </c>
      <c r="Y15" s="661" t="s">
        <v>311</v>
      </c>
      <c r="Z15" s="660" t="s">
        <v>310</v>
      </c>
      <c r="AA15" s="661" t="s">
        <v>311</v>
      </c>
      <c r="AB15" s="660" t="s">
        <v>310</v>
      </c>
      <c r="AC15" s="661" t="s">
        <v>311</v>
      </c>
      <c r="AD15" s="660" t="s">
        <v>310</v>
      </c>
      <c r="AE15" s="661" t="s">
        <v>311</v>
      </c>
      <c r="AF15" s="660" t="s">
        <v>310</v>
      </c>
      <c r="AG15" s="661" t="s">
        <v>311</v>
      </c>
      <c r="AH15" s="660" t="s">
        <v>310</v>
      </c>
      <c r="AI15" s="661" t="s">
        <v>311</v>
      </c>
      <c r="AJ15" s="660" t="s">
        <v>312</v>
      </c>
      <c r="AK15" s="661" t="s">
        <v>311</v>
      </c>
      <c r="AL15" s="660" t="s">
        <v>310</v>
      </c>
      <c r="AM15" s="661" t="s">
        <v>311</v>
      </c>
      <c r="AN15" s="660" t="s">
        <v>312</v>
      </c>
      <c r="AO15" s="661" t="s">
        <v>311</v>
      </c>
      <c r="AP15" s="660" t="s">
        <v>310</v>
      </c>
      <c r="AQ15" s="661" t="s">
        <v>311</v>
      </c>
      <c r="AR15" s="660" t="s">
        <v>310</v>
      </c>
      <c r="AS15" s="661" t="s">
        <v>311</v>
      </c>
      <c r="AT15" s="660" t="s">
        <v>310</v>
      </c>
      <c r="AU15" s="661" t="s">
        <v>311</v>
      </c>
      <c r="AV15" s="660" t="s">
        <v>310</v>
      </c>
      <c r="AW15" s="661" t="s">
        <v>311</v>
      </c>
      <c r="AX15" s="660" t="s">
        <v>310</v>
      </c>
      <c r="AY15" s="661" t="s">
        <v>311</v>
      </c>
      <c r="AZ15" s="660" t="s">
        <v>310</v>
      </c>
      <c r="BA15" s="661" t="s">
        <v>311</v>
      </c>
      <c r="BB15" s="662" t="s">
        <v>313</v>
      </c>
      <c r="BC15" s="663"/>
      <c r="BD15" s="529" t="s">
        <v>307</v>
      </c>
      <c r="BE15" s="655" t="s">
        <v>293</v>
      </c>
      <c r="BF15" s="656" t="s">
        <v>294</v>
      </c>
      <c r="BG15" s="657" t="s">
        <v>295</v>
      </c>
      <c r="BH15" s="657" t="s">
        <v>308</v>
      </c>
      <c r="BI15" s="658" t="s">
        <v>112</v>
      </c>
      <c r="BJ15" s="659" t="s">
        <v>309</v>
      </c>
      <c r="BK15" s="660" t="s">
        <v>310</v>
      </c>
      <c r="BL15" s="661" t="s">
        <v>311</v>
      </c>
      <c r="BM15" s="660" t="s">
        <v>310</v>
      </c>
      <c r="BN15" s="661" t="s">
        <v>311</v>
      </c>
      <c r="BO15" s="660" t="s">
        <v>310</v>
      </c>
      <c r="BP15" s="661" t="s">
        <v>311</v>
      </c>
      <c r="BQ15" s="660" t="s">
        <v>310</v>
      </c>
      <c r="BR15" s="661" t="s">
        <v>311</v>
      </c>
      <c r="BS15" s="660" t="s">
        <v>310</v>
      </c>
      <c r="BT15" s="661" t="s">
        <v>311</v>
      </c>
      <c r="BU15" s="660" t="s">
        <v>310</v>
      </c>
      <c r="BV15" s="661" t="s">
        <v>311</v>
      </c>
      <c r="BW15" s="660" t="s">
        <v>310</v>
      </c>
      <c r="BX15" s="661" t="s">
        <v>311</v>
      </c>
      <c r="BY15" s="660" t="s">
        <v>312</v>
      </c>
      <c r="BZ15" s="661" t="s">
        <v>311</v>
      </c>
      <c r="CA15" s="660" t="s">
        <v>310</v>
      </c>
      <c r="CB15" s="661" t="s">
        <v>311</v>
      </c>
      <c r="CC15" s="660" t="s">
        <v>310</v>
      </c>
      <c r="CD15" s="661" t="s">
        <v>311</v>
      </c>
      <c r="CE15" s="660" t="s">
        <v>310</v>
      </c>
      <c r="CF15" s="661" t="s">
        <v>311</v>
      </c>
      <c r="CG15" s="660" t="s">
        <v>310</v>
      </c>
      <c r="CH15" s="661" t="s">
        <v>311</v>
      </c>
      <c r="CI15" s="660" t="s">
        <v>310</v>
      </c>
      <c r="CJ15" s="661" t="s">
        <v>311</v>
      </c>
      <c r="CK15" s="660" t="s">
        <v>310</v>
      </c>
      <c r="CL15" s="661" t="s">
        <v>311</v>
      </c>
      <c r="CM15" s="660" t="s">
        <v>310</v>
      </c>
      <c r="CN15" s="661" t="s">
        <v>311</v>
      </c>
      <c r="CO15" s="660" t="s">
        <v>310</v>
      </c>
      <c r="CP15" s="661" t="s">
        <v>311</v>
      </c>
      <c r="CQ15" s="660" t="s">
        <v>310</v>
      </c>
      <c r="CR15" s="661" t="s">
        <v>311</v>
      </c>
      <c r="CS15" s="660" t="s">
        <v>310</v>
      </c>
      <c r="CT15" s="661" t="s">
        <v>311</v>
      </c>
      <c r="CU15" s="660" t="s">
        <v>310</v>
      </c>
      <c r="CV15" s="661" t="s">
        <v>311</v>
      </c>
      <c r="CW15" s="660" t="s">
        <v>310</v>
      </c>
      <c r="CX15" s="661" t="s">
        <v>311</v>
      </c>
      <c r="CY15" s="660" t="s">
        <v>310</v>
      </c>
      <c r="CZ15" s="661" t="s">
        <v>311</v>
      </c>
      <c r="DA15" s="660" t="s">
        <v>310</v>
      </c>
      <c r="DB15" s="661" t="s">
        <v>311</v>
      </c>
      <c r="DC15" s="660" t="s">
        <v>310</v>
      </c>
      <c r="DD15" s="661" t="s">
        <v>311</v>
      </c>
      <c r="DE15" s="662" t="s">
        <v>313</v>
      </c>
      <c r="DF15" s="663"/>
      <c r="DG15" s="529" t="s">
        <v>307</v>
      </c>
      <c r="DH15" s="655" t="s">
        <v>293</v>
      </c>
      <c r="DI15" s="656" t="s">
        <v>294</v>
      </c>
      <c r="DJ15" s="657" t="s">
        <v>295</v>
      </c>
      <c r="DK15" s="657" t="s">
        <v>308</v>
      </c>
      <c r="DL15" s="658" t="s">
        <v>112</v>
      </c>
      <c r="DM15" s="659" t="s">
        <v>309</v>
      </c>
      <c r="DN15" s="660" t="s">
        <v>310</v>
      </c>
      <c r="DO15" s="661" t="s">
        <v>311</v>
      </c>
      <c r="DP15" s="660" t="s">
        <v>310</v>
      </c>
      <c r="DQ15" s="661" t="s">
        <v>311</v>
      </c>
      <c r="DR15" s="660" t="s">
        <v>310</v>
      </c>
      <c r="DS15" s="661" t="s">
        <v>311</v>
      </c>
      <c r="DT15" s="660" t="s">
        <v>310</v>
      </c>
      <c r="DU15" s="661" t="s">
        <v>311</v>
      </c>
      <c r="DV15" s="660" t="s">
        <v>310</v>
      </c>
      <c r="DW15" s="661" t="s">
        <v>311</v>
      </c>
      <c r="DX15" s="660" t="s">
        <v>310</v>
      </c>
      <c r="DY15" s="661" t="s">
        <v>311</v>
      </c>
      <c r="DZ15" s="660" t="s">
        <v>312</v>
      </c>
      <c r="EA15" s="661" t="s">
        <v>311</v>
      </c>
      <c r="EB15" s="660" t="s">
        <v>312</v>
      </c>
      <c r="EC15" s="661" t="s">
        <v>311</v>
      </c>
      <c r="ED15" s="660" t="s">
        <v>310</v>
      </c>
      <c r="EE15" s="661" t="s">
        <v>311</v>
      </c>
      <c r="EF15" s="660" t="s">
        <v>310</v>
      </c>
      <c r="EG15" s="661" t="s">
        <v>311</v>
      </c>
      <c r="EH15" s="660" t="s">
        <v>310</v>
      </c>
      <c r="EI15" s="661" t="s">
        <v>311</v>
      </c>
      <c r="EJ15" s="660" t="s">
        <v>310</v>
      </c>
      <c r="EK15" s="661" t="s">
        <v>311</v>
      </c>
      <c r="EL15" s="660" t="s">
        <v>310</v>
      </c>
      <c r="EM15" s="661" t="s">
        <v>311</v>
      </c>
      <c r="EN15" s="660" t="s">
        <v>310</v>
      </c>
      <c r="EO15" s="661" t="s">
        <v>311</v>
      </c>
      <c r="EP15" s="660" t="s">
        <v>310</v>
      </c>
      <c r="EQ15" s="661" t="s">
        <v>311</v>
      </c>
      <c r="ER15" s="660" t="s">
        <v>310</v>
      </c>
      <c r="ES15" s="661" t="s">
        <v>311</v>
      </c>
      <c r="ET15" s="660" t="s">
        <v>310</v>
      </c>
      <c r="EU15" s="661" t="s">
        <v>311</v>
      </c>
      <c r="EV15" s="660" t="s">
        <v>310</v>
      </c>
      <c r="EW15" s="661" t="s">
        <v>311</v>
      </c>
      <c r="EX15" s="660" t="s">
        <v>310</v>
      </c>
      <c r="EY15" s="661" t="s">
        <v>311</v>
      </c>
      <c r="EZ15" s="660" t="s">
        <v>310</v>
      </c>
      <c r="FA15" s="661" t="s">
        <v>311</v>
      </c>
      <c r="FB15" s="660" t="s">
        <v>310</v>
      </c>
      <c r="FC15" s="661" t="s">
        <v>311</v>
      </c>
      <c r="FD15" s="660" t="s">
        <v>312</v>
      </c>
      <c r="FE15" s="661" t="s">
        <v>311</v>
      </c>
      <c r="FF15" s="660" t="s">
        <v>312</v>
      </c>
      <c r="FG15" s="661" t="s">
        <v>311</v>
      </c>
      <c r="FH15" s="662" t="s">
        <v>313</v>
      </c>
      <c r="FI15" s="664"/>
      <c r="FJ15" s="539" t="s">
        <v>307</v>
      </c>
      <c r="FK15" s="655" t="s">
        <v>293</v>
      </c>
      <c r="FL15" s="656" t="s">
        <v>294</v>
      </c>
      <c r="FM15" s="657" t="s">
        <v>295</v>
      </c>
      <c r="FN15" s="657" t="s">
        <v>308</v>
      </c>
      <c r="FO15" s="658" t="s">
        <v>112</v>
      </c>
      <c r="FP15" s="665" t="s">
        <v>46</v>
      </c>
      <c r="FQ15" s="666" t="s">
        <v>311</v>
      </c>
      <c r="FR15" s="660" t="s">
        <v>313</v>
      </c>
      <c r="FS15" s="667" t="s">
        <v>46</v>
      </c>
      <c r="FT15" s="666" t="s">
        <v>311</v>
      </c>
      <c r="FU15" s="668" t="s">
        <v>313</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222</v>
      </c>
      <c r="C16" s="672" t="s">
        <v>74</v>
      </c>
      <c r="D16" s="552">
        <v>25.74</v>
      </c>
      <c r="E16" s="673">
        <v>0.6</v>
      </c>
      <c r="F16" s="674"/>
      <c r="G16" s="675">
        <v>0</v>
      </c>
      <c r="H16" s="556">
        <f>ROUND(25.74*0.6*0,0)</f>
        <v>0</v>
      </c>
      <c r="I16" s="676">
        <v>0</v>
      </c>
      <c r="J16" s="556">
        <f>ROUND(25.74*0.6*0,0)</f>
        <v>0</v>
      </c>
      <c r="K16" s="676">
        <v>0</v>
      </c>
      <c r="L16" s="556">
        <f>ROUND(25.74*0.6*0,0)</f>
        <v>0</v>
      </c>
      <c r="M16" s="676">
        <v>0</v>
      </c>
      <c r="N16" s="556">
        <f>ROUND(25.74*0.6*0,0)</f>
        <v>0</v>
      </c>
      <c r="O16" s="676">
        <v>0</v>
      </c>
      <c r="P16" s="556">
        <f>ROUND(25.74*0.6*0,0)</f>
        <v>0</v>
      </c>
      <c r="Q16" s="676">
        <v>0</v>
      </c>
      <c r="R16" s="556">
        <f>ROUND(25.74*0.6*0,0)</f>
        <v>0</v>
      </c>
      <c r="S16" s="676">
        <v>0</v>
      </c>
      <c r="T16" s="556">
        <f>ROUND(25.74*0.6*0,0)</f>
        <v>0</v>
      </c>
      <c r="U16" s="676">
        <v>0</v>
      </c>
      <c r="V16" s="556">
        <f>ROUND(25.74*0.6*0,0)</f>
        <v>0</v>
      </c>
      <c r="W16" s="676">
        <v>5.0999999999999996</v>
      </c>
      <c r="X16" s="556">
        <f>ROUND(25.74*0.6*5.1,0)</f>
        <v>79</v>
      </c>
      <c r="Y16" s="676">
        <v>6.9</v>
      </c>
      <c r="Z16" s="556">
        <f>ROUND(25.74*0.6*6.9,0)</f>
        <v>107</v>
      </c>
      <c r="AA16" s="676">
        <v>9.1</v>
      </c>
      <c r="AB16" s="556">
        <f>ROUND(25.74*0.6*9.1,0)</f>
        <v>141</v>
      </c>
      <c r="AC16" s="676">
        <v>11.5</v>
      </c>
      <c r="AD16" s="556">
        <f>ROUND(25.74*0.6*11.5,0)</f>
        <v>178</v>
      </c>
      <c r="AE16" s="676">
        <v>13.7</v>
      </c>
      <c r="AF16" s="556">
        <f>ROUND(25.74*0.6*13.7,0)</f>
        <v>212</v>
      </c>
      <c r="AG16" s="676">
        <v>15.5</v>
      </c>
      <c r="AH16" s="556">
        <f>ROUND(25.74*0.6*15.5,0)</f>
        <v>239</v>
      </c>
      <c r="AI16" s="676">
        <v>16.3</v>
      </c>
      <c r="AJ16" s="556">
        <f>ROUND(25.74*0.6*16.3,0)</f>
        <v>252</v>
      </c>
      <c r="AK16" s="676">
        <v>16</v>
      </c>
      <c r="AL16" s="556">
        <f>ROUND(25.74*0.6*16,0)</f>
        <v>247</v>
      </c>
      <c r="AM16" s="676">
        <v>14.7</v>
      </c>
      <c r="AN16" s="556">
        <f>ROUND(25.74*0.6*14.7,0)</f>
        <v>227</v>
      </c>
      <c r="AO16" s="676">
        <v>12.6</v>
      </c>
      <c r="AP16" s="556">
        <f>ROUND(25.74*0.6*12.6,0)</f>
        <v>195</v>
      </c>
      <c r="AQ16" s="676">
        <v>0</v>
      </c>
      <c r="AR16" s="556">
        <f>ROUND(25.74*0.6*0,0)</f>
        <v>0</v>
      </c>
      <c r="AS16" s="676">
        <v>0</v>
      </c>
      <c r="AT16" s="556">
        <f>ROUND(25.74*0.6*0,0)</f>
        <v>0</v>
      </c>
      <c r="AU16" s="676">
        <v>0</v>
      </c>
      <c r="AV16" s="556">
        <f>ROUND(25.74*0.6*0,0)</f>
        <v>0</v>
      </c>
      <c r="AW16" s="676">
        <v>0</v>
      </c>
      <c r="AX16" s="556">
        <f>ROUND(25.74*0.6*0,0)</f>
        <v>0</v>
      </c>
      <c r="AY16" s="676">
        <v>0</v>
      </c>
      <c r="AZ16" s="556">
        <f>ROUND(25.74*0.6*0,0)</f>
        <v>0</v>
      </c>
      <c r="BA16" s="676">
        <v>0</v>
      </c>
      <c r="BB16" s="677">
        <f>ROUND(25.74*0.6*0,0)</f>
        <v>0</v>
      </c>
      <c r="BC16" s="559"/>
      <c r="BD16" s="549"/>
      <c r="BE16" s="551" t="s">
        <v>222</v>
      </c>
      <c r="BF16" s="672" t="s">
        <v>74</v>
      </c>
      <c r="BG16" s="552">
        <v>25.74</v>
      </c>
      <c r="BH16" s="673">
        <v>0.6</v>
      </c>
      <c r="BI16" s="674"/>
      <c r="BJ16" s="675">
        <v>0</v>
      </c>
      <c r="BK16" s="556">
        <f>ROUND(25.74*0.6*0,0)</f>
        <v>0</v>
      </c>
      <c r="BL16" s="676">
        <v>0</v>
      </c>
      <c r="BM16" s="556">
        <f>ROUND(25.74*0.6*0,0)</f>
        <v>0</v>
      </c>
      <c r="BN16" s="676">
        <v>0</v>
      </c>
      <c r="BO16" s="556">
        <f>ROUND(25.74*0.6*0,0)</f>
        <v>0</v>
      </c>
      <c r="BP16" s="676">
        <v>0</v>
      </c>
      <c r="BQ16" s="556">
        <f>ROUND(25.74*0.6*0,0)</f>
        <v>0</v>
      </c>
      <c r="BR16" s="676">
        <v>0</v>
      </c>
      <c r="BS16" s="556">
        <f>ROUND(25.74*0.6*0,0)</f>
        <v>0</v>
      </c>
      <c r="BT16" s="676">
        <v>0</v>
      </c>
      <c r="BU16" s="556">
        <f>ROUND(25.74*0.6*0,0)</f>
        <v>0</v>
      </c>
      <c r="BV16" s="676">
        <v>0</v>
      </c>
      <c r="BW16" s="556">
        <f>ROUND(25.74*0.6*0,0)</f>
        <v>0</v>
      </c>
      <c r="BX16" s="676">
        <v>0</v>
      </c>
      <c r="BY16" s="556">
        <f>ROUND(25.74*0.6*0,0)</f>
        <v>0</v>
      </c>
      <c r="BZ16" s="676">
        <v>4.5999999999999996</v>
      </c>
      <c r="CA16" s="556">
        <f>ROUND(25.74*0.6*4.6,0)</f>
        <v>71</v>
      </c>
      <c r="CB16" s="676">
        <v>6.4</v>
      </c>
      <c r="CC16" s="556">
        <f>ROUND(25.74*0.6*6.4,0)</f>
        <v>99</v>
      </c>
      <c r="CD16" s="676">
        <v>8.6999999999999993</v>
      </c>
      <c r="CE16" s="556">
        <f>ROUND(25.74*0.6*8.7,0)</f>
        <v>134</v>
      </c>
      <c r="CF16" s="676">
        <v>11.5</v>
      </c>
      <c r="CG16" s="556">
        <f>ROUND(25.74*0.6*11.5,0)</f>
        <v>178</v>
      </c>
      <c r="CH16" s="676">
        <v>14.2</v>
      </c>
      <c r="CI16" s="556">
        <f>ROUND(25.74*0.6*14.2,0)</f>
        <v>219</v>
      </c>
      <c r="CJ16" s="676">
        <v>16.5</v>
      </c>
      <c r="CK16" s="556">
        <f>ROUND(25.74*0.6*16.5,0)</f>
        <v>255</v>
      </c>
      <c r="CL16" s="676">
        <v>17.7</v>
      </c>
      <c r="CM16" s="556">
        <f>ROUND(25.74*0.6*17.7,0)</f>
        <v>273</v>
      </c>
      <c r="CN16" s="676">
        <v>17.8</v>
      </c>
      <c r="CO16" s="556">
        <f>ROUND(25.74*0.6*17.8,0)</f>
        <v>275</v>
      </c>
      <c r="CP16" s="676">
        <v>16.600000000000001</v>
      </c>
      <c r="CQ16" s="556">
        <f>ROUND(25.74*0.6*16.6,0)</f>
        <v>256</v>
      </c>
      <c r="CR16" s="676">
        <v>14.4</v>
      </c>
      <c r="CS16" s="556">
        <f>ROUND(25.74*0.6*14.4,0)</f>
        <v>222</v>
      </c>
      <c r="CT16" s="676">
        <v>0</v>
      </c>
      <c r="CU16" s="556">
        <f>ROUND(25.74*0.6*0,0)</f>
        <v>0</v>
      </c>
      <c r="CV16" s="676">
        <v>0</v>
      </c>
      <c r="CW16" s="556">
        <f>ROUND(25.74*0.6*0,0)</f>
        <v>0</v>
      </c>
      <c r="CX16" s="676">
        <v>0</v>
      </c>
      <c r="CY16" s="556">
        <f>ROUND(25.74*0.6*0,0)</f>
        <v>0</v>
      </c>
      <c r="CZ16" s="676">
        <v>0</v>
      </c>
      <c r="DA16" s="556">
        <f>ROUND(25.74*0.6*0,0)</f>
        <v>0</v>
      </c>
      <c r="DB16" s="676">
        <v>0</v>
      </c>
      <c r="DC16" s="556">
        <f>ROUND(25.74*0.6*0,0)</f>
        <v>0</v>
      </c>
      <c r="DD16" s="676">
        <v>0</v>
      </c>
      <c r="DE16" s="677">
        <f>ROUND(25.74*0.6*0,0)</f>
        <v>0</v>
      </c>
      <c r="DF16" s="559"/>
      <c r="DG16" s="549"/>
      <c r="DH16" s="551" t="s">
        <v>222</v>
      </c>
      <c r="DI16" s="672" t="s">
        <v>74</v>
      </c>
      <c r="DJ16" s="552">
        <v>25.74</v>
      </c>
      <c r="DK16" s="673">
        <v>0.6</v>
      </c>
      <c r="DL16" s="674"/>
      <c r="DM16" s="675">
        <v>0</v>
      </c>
      <c r="DN16" s="556">
        <f>ROUND(25.74*0.6*0,0)</f>
        <v>0</v>
      </c>
      <c r="DO16" s="676">
        <v>0</v>
      </c>
      <c r="DP16" s="556">
        <f>ROUND(25.74*0.6*0,0)</f>
        <v>0</v>
      </c>
      <c r="DQ16" s="676">
        <v>0</v>
      </c>
      <c r="DR16" s="556">
        <f>ROUND(25.74*0.6*0,0)</f>
        <v>0</v>
      </c>
      <c r="DS16" s="676">
        <v>0</v>
      </c>
      <c r="DT16" s="556">
        <f>ROUND(25.74*0.6*0,0)</f>
        <v>0</v>
      </c>
      <c r="DU16" s="676">
        <v>0</v>
      </c>
      <c r="DV16" s="556">
        <f>ROUND(25.74*0.6*0,0)</f>
        <v>0</v>
      </c>
      <c r="DW16" s="676">
        <v>0</v>
      </c>
      <c r="DX16" s="556">
        <f>ROUND(25.74*0.6*0,0)</f>
        <v>0</v>
      </c>
      <c r="DY16" s="676">
        <v>0</v>
      </c>
      <c r="DZ16" s="556">
        <f>ROUND(25.74*0.6*0,0)</f>
        <v>0</v>
      </c>
      <c r="EA16" s="676">
        <v>0</v>
      </c>
      <c r="EB16" s="556">
        <f>ROUND(25.74*0.6*0,0)</f>
        <v>0</v>
      </c>
      <c r="EC16" s="676">
        <v>2.2000000000000002</v>
      </c>
      <c r="ED16" s="556">
        <f>ROUND(25.74*0.6*2.2,0)</f>
        <v>34</v>
      </c>
      <c r="EE16" s="676">
        <v>5.0999999999999996</v>
      </c>
      <c r="EF16" s="556">
        <f>ROUND(25.74*0.6*5.1,0)</f>
        <v>79</v>
      </c>
      <c r="EG16" s="676">
        <v>8.9</v>
      </c>
      <c r="EH16" s="556">
        <f>ROUND(25.74*0.6*8.9,0)</f>
        <v>137</v>
      </c>
      <c r="EI16" s="676">
        <v>12.9</v>
      </c>
      <c r="EJ16" s="556">
        <f>ROUND(25.74*0.6*12.9,0)</f>
        <v>199</v>
      </c>
      <c r="EK16" s="676">
        <v>16.399999999999999</v>
      </c>
      <c r="EL16" s="556">
        <f>ROUND(25.74*0.6*16.4,0)</f>
        <v>253</v>
      </c>
      <c r="EM16" s="676">
        <v>18.899999999999999</v>
      </c>
      <c r="EN16" s="556">
        <f>ROUND(25.74*0.6*18.9,0)</f>
        <v>292</v>
      </c>
      <c r="EO16" s="676">
        <v>20.2</v>
      </c>
      <c r="EP16" s="556">
        <f>ROUND(25.74*0.6*20.2,0)</f>
        <v>312</v>
      </c>
      <c r="EQ16" s="676">
        <v>19.8</v>
      </c>
      <c r="ER16" s="556">
        <f>ROUND(25.74*0.6*19.8,0)</f>
        <v>306</v>
      </c>
      <c r="ES16" s="676">
        <v>17.7</v>
      </c>
      <c r="ET16" s="556">
        <f>ROUND(25.74*0.6*17.7,0)</f>
        <v>273</v>
      </c>
      <c r="EU16" s="676">
        <v>14.1</v>
      </c>
      <c r="EV16" s="556">
        <f>ROUND(25.74*0.6*14.1,0)</f>
        <v>218</v>
      </c>
      <c r="EW16" s="676">
        <v>0</v>
      </c>
      <c r="EX16" s="556">
        <f>ROUND(25.74*0.6*0,0)</f>
        <v>0</v>
      </c>
      <c r="EY16" s="676">
        <v>0</v>
      </c>
      <c r="EZ16" s="556">
        <f>ROUND(25.74*0.6*0,0)</f>
        <v>0</v>
      </c>
      <c r="FA16" s="676">
        <v>0</v>
      </c>
      <c r="FB16" s="556">
        <f>ROUND(25.74*0.6*0,0)</f>
        <v>0</v>
      </c>
      <c r="FC16" s="676">
        <v>0</v>
      </c>
      <c r="FD16" s="556">
        <f>ROUND(25.74*0.6*0,0)</f>
        <v>0</v>
      </c>
      <c r="FE16" s="676">
        <v>0</v>
      </c>
      <c r="FF16" s="556">
        <f>ROUND(25.74*0.6*0,0)</f>
        <v>0</v>
      </c>
      <c r="FG16" s="676">
        <v>0</v>
      </c>
      <c r="FH16" s="677">
        <f>ROUND(25.74*0.6*0,0)</f>
        <v>0</v>
      </c>
      <c r="FI16" s="560"/>
      <c r="FJ16" s="561"/>
      <c r="FK16" s="551" t="s">
        <v>222</v>
      </c>
      <c r="FL16" s="672" t="s">
        <v>74</v>
      </c>
      <c r="FM16" s="552">
        <v>25.74</v>
      </c>
      <c r="FN16" s="673">
        <v>0.6</v>
      </c>
      <c r="FO16" s="674"/>
      <c r="FP16" s="678">
        <v>9</v>
      </c>
      <c r="FQ16" s="679">
        <v>20</v>
      </c>
      <c r="FR16" s="556">
        <f>ROUND(25.74*0.6*20,0)</f>
        <v>309</v>
      </c>
      <c r="FS16" s="680">
        <v>9</v>
      </c>
      <c r="FT16" s="679">
        <v>20.5</v>
      </c>
      <c r="FU16" s="564">
        <f>ROUND(25.74*0.6*20.5,0)</f>
        <v>317</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232</v>
      </c>
      <c r="C17" s="684" t="s">
        <v>74</v>
      </c>
      <c r="D17" s="580">
        <v>10.8</v>
      </c>
      <c r="E17" s="685" t="s">
        <v>345</v>
      </c>
      <c r="F17" s="686"/>
      <c r="G17" s="687">
        <v>0</v>
      </c>
      <c r="H17" s="584">
        <f>ROUND(10.8*4.2*0,0)</f>
        <v>0</v>
      </c>
      <c r="I17" s="688">
        <v>0</v>
      </c>
      <c r="J17" s="584">
        <f>ROUND(10.8*4.2*0,0)</f>
        <v>0</v>
      </c>
      <c r="K17" s="688">
        <v>0</v>
      </c>
      <c r="L17" s="584">
        <f>ROUND(10.8*4.2*0,0)</f>
        <v>0</v>
      </c>
      <c r="M17" s="688">
        <v>0</v>
      </c>
      <c r="N17" s="584">
        <f>ROUND(10.8*4.2*0,0)</f>
        <v>0</v>
      </c>
      <c r="O17" s="688">
        <v>0</v>
      </c>
      <c r="P17" s="584">
        <f>ROUND(10.8*4.2*0,0)</f>
        <v>0</v>
      </c>
      <c r="Q17" s="688">
        <v>0</v>
      </c>
      <c r="R17" s="584">
        <f>ROUND(10.8*4.2*0,0)</f>
        <v>0</v>
      </c>
      <c r="S17" s="688">
        <v>0</v>
      </c>
      <c r="T17" s="584">
        <f>ROUND(10.8*4.2*0,0)</f>
        <v>0</v>
      </c>
      <c r="U17" s="688">
        <v>0</v>
      </c>
      <c r="V17" s="584">
        <f>ROUND(10.8*4.2*0,0)</f>
        <v>0</v>
      </c>
      <c r="W17" s="688">
        <v>5.3</v>
      </c>
      <c r="X17" s="584">
        <f>ROUND(10.8*4.2*5.3,0)</f>
        <v>240</v>
      </c>
      <c r="Y17" s="688">
        <v>6.5</v>
      </c>
      <c r="Z17" s="584">
        <f>ROUND(10.8*4.2*6.5,0)</f>
        <v>295</v>
      </c>
      <c r="AA17" s="688">
        <v>7.2</v>
      </c>
      <c r="AB17" s="584">
        <f>ROUND(10.8*4.2*7.2,0)</f>
        <v>327</v>
      </c>
      <c r="AC17" s="688">
        <v>7.7</v>
      </c>
      <c r="AD17" s="584">
        <f>ROUND(10.8*4.2*7.7,0)</f>
        <v>349</v>
      </c>
      <c r="AE17" s="688">
        <v>7.9</v>
      </c>
      <c r="AF17" s="584">
        <f>ROUND(10.8*4.2*7.9,0)</f>
        <v>358</v>
      </c>
      <c r="AG17" s="688">
        <v>7.9</v>
      </c>
      <c r="AH17" s="584">
        <f>ROUND(10.8*4.2*7.9,0)</f>
        <v>358</v>
      </c>
      <c r="AI17" s="688">
        <v>7.4</v>
      </c>
      <c r="AJ17" s="584">
        <f>ROUND(10.8*4.2*7.4,0)</f>
        <v>336</v>
      </c>
      <c r="AK17" s="688">
        <v>6.9</v>
      </c>
      <c r="AL17" s="584">
        <f>ROUND(10.8*4.2*6.9,0)</f>
        <v>313</v>
      </c>
      <c r="AM17" s="688">
        <v>6</v>
      </c>
      <c r="AN17" s="584">
        <f>ROUND(10.8*4.2*6,0)</f>
        <v>272</v>
      </c>
      <c r="AO17" s="688">
        <v>5.3</v>
      </c>
      <c r="AP17" s="584">
        <f>ROUND(10.8*4.2*5.3,0)</f>
        <v>240</v>
      </c>
      <c r="AQ17" s="688">
        <v>0</v>
      </c>
      <c r="AR17" s="584">
        <f>ROUND(10.8*4.2*0,0)</f>
        <v>0</v>
      </c>
      <c r="AS17" s="688">
        <v>0</v>
      </c>
      <c r="AT17" s="584">
        <f>ROUND(10.8*4.2*0,0)</f>
        <v>0</v>
      </c>
      <c r="AU17" s="688">
        <v>0</v>
      </c>
      <c r="AV17" s="584">
        <f>ROUND(10.8*4.2*0,0)</f>
        <v>0</v>
      </c>
      <c r="AW17" s="688">
        <v>0</v>
      </c>
      <c r="AX17" s="584">
        <f>ROUND(10.8*4.2*0,0)</f>
        <v>0</v>
      </c>
      <c r="AY17" s="688">
        <v>0</v>
      </c>
      <c r="AZ17" s="584">
        <f>ROUND(10.8*4.2*0,0)</f>
        <v>0</v>
      </c>
      <c r="BA17" s="688">
        <v>0</v>
      </c>
      <c r="BB17" s="586">
        <f>ROUND(10.8*4.2*0,0)</f>
        <v>0</v>
      </c>
      <c r="BC17" s="559"/>
      <c r="BD17" s="549"/>
      <c r="BE17" s="579" t="s">
        <v>232</v>
      </c>
      <c r="BF17" s="684" t="s">
        <v>74</v>
      </c>
      <c r="BG17" s="580">
        <v>10.8</v>
      </c>
      <c r="BH17" s="685" t="s">
        <v>345</v>
      </c>
      <c r="BI17" s="686"/>
      <c r="BJ17" s="687">
        <v>0</v>
      </c>
      <c r="BK17" s="584">
        <f>ROUND(10.8*4.2*0,0)</f>
        <v>0</v>
      </c>
      <c r="BL17" s="688">
        <v>0</v>
      </c>
      <c r="BM17" s="584">
        <f>ROUND(10.8*4.2*0,0)</f>
        <v>0</v>
      </c>
      <c r="BN17" s="688">
        <v>0</v>
      </c>
      <c r="BO17" s="584">
        <f>ROUND(10.8*4.2*0,0)</f>
        <v>0</v>
      </c>
      <c r="BP17" s="688">
        <v>0</v>
      </c>
      <c r="BQ17" s="584">
        <f>ROUND(10.8*4.2*0,0)</f>
        <v>0</v>
      </c>
      <c r="BR17" s="688">
        <v>0</v>
      </c>
      <c r="BS17" s="584">
        <f>ROUND(10.8*4.2*0,0)</f>
        <v>0</v>
      </c>
      <c r="BT17" s="688">
        <v>0</v>
      </c>
      <c r="BU17" s="584">
        <f>ROUND(10.8*4.2*0,0)</f>
        <v>0</v>
      </c>
      <c r="BV17" s="688">
        <v>0</v>
      </c>
      <c r="BW17" s="584">
        <f>ROUND(10.8*4.2*0,0)</f>
        <v>0</v>
      </c>
      <c r="BX17" s="688">
        <v>0</v>
      </c>
      <c r="BY17" s="584">
        <f>ROUND(10.8*4.2*0,0)</f>
        <v>0</v>
      </c>
      <c r="BZ17" s="688">
        <v>5.0999999999999996</v>
      </c>
      <c r="CA17" s="584">
        <f>ROUND(10.8*4.2*5.1,0)</f>
        <v>231</v>
      </c>
      <c r="CB17" s="688">
        <v>6.1</v>
      </c>
      <c r="CC17" s="584">
        <f>ROUND(10.8*4.2*6.1,0)</f>
        <v>277</v>
      </c>
      <c r="CD17" s="688">
        <v>7</v>
      </c>
      <c r="CE17" s="584">
        <f>ROUND(10.8*4.2*7,0)</f>
        <v>318</v>
      </c>
      <c r="CF17" s="688">
        <v>7.4</v>
      </c>
      <c r="CG17" s="584">
        <f>ROUND(10.8*4.2*7.4,0)</f>
        <v>336</v>
      </c>
      <c r="CH17" s="688">
        <v>7.6</v>
      </c>
      <c r="CI17" s="584">
        <f>ROUND(10.8*4.2*7.6,0)</f>
        <v>345</v>
      </c>
      <c r="CJ17" s="688">
        <v>7.4</v>
      </c>
      <c r="CK17" s="584">
        <f>ROUND(10.8*4.2*7.4,0)</f>
        <v>336</v>
      </c>
      <c r="CL17" s="688">
        <v>6.9</v>
      </c>
      <c r="CM17" s="584">
        <f>ROUND(10.8*4.2*6.9,0)</f>
        <v>313</v>
      </c>
      <c r="CN17" s="688">
        <v>6.5</v>
      </c>
      <c r="CO17" s="584">
        <f>ROUND(10.8*4.2*6.5,0)</f>
        <v>295</v>
      </c>
      <c r="CP17" s="688">
        <v>6</v>
      </c>
      <c r="CQ17" s="584">
        <f>ROUND(10.8*4.2*6,0)</f>
        <v>272</v>
      </c>
      <c r="CR17" s="688">
        <v>5.0999999999999996</v>
      </c>
      <c r="CS17" s="584">
        <f>ROUND(10.8*4.2*5.1,0)</f>
        <v>231</v>
      </c>
      <c r="CT17" s="688">
        <v>0</v>
      </c>
      <c r="CU17" s="584">
        <f>ROUND(10.8*4.2*0,0)</f>
        <v>0</v>
      </c>
      <c r="CV17" s="688">
        <v>0</v>
      </c>
      <c r="CW17" s="584">
        <f>ROUND(10.8*4.2*0,0)</f>
        <v>0</v>
      </c>
      <c r="CX17" s="688">
        <v>0</v>
      </c>
      <c r="CY17" s="584">
        <f>ROUND(10.8*4.2*0,0)</f>
        <v>0</v>
      </c>
      <c r="CZ17" s="688">
        <v>0</v>
      </c>
      <c r="DA17" s="584">
        <f>ROUND(10.8*4.2*0,0)</f>
        <v>0</v>
      </c>
      <c r="DB17" s="688">
        <v>0</v>
      </c>
      <c r="DC17" s="584">
        <f>ROUND(10.8*4.2*0,0)</f>
        <v>0</v>
      </c>
      <c r="DD17" s="688">
        <v>0</v>
      </c>
      <c r="DE17" s="586">
        <f>ROUND(10.8*4.2*0,0)</f>
        <v>0</v>
      </c>
      <c r="DF17" s="559"/>
      <c r="DG17" s="549"/>
      <c r="DH17" s="579" t="s">
        <v>232</v>
      </c>
      <c r="DI17" s="684" t="s">
        <v>74</v>
      </c>
      <c r="DJ17" s="580">
        <v>10.8</v>
      </c>
      <c r="DK17" s="685" t="s">
        <v>345</v>
      </c>
      <c r="DL17" s="686"/>
      <c r="DM17" s="687">
        <v>0</v>
      </c>
      <c r="DN17" s="584">
        <f>ROUND(10.8*4.2*0,0)</f>
        <v>0</v>
      </c>
      <c r="DO17" s="688">
        <v>0</v>
      </c>
      <c r="DP17" s="584">
        <f>ROUND(10.8*4.2*0,0)</f>
        <v>0</v>
      </c>
      <c r="DQ17" s="688">
        <v>0</v>
      </c>
      <c r="DR17" s="584">
        <f>ROUND(10.8*4.2*0,0)</f>
        <v>0</v>
      </c>
      <c r="DS17" s="688">
        <v>0</v>
      </c>
      <c r="DT17" s="584">
        <f>ROUND(10.8*4.2*0,0)</f>
        <v>0</v>
      </c>
      <c r="DU17" s="688">
        <v>0</v>
      </c>
      <c r="DV17" s="584">
        <f>ROUND(10.8*4.2*0,0)</f>
        <v>0</v>
      </c>
      <c r="DW17" s="688">
        <v>0</v>
      </c>
      <c r="DX17" s="584">
        <f>ROUND(10.8*4.2*0,0)</f>
        <v>0</v>
      </c>
      <c r="DY17" s="688">
        <v>0</v>
      </c>
      <c r="DZ17" s="584">
        <f>ROUND(10.8*4.2*0,0)</f>
        <v>0</v>
      </c>
      <c r="EA17" s="688">
        <v>0</v>
      </c>
      <c r="EB17" s="584">
        <f>ROUND(10.8*4.2*0,0)</f>
        <v>0</v>
      </c>
      <c r="EC17" s="688">
        <v>2.8</v>
      </c>
      <c r="ED17" s="584">
        <f>ROUND(10.8*4.2*2.8,0)</f>
        <v>127</v>
      </c>
      <c r="EE17" s="688">
        <v>4.0999999999999996</v>
      </c>
      <c r="EF17" s="584">
        <f>ROUND(10.8*4.2*4.1,0)</f>
        <v>186</v>
      </c>
      <c r="EG17" s="688">
        <v>4.9000000000000004</v>
      </c>
      <c r="EH17" s="584">
        <f>ROUND(10.8*4.2*4.9,0)</f>
        <v>222</v>
      </c>
      <c r="EI17" s="688">
        <v>5.6</v>
      </c>
      <c r="EJ17" s="584">
        <f>ROUND(10.8*4.2*5.6,0)</f>
        <v>254</v>
      </c>
      <c r="EK17" s="688">
        <v>5.8</v>
      </c>
      <c r="EL17" s="584">
        <f>ROUND(10.8*4.2*5.8,0)</f>
        <v>263</v>
      </c>
      <c r="EM17" s="688">
        <v>5.5</v>
      </c>
      <c r="EN17" s="584">
        <f>ROUND(10.8*4.2*5.5,0)</f>
        <v>249</v>
      </c>
      <c r="EO17" s="688">
        <v>5.0999999999999996</v>
      </c>
      <c r="EP17" s="584">
        <f>ROUND(10.8*4.2*5.1,0)</f>
        <v>231</v>
      </c>
      <c r="EQ17" s="688">
        <v>4.7</v>
      </c>
      <c r="ER17" s="584">
        <f>ROUND(10.8*4.2*4.7,0)</f>
        <v>213</v>
      </c>
      <c r="ES17" s="688">
        <v>3.7</v>
      </c>
      <c r="ET17" s="584">
        <f>ROUND(10.8*4.2*3.7,0)</f>
        <v>168</v>
      </c>
      <c r="EU17" s="688">
        <v>2.7</v>
      </c>
      <c r="EV17" s="584">
        <f>ROUND(10.8*4.2*2.7,0)</f>
        <v>122</v>
      </c>
      <c r="EW17" s="688">
        <v>0</v>
      </c>
      <c r="EX17" s="584">
        <f>ROUND(10.8*4.2*0,0)</f>
        <v>0</v>
      </c>
      <c r="EY17" s="688">
        <v>0</v>
      </c>
      <c r="EZ17" s="584">
        <f>ROUND(10.8*4.2*0,0)</f>
        <v>0</v>
      </c>
      <c r="FA17" s="688">
        <v>0</v>
      </c>
      <c r="FB17" s="584">
        <f>ROUND(10.8*4.2*0,0)</f>
        <v>0</v>
      </c>
      <c r="FC17" s="688">
        <v>0</v>
      </c>
      <c r="FD17" s="584">
        <f>ROUND(10.8*4.2*0,0)</f>
        <v>0</v>
      </c>
      <c r="FE17" s="688">
        <v>0</v>
      </c>
      <c r="FF17" s="584">
        <f>ROUND(10.8*4.2*0,0)</f>
        <v>0</v>
      </c>
      <c r="FG17" s="688">
        <v>0</v>
      </c>
      <c r="FH17" s="586">
        <f>ROUND(10.8*4.2*0,0)</f>
        <v>0</v>
      </c>
      <c r="FI17" s="560"/>
      <c r="FJ17" s="561"/>
      <c r="FK17" s="579" t="s">
        <v>232</v>
      </c>
      <c r="FL17" s="684" t="s">
        <v>74</v>
      </c>
      <c r="FM17" s="580">
        <v>10.8</v>
      </c>
      <c r="FN17" s="685" t="s">
        <v>345</v>
      </c>
      <c r="FO17" s="686"/>
      <c r="FP17" s="689">
        <v>9</v>
      </c>
      <c r="FQ17" s="690">
        <v>20</v>
      </c>
      <c r="FR17" s="584">
        <f>ROUND(10.8*4.2*20,0)</f>
        <v>907</v>
      </c>
      <c r="FS17" s="691">
        <v>9</v>
      </c>
      <c r="FT17" s="690">
        <v>20.5</v>
      </c>
      <c r="FU17" s="589">
        <f>ROUND(10.8*4.2*20.5,0)</f>
        <v>930</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253</v>
      </c>
      <c r="C18" s="684"/>
      <c r="D18" s="580">
        <v>7.28</v>
      </c>
      <c r="E18" s="685">
        <v>2.5</v>
      </c>
      <c r="F18" s="686"/>
      <c r="G18" s="687">
        <v>0</v>
      </c>
      <c r="H18" s="584">
        <f>ROUND(7.28*2.5*0,0)</f>
        <v>0</v>
      </c>
      <c r="I18" s="688">
        <v>0</v>
      </c>
      <c r="J18" s="584">
        <f>ROUND(7.28*2.5*0,0)</f>
        <v>0</v>
      </c>
      <c r="K18" s="688">
        <v>0</v>
      </c>
      <c r="L18" s="584">
        <f>ROUND(7.28*2.5*0,0)</f>
        <v>0</v>
      </c>
      <c r="M18" s="688">
        <v>0</v>
      </c>
      <c r="N18" s="584">
        <f>ROUND(7.28*2.5*0,0)</f>
        <v>0</v>
      </c>
      <c r="O18" s="688">
        <v>0</v>
      </c>
      <c r="P18" s="584">
        <f>ROUND(7.28*2.5*0,0)</f>
        <v>0</v>
      </c>
      <c r="Q18" s="688">
        <v>0</v>
      </c>
      <c r="R18" s="584">
        <f>ROUND(7.28*2.5*0,0)</f>
        <v>0</v>
      </c>
      <c r="S18" s="688">
        <v>0</v>
      </c>
      <c r="T18" s="584">
        <f>ROUND(7.28*2.5*0,0)</f>
        <v>0</v>
      </c>
      <c r="U18" s="688">
        <v>0</v>
      </c>
      <c r="V18" s="584">
        <f>ROUND(7.28*2.5*0,0)</f>
        <v>0</v>
      </c>
      <c r="W18" s="688">
        <v>1.6</v>
      </c>
      <c r="X18" s="584">
        <f>ROUND(7.28*2.5*1.6,0)</f>
        <v>29</v>
      </c>
      <c r="Y18" s="688">
        <v>2</v>
      </c>
      <c r="Z18" s="584">
        <f>ROUND(7.28*2.5*2,0)</f>
        <v>36</v>
      </c>
      <c r="AA18" s="688">
        <v>2.2000000000000002</v>
      </c>
      <c r="AB18" s="584">
        <f>ROUND(7.28*2.5*2.2,0)</f>
        <v>40</v>
      </c>
      <c r="AC18" s="688">
        <v>2.2999999999999998</v>
      </c>
      <c r="AD18" s="584">
        <f>ROUND(7.28*2.5*2.3,0)</f>
        <v>42</v>
      </c>
      <c r="AE18" s="688">
        <v>2.4</v>
      </c>
      <c r="AF18" s="584">
        <f>ROUND(7.28*2.5*2.4,0)</f>
        <v>44</v>
      </c>
      <c r="AG18" s="688">
        <v>2.4</v>
      </c>
      <c r="AH18" s="584">
        <f>ROUND(7.28*2.5*2.4,0)</f>
        <v>44</v>
      </c>
      <c r="AI18" s="688">
        <v>2.2000000000000002</v>
      </c>
      <c r="AJ18" s="584">
        <f>ROUND(7.28*2.5*2.2,0)</f>
        <v>40</v>
      </c>
      <c r="AK18" s="688">
        <v>2.1</v>
      </c>
      <c r="AL18" s="584">
        <f>ROUND(7.28*2.5*2.1,0)</f>
        <v>38</v>
      </c>
      <c r="AM18" s="688">
        <v>1.8</v>
      </c>
      <c r="AN18" s="584">
        <f>ROUND(7.28*2.5*1.8,0)</f>
        <v>33</v>
      </c>
      <c r="AO18" s="688">
        <v>1.6</v>
      </c>
      <c r="AP18" s="584">
        <f>ROUND(7.28*2.5*1.6,0)</f>
        <v>29</v>
      </c>
      <c r="AQ18" s="688">
        <v>0</v>
      </c>
      <c r="AR18" s="584">
        <f>ROUND(7.28*2.5*0,0)</f>
        <v>0</v>
      </c>
      <c r="AS18" s="688">
        <v>0</v>
      </c>
      <c r="AT18" s="584">
        <f>ROUND(7.28*2.5*0,0)</f>
        <v>0</v>
      </c>
      <c r="AU18" s="688">
        <v>0</v>
      </c>
      <c r="AV18" s="584">
        <f>ROUND(7.28*2.5*0,0)</f>
        <v>0</v>
      </c>
      <c r="AW18" s="688">
        <v>0</v>
      </c>
      <c r="AX18" s="584">
        <f>ROUND(7.28*2.5*0,0)</f>
        <v>0</v>
      </c>
      <c r="AY18" s="688">
        <v>0</v>
      </c>
      <c r="AZ18" s="584">
        <f>ROUND(7.28*2.5*0,0)</f>
        <v>0</v>
      </c>
      <c r="BA18" s="688">
        <v>0</v>
      </c>
      <c r="BB18" s="586">
        <f>ROUND(7.28*2.5*0,0)</f>
        <v>0</v>
      </c>
      <c r="BC18" s="559"/>
      <c r="BD18" s="549"/>
      <c r="BE18" s="693" t="s">
        <v>253</v>
      </c>
      <c r="BF18" s="684"/>
      <c r="BG18" s="580">
        <v>7.28</v>
      </c>
      <c r="BH18" s="685">
        <v>2.5</v>
      </c>
      <c r="BI18" s="686"/>
      <c r="BJ18" s="687">
        <v>0</v>
      </c>
      <c r="BK18" s="584">
        <f>ROUND(7.28*2.5*0,0)</f>
        <v>0</v>
      </c>
      <c r="BL18" s="688">
        <v>0</v>
      </c>
      <c r="BM18" s="584">
        <f>ROUND(7.28*2.5*0,0)</f>
        <v>0</v>
      </c>
      <c r="BN18" s="688">
        <v>0</v>
      </c>
      <c r="BO18" s="584">
        <f>ROUND(7.28*2.5*0,0)</f>
        <v>0</v>
      </c>
      <c r="BP18" s="688">
        <v>0</v>
      </c>
      <c r="BQ18" s="584">
        <f>ROUND(7.28*2.5*0,0)</f>
        <v>0</v>
      </c>
      <c r="BR18" s="688">
        <v>0</v>
      </c>
      <c r="BS18" s="584">
        <f>ROUND(7.28*2.5*0,0)</f>
        <v>0</v>
      </c>
      <c r="BT18" s="688">
        <v>0</v>
      </c>
      <c r="BU18" s="584">
        <f>ROUND(7.28*2.5*0,0)</f>
        <v>0</v>
      </c>
      <c r="BV18" s="688">
        <v>0</v>
      </c>
      <c r="BW18" s="584">
        <f>ROUND(7.28*2.5*0,0)</f>
        <v>0</v>
      </c>
      <c r="BX18" s="688">
        <v>0</v>
      </c>
      <c r="BY18" s="584">
        <f>ROUND(7.28*2.5*0,0)</f>
        <v>0</v>
      </c>
      <c r="BZ18" s="688">
        <v>1.5</v>
      </c>
      <c r="CA18" s="584">
        <f>ROUND(7.28*2.5*1.5,0)</f>
        <v>27</v>
      </c>
      <c r="CB18" s="688">
        <v>1.8</v>
      </c>
      <c r="CC18" s="584">
        <f>ROUND(7.28*2.5*1.8,0)</f>
        <v>33</v>
      </c>
      <c r="CD18" s="688">
        <v>2.1</v>
      </c>
      <c r="CE18" s="584">
        <f>ROUND(7.28*2.5*2.1,0)</f>
        <v>38</v>
      </c>
      <c r="CF18" s="688">
        <v>2.2000000000000002</v>
      </c>
      <c r="CG18" s="584">
        <f>ROUND(7.28*2.5*2.2,0)</f>
        <v>40</v>
      </c>
      <c r="CH18" s="688">
        <v>2.2999999999999998</v>
      </c>
      <c r="CI18" s="584">
        <f>ROUND(7.28*2.5*2.3,0)</f>
        <v>42</v>
      </c>
      <c r="CJ18" s="688">
        <v>2.2000000000000002</v>
      </c>
      <c r="CK18" s="584">
        <f>ROUND(7.28*2.5*2.2,0)</f>
        <v>40</v>
      </c>
      <c r="CL18" s="688">
        <v>2.1</v>
      </c>
      <c r="CM18" s="584">
        <f>ROUND(7.28*2.5*2.1,0)</f>
        <v>38</v>
      </c>
      <c r="CN18" s="688">
        <v>2</v>
      </c>
      <c r="CO18" s="584">
        <f>ROUND(7.28*2.5*2,0)</f>
        <v>36</v>
      </c>
      <c r="CP18" s="688">
        <v>1.8</v>
      </c>
      <c r="CQ18" s="584">
        <f>ROUND(7.28*2.5*1.8,0)</f>
        <v>33</v>
      </c>
      <c r="CR18" s="688">
        <v>1.5</v>
      </c>
      <c r="CS18" s="584">
        <f>ROUND(7.28*2.5*1.5,0)</f>
        <v>27</v>
      </c>
      <c r="CT18" s="688">
        <v>0</v>
      </c>
      <c r="CU18" s="584">
        <f>ROUND(7.28*2.5*0,0)</f>
        <v>0</v>
      </c>
      <c r="CV18" s="688">
        <v>0</v>
      </c>
      <c r="CW18" s="584">
        <f>ROUND(7.28*2.5*0,0)</f>
        <v>0</v>
      </c>
      <c r="CX18" s="688">
        <v>0</v>
      </c>
      <c r="CY18" s="584">
        <f>ROUND(7.28*2.5*0,0)</f>
        <v>0</v>
      </c>
      <c r="CZ18" s="688">
        <v>0</v>
      </c>
      <c r="DA18" s="584">
        <f>ROUND(7.28*2.5*0,0)</f>
        <v>0</v>
      </c>
      <c r="DB18" s="688">
        <v>0</v>
      </c>
      <c r="DC18" s="584">
        <f>ROUND(7.28*2.5*0,0)</f>
        <v>0</v>
      </c>
      <c r="DD18" s="688">
        <v>0</v>
      </c>
      <c r="DE18" s="586">
        <f>ROUND(7.28*2.5*0,0)</f>
        <v>0</v>
      </c>
      <c r="DF18" s="559"/>
      <c r="DG18" s="549"/>
      <c r="DH18" s="693" t="s">
        <v>253</v>
      </c>
      <c r="DI18" s="684"/>
      <c r="DJ18" s="580">
        <v>7.28</v>
      </c>
      <c r="DK18" s="685">
        <v>2.5</v>
      </c>
      <c r="DL18" s="686"/>
      <c r="DM18" s="687">
        <v>0</v>
      </c>
      <c r="DN18" s="584">
        <f>ROUND(7.28*2.5*0,0)</f>
        <v>0</v>
      </c>
      <c r="DO18" s="688">
        <v>0</v>
      </c>
      <c r="DP18" s="584">
        <f>ROUND(7.28*2.5*0,0)</f>
        <v>0</v>
      </c>
      <c r="DQ18" s="688">
        <v>0</v>
      </c>
      <c r="DR18" s="584">
        <f>ROUND(7.28*2.5*0,0)</f>
        <v>0</v>
      </c>
      <c r="DS18" s="688">
        <v>0</v>
      </c>
      <c r="DT18" s="584">
        <f>ROUND(7.28*2.5*0,0)</f>
        <v>0</v>
      </c>
      <c r="DU18" s="688">
        <v>0</v>
      </c>
      <c r="DV18" s="584">
        <f>ROUND(7.28*2.5*0,0)</f>
        <v>0</v>
      </c>
      <c r="DW18" s="688">
        <v>0</v>
      </c>
      <c r="DX18" s="584">
        <f>ROUND(7.28*2.5*0,0)</f>
        <v>0</v>
      </c>
      <c r="DY18" s="688">
        <v>0</v>
      </c>
      <c r="DZ18" s="584">
        <f>ROUND(7.28*2.5*0,0)</f>
        <v>0</v>
      </c>
      <c r="EA18" s="688">
        <v>0</v>
      </c>
      <c r="EB18" s="584">
        <f>ROUND(7.28*2.5*0,0)</f>
        <v>0</v>
      </c>
      <c r="EC18" s="688">
        <v>0.8</v>
      </c>
      <c r="ED18" s="584">
        <f>ROUND(7.28*2.5*0.8,0)</f>
        <v>15</v>
      </c>
      <c r="EE18" s="688">
        <v>1.2</v>
      </c>
      <c r="EF18" s="584">
        <f>ROUND(7.28*2.5*1.2,0)</f>
        <v>22</v>
      </c>
      <c r="EG18" s="688">
        <v>1.5</v>
      </c>
      <c r="EH18" s="584">
        <f>ROUND(7.28*2.5*1.5,0)</f>
        <v>27</v>
      </c>
      <c r="EI18" s="688">
        <v>1.7</v>
      </c>
      <c r="EJ18" s="584">
        <f>ROUND(7.28*2.5*1.7,0)</f>
        <v>31</v>
      </c>
      <c r="EK18" s="688">
        <v>1.7</v>
      </c>
      <c r="EL18" s="584">
        <f>ROUND(7.28*2.5*1.7,0)</f>
        <v>31</v>
      </c>
      <c r="EM18" s="688">
        <v>1.6</v>
      </c>
      <c r="EN18" s="584">
        <f>ROUND(7.28*2.5*1.6,0)</f>
        <v>29</v>
      </c>
      <c r="EO18" s="688">
        <v>1.5</v>
      </c>
      <c r="EP18" s="584">
        <f>ROUND(7.28*2.5*1.5,0)</f>
        <v>27</v>
      </c>
      <c r="EQ18" s="688">
        <v>1.4</v>
      </c>
      <c r="ER18" s="584">
        <f>ROUND(7.28*2.5*1.4,0)</f>
        <v>25</v>
      </c>
      <c r="ES18" s="688">
        <v>1.1000000000000001</v>
      </c>
      <c r="ET18" s="584">
        <f>ROUND(7.28*2.5*1.1,0)</f>
        <v>20</v>
      </c>
      <c r="EU18" s="688">
        <v>0.8</v>
      </c>
      <c r="EV18" s="584">
        <f>ROUND(7.28*2.5*0.8,0)</f>
        <v>15</v>
      </c>
      <c r="EW18" s="688">
        <v>0</v>
      </c>
      <c r="EX18" s="584">
        <f>ROUND(7.28*2.5*0,0)</f>
        <v>0</v>
      </c>
      <c r="EY18" s="688">
        <v>0</v>
      </c>
      <c r="EZ18" s="584">
        <f>ROUND(7.28*2.5*0,0)</f>
        <v>0</v>
      </c>
      <c r="FA18" s="688">
        <v>0</v>
      </c>
      <c r="FB18" s="584">
        <f>ROUND(7.28*2.5*0,0)</f>
        <v>0</v>
      </c>
      <c r="FC18" s="688">
        <v>0</v>
      </c>
      <c r="FD18" s="584">
        <f>ROUND(7.28*2.5*0,0)</f>
        <v>0</v>
      </c>
      <c r="FE18" s="688">
        <v>0</v>
      </c>
      <c r="FF18" s="584">
        <f>ROUND(7.28*2.5*0,0)</f>
        <v>0</v>
      </c>
      <c r="FG18" s="688">
        <v>0</v>
      </c>
      <c r="FH18" s="586">
        <f>ROUND(7.28*2.5*0,0)</f>
        <v>0</v>
      </c>
      <c r="FI18" s="560"/>
      <c r="FJ18" s="561"/>
      <c r="FK18" s="693" t="s">
        <v>253</v>
      </c>
      <c r="FL18" s="684"/>
      <c r="FM18" s="580">
        <v>7.28</v>
      </c>
      <c r="FN18" s="685">
        <v>2.5</v>
      </c>
      <c r="FO18" s="686"/>
      <c r="FP18" s="689">
        <v>9</v>
      </c>
      <c r="FQ18" s="690">
        <v>6</v>
      </c>
      <c r="FR18" s="584">
        <f>ROUND(7.28*2.5*6,0)</f>
        <v>109</v>
      </c>
      <c r="FS18" s="691">
        <v>9</v>
      </c>
      <c r="FT18" s="690">
        <v>6.1</v>
      </c>
      <c r="FU18" s="589">
        <f>ROUND(7.28*2.5*6.1,0)</f>
        <v>111</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253</v>
      </c>
      <c r="C19" s="684"/>
      <c r="D19" s="580">
        <v>19.88</v>
      </c>
      <c r="E19" s="685">
        <v>2.5</v>
      </c>
      <c r="F19" s="686"/>
      <c r="G19" s="687">
        <v>0</v>
      </c>
      <c r="H19" s="584">
        <f>ROUND(19.88*2.5*0,0)</f>
        <v>0</v>
      </c>
      <c r="I19" s="688">
        <v>0</v>
      </c>
      <c r="J19" s="584">
        <f>ROUND(19.88*2.5*0,0)</f>
        <v>0</v>
      </c>
      <c r="K19" s="688">
        <v>0</v>
      </c>
      <c r="L19" s="584">
        <f>ROUND(19.88*2.5*0,0)</f>
        <v>0</v>
      </c>
      <c r="M19" s="688">
        <v>0</v>
      </c>
      <c r="N19" s="584">
        <f>ROUND(19.88*2.5*0,0)</f>
        <v>0</v>
      </c>
      <c r="O19" s="688">
        <v>0</v>
      </c>
      <c r="P19" s="584">
        <f>ROUND(19.88*2.5*0,0)</f>
        <v>0</v>
      </c>
      <c r="Q19" s="688">
        <v>0</v>
      </c>
      <c r="R19" s="584">
        <f>ROUND(19.88*2.5*0,0)</f>
        <v>0</v>
      </c>
      <c r="S19" s="688">
        <v>0</v>
      </c>
      <c r="T19" s="584">
        <f>ROUND(19.88*2.5*0,0)</f>
        <v>0</v>
      </c>
      <c r="U19" s="688">
        <v>0</v>
      </c>
      <c r="V19" s="584">
        <f>ROUND(19.88*2.5*0,0)</f>
        <v>0</v>
      </c>
      <c r="W19" s="688">
        <v>2.1</v>
      </c>
      <c r="X19" s="584">
        <f>ROUND(19.88*2.5*2.1,0)</f>
        <v>104</v>
      </c>
      <c r="Y19" s="688">
        <v>2.6</v>
      </c>
      <c r="Z19" s="584">
        <f>ROUND(19.88*2.5*2.6,0)</f>
        <v>129</v>
      </c>
      <c r="AA19" s="688">
        <v>2.9</v>
      </c>
      <c r="AB19" s="584">
        <f>ROUND(19.88*2.5*2.9,0)</f>
        <v>144</v>
      </c>
      <c r="AC19" s="688">
        <v>3.1</v>
      </c>
      <c r="AD19" s="584">
        <f>ROUND(19.88*2.5*3.1,0)</f>
        <v>154</v>
      </c>
      <c r="AE19" s="688">
        <v>3.2</v>
      </c>
      <c r="AF19" s="584">
        <f>ROUND(19.88*2.5*3.2,0)</f>
        <v>159</v>
      </c>
      <c r="AG19" s="688">
        <v>3.2</v>
      </c>
      <c r="AH19" s="584">
        <f>ROUND(19.88*2.5*3.2,0)</f>
        <v>159</v>
      </c>
      <c r="AI19" s="688">
        <v>3</v>
      </c>
      <c r="AJ19" s="584">
        <f>ROUND(19.88*2.5*3,0)</f>
        <v>149</v>
      </c>
      <c r="AK19" s="688">
        <v>2.8</v>
      </c>
      <c r="AL19" s="584">
        <f>ROUND(19.88*2.5*2.8,0)</f>
        <v>139</v>
      </c>
      <c r="AM19" s="688">
        <v>2.4</v>
      </c>
      <c r="AN19" s="584">
        <f>ROUND(19.88*2.5*2.4,0)</f>
        <v>119</v>
      </c>
      <c r="AO19" s="688">
        <v>2.1</v>
      </c>
      <c r="AP19" s="584">
        <f>ROUND(19.88*2.5*2.1,0)</f>
        <v>104</v>
      </c>
      <c r="AQ19" s="688">
        <v>0</v>
      </c>
      <c r="AR19" s="584">
        <f>ROUND(19.88*2.5*0,0)</f>
        <v>0</v>
      </c>
      <c r="AS19" s="688">
        <v>0</v>
      </c>
      <c r="AT19" s="584">
        <f>ROUND(19.88*2.5*0,0)</f>
        <v>0</v>
      </c>
      <c r="AU19" s="688">
        <v>0</v>
      </c>
      <c r="AV19" s="584">
        <f>ROUND(19.88*2.5*0,0)</f>
        <v>0</v>
      </c>
      <c r="AW19" s="688">
        <v>0</v>
      </c>
      <c r="AX19" s="584">
        <f>ROUND(19.88*2.5*0,0)</f>
        <v>0</v>
      </c>
      <c r="AY19" s="688">
        <v>0</v>
      </c>
      <c r="AZ19" s="584">
        <f>ROUND(19.88*2.5*0,0)</f>
        <v>0</v>
      </c>
      <c r="BA19" s="688">
        <v>0</v>
      </c>
      <c r="BB19" s="586">
        <f>ROUND(19.88*2.5*0,0)</f>
        <v>0</v>
      </c>
      <c r="BC19" s="559"/>
      <c r="BD19" s="549"/>
      <c r="BE19" s="693" t="s">
        <v>253</v>
      </c>
      <c r="BF19" s="684"/>
      <c r="BG19" s="580">
        <v>19.88</v>
      </c>
      <c r="BH19" s="685">
        <v>2.5</v>
      </c>
      <c r="BI19" s="686"/>
      <c r="BJ19" s="687">
        <v>0</v>
      </c>
      <c r="BK19" s="584">
        <f>ROUND(19.88*2.5*0,0)</f>
        <v>0</v>
      </c>
      <c r="BL19" s="688">
        <v>0</v>
      </c>
      <c r="BM19" s="584">
        <f>ROUND(19.88*2.5*0,0)</f>
        <v>0</v>
      </c>
      <c r="BN19" s="688">
        <v>0</v>
      </c>
      <c r="BO19" s="584">
        <f>ROUND(19.88*2.5*0,0)</f>
        <v>0</v>
      </c>
      <c r="BP19" s="688">
        <v>0</v>
      </c>
      <c r="BQ19" s="584">
        <f>ROUND(19.88*2.5*0,0)</f>
        <v>0</v>
      </c>
      <c r="BR19" s="688">
        <v>0</v>
      </c>
      <c r="BS19" s="584">
        <f>ROUND(19.88*2.5*0,0)</f>
        <v>0</v>
      </c>
      <c r="BT19" s="688">
        <v>0</v>
      </c>
      <c r="BU19" s="584">
        <f>ROUND(19.88*2.5*0,0)</f>
        <v>0</v>
      </c>
      <c r="BV19" s="688">
        <v>0</v>
      </c>
      <c r="BW19" s="584">
        <f>ROUND(19.88*2.5*0,0)</f>
        <v>0</v>
      </c>
      <c r="BX19" s="688">
        <v>0</v>
      </c>
      <c r="BY19" s="584">
        <f>ROUND(19.88*2.5*0,0)</f>
        <v>0</v>
      </c>
      <c r="BZ19" s="688">
        <v>2</v>
      </c>
      <c r="CA19" s="584">
        <f>ROUND(19.88*2.5*2,0)</f>
        <v>99</v>
      </c>
      <c r="CB19" s="688">
        <v>2.4</v>
      </c>
      <c r="CC19" s="584">
        <f>ROUND(19.88*2.5*2.4,0)</f>
        <v>119</v>
      </c>
      <c r="CD19" s="688">
        <v>2.8</v>
      </c>
      <c r="CE19" s="584">
        <f>ROUND(19.88*2.5*2.8,0)</f>
        <v>139</v>
      </c>
      <c r="CF19" s="688">
        <v>3</v>
      </c>
      <c r="CG19" s="584">
        <f>ROUND(19.88*2.5*3,0)</f>
        <v>149</v>
      </c>
      <c r="CH19" s="688">
        <v>3</v>
      </c>
      <c r="CI19" s="584">
        <f>ROUND(19.88*2.5*3,0)</f>
        <v>149</v>
      </c>
      <c r="CJ19" s="688">
        <v>3</v>
      </c>
      <c r="CK19" s="584">
        <f>ROUND(19.88*2.5*3,0)</f>
        <v>149</v>
      </c>
      <c r="CL19" s="688">
        <v>2.8</v>
      </c>
      <c r="CM19" s="584">
        <f>ROUND(19.88*2.5*2.8,0)</f>
        <v>139</v>
      </c>
      <c r="CN19" s="688">
        <v>2.6</v>
      </c>
      <c r="CO19" s="584">
        <f>ROUND(19.88*2.5*2.6,0)</f>
        <v>129</v>
      </c>
      <c r="CP19" s="688">
        <v>2.4</v>
      </c>
      <c r="CQ19" s="584">
        <f>ROUND(19.88*2.5*2.4,0)</f>
        <v>119</v>
      </c>
      <c r="CR19" s="688">
        <v>2</v>
      </c>
      <c r="CS19" s="584">
        <f>ROUND(19.88*2.5*2,0)</f>
        <v>99</v>
      </c>
      <c r="CT19" s="688">
        <v>0</v>
      </c>
      <c r="CU19" s="584">
        <f>ROUND(19.88*2.5*0,0)</f>
        <v>0</v>
      </c>
      <c r="CV19" s="688">
        <v>0</v>
      </c>
      <c r="CW19" s="584">
        <f>ROUND(19.88*2.5*0,0)</f>
        <v>0</v>
      </c>
      <c r="CX19" s="688">
        <v>0</v>
      </c>
      <c r="CY19" s="584">
        <f>ROUND(19.88*2.5*0,0)</f>
        <v>0</v>
      </c>
      <c r="CZ19" s="688">
        <v>0</v>
      </c>
      <c r="DA19" s="584">
        <f>ROUND(19.88*2.5*0,0)</f>
        <v>0</v>
      </c>
      <c r="DB19" s="688">
        <v>0</v>
      </c>
      <c r="DC19" s="584">
        <f>ROUND(19.88*2.5*0,0)</f>
        <v>0</v>
      </c>
      <c r="DD19" s="688">
        <v>0</v>
      </c>
      <c r="DE19" s="586">
        <f>ROUND(19.88*2.5*0,0)</f>
        <v>0</v>
      </c>
      <c r="DF19" s="559"/>
      <c r="DG19" s="549"/>
      <c r="DH19" s="693" t="s">
        <v>253</v>
      </c>
      <c r="DI19" s="684"/>
      <c r="DJ19" s="580">
        <v>19.88</v>
      </c>
      <c r="DK19" s="685">
        <v>2.5</v>
      </c>
      <c r="DL19" s="686"/>
      <c r="DM19" s="687">
        <v>0</v>
      </c>
      <c r="DN19" s="584">
        <f>ROUND(19.88*2.5*0,0)</f>
        <v>0</v>
      </c>
      <c r="DO19" s="688">
        <v>0</v>
      </c>
      <c r="DP19" s="584">
        <f>ROUND(19.88*2.5*0,0)</f>
        <v>0</v>
      </c>
      <c r="DQ19" s="688">
        <v>0</v>
      </c>
      <c r="DR19" s="584">
        <f>ROUND(19.88*2.5*0,0)</f>
        <v>0</v>
      </c>
      <c r="DS19" s="688">
        <v>0</v>
      </c>
      <c r="DT19" s="584">
        <f>ROUND(19.88*2.5*0,0)</f>
        <v>0</v>
      </c>
      <c r="DU19" s="688">
        <v>0</v>
      </c>
      <c r="DV19" s="584">
        <f>ROUND(19.88*2.5*0,0)</f>
        <v>0</v>
      </c>
      <c r="DW19" s="688">
        <v>0</v>
      </c>
      <c r="DX19" s="584">
        <f>ROUND(19.88*2.5*0,0)</f>
        <v>0</v>
      </c>
      <c r="DY19" s="688">
        <v>0</v>
      </c>
      <c r="DZ19" s="584">
        <f>ROUND(19.88*2.5*0,0)</f>
        <v>0</v>
      </c>
      <c r="EA19" s="688">
        <v>0</v>
      </c>
      <c r="EB19" s="584">
        <f>ROUND(19.88*2.5*0,0)</f>
        <v>0</v>
      </c>
      <c r="EC19" s="688">
        <v>1.1000000000000001</v>
      </c>
      <c r="ED19" s="584">
        <f>ROUND(19.88*2.5*1.1,0)</f>
        <v>55</v>
      </c>
      <c r="EE19" s="688">
        <v>1.6</v>
      </c>
      <c r="EF19" s="584">
        <f>ROUND(19.88*2.5*1.6,0)</f>
        <v>80</v>
      </c>
      <c r="EG19" s="688">
        <v>2</v>
      </c>
      <c r="EH19" s="584">
        <f>ROUND(19.88*2.5*2,0)</f>
        <v>99</v>
      </c>
      <c r="EI19" s="688">
        <v>2.2000000000000002</v>
      </c>
      <c r="EJ19" s="584">
        <f>ROUND(19.88*2.5*2.2,0)</f>
        <v>109</v>
      </c>
      <c r="EK19" s="688">
        <v>2.2999999999999998</v>
      </c>
      <c r="EL19" s="584">
        <f>ROUND(19.88*2.5*2.3,0)</f>
        <v>114</v>
      </c>
      <c r="EM19" s="688">
        <v>2.2000000000000002</v>
      </c>
      <c r="EN19" s="584">
        <f>ROUND(19.88*2.5*2.2,0)</f>
        <v>109</v>
      </c>
      <c r="EO19" s="688">
        <v>2</v>
      </c>
      <c r="EP19" s="584">
        <f>ROUND(19.88*2.5*2,0)</f>
        <v>99</v>
      </c>
      <c r="EQ19" s="688">
        <v>1.9</v>
      </c>
      <c r="ER19" s="584">
        <f>ROUND(19.88*2.5*1.9,0)</f>
        <v>94</v>
      </c>
      <c r="ES19" s="688">
        <v>1.5</v>
      </c>
      <c r="ET19" s="584">
        <f>ROUND(19.88*2.5*1.5,0)</f>
        <v>75</v>
      </c>
      <c r="EU19" s="688">
        <v>1.1000000000000001</v>
      </c>
      <c r="EV19" s="584">
        <f>ROUND(19.88*2.5*1.1,0)</f>
        <v>55</v>
      </c>
      <c r="EW19" s="688">
        <v>0</v>
      </c>
      <c r="EX19" s="584">
        <f>ROUND(19.88*2.5*0,0)</f>
        <v>0</v>
      </c>
      <c r="EY19" s="688">
        <v>0</v>
      </c>
      <c r="EZ19" s="584">
        <f>ROUND(19.88*2.5*0,0)</f>
        <v>0</v>
      </c>
      <c r="FA19" s="688">
        <v>0</v>
      </c>
      <c r="FB19" s="584">
        <f>ROUND(19.88*2.5*0,0)</f>
        <v>0</v>
      </c>
      <c r="FC19" s="688">
        <v>0</v>
      </c>
      <c r="FD19" s="584">
        <f>ROUND(19.88*2.5*0,0)</f>
        <v>0</v>
      </c>
      <c r="FE19" s="688">
        <v>0</v>
      </c>
      <c r="FF19" s="584">
        <f>ROUND(19.88*2.5*0,0)</f>
        <v>0</v>
      </c>
      <c r="FG19" s="688">
        <v>0</v>
      </c>
      <c r="FH19" s="586">
        <f>ROUND(19.88*2.5*0,0)</f>
        <v>0</v>
      </c>
      <c r="FI19" s="560"/>
      <c r="FJ19" s="561"/>
      <c r="FK19" s="693" t="s">
        <v>253</v>
      </c>
      <c r="FL19" s="684"/>
      <c r="FM19" s="580">
        <v>19.88</v>
      </c>
      <c r="FN19" s="685">
        <v>2.5</v>
      </c>
      <c r="FO19" s="686"/>
      <c r="FP19" s="689">
        <v>9</v>
      </c>
      <c r="FQ19" s="690">
        <v>8</v>
      </c>
      <c r="FR19" s="584">
        <f>ROUND(19.88*2.5*8,0)</f>
        <v>398</v>
      </c>
      <c r="FS19" s="691">
        <v>9</v>
      </c>
      <c r="FT19" s="690">
        <v>8.1999999999999993</v>
      </c>
      <c r="FU19" s="589">
        <f>ROUND(19.88*2.5*8.2,0)</f>
        <v>408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253</v>
      </c>
      <c r="C20" s="684"/>
      <c r="D20" s="580">
        <v>14.42</v>
      </c>
      <c r="E20" s="685">
        <v>2.5</v>
      </c>
      <c r="F20" s="686"/>
      <c r="G20" s="687">
        <v>0</v>
      </c>
      <c r="H20" s="584">
        <f>ROUND(14.42*2.5*0,0)</f>
        <v>0</v>
      </c>
      <c r="I20" s="688">
        <v>0</v>
      </c>
      <c r="J20" s="584">
        <f>ROUND(14.42*2.5*0,0)</f>
        <v>0</v>
      </c>
      <c r="K20" s="688">
        <v>0</v>
      </c>
      <c r="L20" s="584">
        <f>ROUND(14.42*2.5*0,0)</f>
        <v>0</v>
      </c>
      <c r="M20" s="688">
        <v>0</v>
      </c>
      <c r="N20" s="584">
        <f>ROUND(14.42*2.5*0,0)</f>
        <v>0</v>
      </c>
      <c r="O20" s="688">
        <v>0</v>
      </c>
      <c r="P20" s="584">
        <f>ROUND(14.42*2.5*0,0)</f>
        <v>0</v>
      </c>
      <c r="Q20" s="688">
        <v>0</v>
      </c>
      <c r="R20" s="584">
        <f>ROUND(14.42*2.5*0,0)</f>
        <v>0</v>
      </c>
      <c r="S20" s="688">
        <v>0</v>
      </c>
      <c r="T20" s="584">
        <f>ROUND(14.42*2.5*0,0)</f>
        <v>0</v>
      </c>
      <c r="U20" s="688">
        <v>0</v>
      </c>
      <c r="V20" s="584">
        <f>ROUND(14.42*2.5*0,0)</f>
        <v>0</v>
      </c>
      <c r="W20" s="688">
        <v>2.1</v>
      </c>
      <c r="X20" s="584">
        <f>ROUND(14.42*2.5*2.1,0)</f>
        <v>76</v>
      </c>
      <c r="Y20" s="688">
        <v>2.6</v>
      </c>
      <c r="Z20" s="584">
        <f>ROUND(14.42*2.5*2.6,0)</f>
        <v>94</v>
      </c>
      <c r="AA20" s="688">
        <v>2.9</v>
      </c>
      <c r="AB20" s="584">
        <f>ROUND(14.42*2.5*2.9,0)</f>
        <v>105</v>
      </c>
      <c r="AC20" s="688">
        <v>3.1</v>
      </c>
      <c r="AD20" s="584">
        <f>ROUND(14.42*2.5*3.1,0)</f>
        <v>112</v>
      </c>
      <c r="AE20" s="688">
        <v>3.2</v>
      </c>
      <c r="AF20" s="584">
        <f>ROUND(14.42*2.5*3.2,0)</f>
        <v>115</v>
      </c>
      <c r="AG20" s="688">
        <v>3.2</v>
      </c>
      <c r="AH20" s="584">
        <f>ROUND(14.42*2.5*3.2,0)</f>
        <v>115</v>
      </c>
      <c r="AI20" s="688">
        <v>3</v>
      </c>
      <c r="AJ20" s="584">
        <f>ROUND(14.42*2.5*3,0)</f>
        <v>108</v>
      </c>
      <c r="AK20" s="688">
        <v>2.8</v>
      </c>
      <c r="AL20" s="584">
        <f>ROUND(14.42*2.5*2.8,0)</f>
        <v>101</v>
      </c>
      <c r="AM20" s="688">
        <v>2.4</v>
      </c>
      <c r="AN20" s="584">
        <f>ROUND(14.42*2.5*2.4,0)</f>
        <v>87</v>
      </c>
      <c r="AO20" s="688">
        <v>2.1</v>
      </c>
      <c r="AP20" s="584">
        <f>ROUND(14.42*2.5*2.1,0)</f>
        <v>76</v>
      </c>
      <c r="AQ20" s="688">
        <v>0</v>
      </c>
      <c r="AR20" s="584">
        <f>ROUND(14.42*2.5*0,0)</f>
        <v>0</v>
      </c>
      <c r="AS20" s="688">
        <v>0</v>
      </c>
      <c r="AT20" s="584">
        <f>ROUND(14.42*2.5*0,0)</f>
        <v>0</v>
      </c>
      <c r="AU20" s="688">
        <v>0</v>
      </c>
      <c r="AV20" s="584">
        <f>ROUND(14.42*2.5*0,0)</f>
        <v>0</v>
      </c>
      <c r="AW20" s="688">
        <v>0</v>
      </c>
      <c r="AX20" s="584">
        <f>ROUND(14.42*2.5*0,0)</f>
        <v>0</v>
      </c>
      <c r="AY20" s="688">
        <v>0</v>
      </c>
      <c r="AZ20" s="584">
        <f>ROUND(14.42*2.5*0,0)</f>
        <v>0</v>
      </c>
      <c r="BA20" s="688">
        <v>0</v>
      </c>
      <c r="BB20" s="586">
        <f>ROUND(14.42*2.5*0,0)</f>
        <v>0</v>
      </c>
      <c r="BC20" s="559"/>
      <c r="BD20" s="549"/>
      <c r="BE20" s="693" t="s">
        <v>253</v>
      </c>
      <c r="BF20" s="684"/>
      <c r="BG20" s="580">
        <v>14.42</v>
      </c>
      <c r="BH20" s="685">
        <v>2.5</v>
      </c>
      <c r="BI20" s="686"/>
      <c r="BJ20" s="687">
        <v>0</v>
      </c>
      <c r="BK20" s="584">
        <f>ROUND(14.42*2.5*0,0)</f>
        <v>0</v>
      </c>
      <c r="BL20" s="688">
        <v>0</v>
      </c>
      <c r="BM20" s="584">
        <f>ROUND(14.42*2.5*0,0)</f>
        <v>0</v>
      </c>
      <c r="BN20" s="688">
        <v>0</v>
      </c>
      <c r="BO20" s="584">
        <f>ROUND(14.42*2.5*0,0)</f>
        <v>0</v>
      </c>
      <c r="BP20" s="688">
        <v>0</v>
      </c>
      <c r="BQ20" s="584">
        <f>ROUND(14.42*2.5*0,0)</f>
        <v>0</v>
      </c>
      <c r="BR20" s="688">
        <v>0</v>
      </c>
      <c r="BS20" s="584">
        <f>ROUND(14.42*2.5*0,0)</f>
        <v>0</v>
      </c>
      <c r="BT20" s="688">
        <v>0</v>
      </c>
      <c r="BU20" s="584">
        <f>ROUND(14.42*2.5*0,0)</f>
        <v>0</v>
      </c>
      <c r="BV20" s="688">
        <v>0</v>
      </c>
      <c r="BW20" s="584">
        <f>ROUND(14.42*2.5*0,0)</f>
        <v>0</v>
      </c>
      <c r="BX20" s="688">
        <v>0</v>
      </c>
      <c r="BY20" s="584">
        <f>ROUND(14.42*2.5*0,0)</f>
        <v>0</v>
      </c>
      <c r="BZ20" s="688">
        <v>2</v>
      </c>
      <c r="CA20" s="584">
        <f>ROUND(14.42*2.5*2,0)</f>
        <v>72</v>
      </c>
      <c r="CB20" s="688">
        <v>2.4</v>
      </c>
      <c r="CC20" s="584">
        <f>ROUND(14.42*2.5*2.4,0)</f>
        <v>87</v>
      </c>
      <c r="CD20" s="688">
        <v>2.8</v>
      </c>
      <c r="CE20" s="584">
        <f>ROUND(14.42*2.5*2.8,0)</f>
        <v>101</v>
      </c>
      <c r="CF20" s="688">
        <v>3</v>
      </c>
      <c r="CG20" s="584">
        <f>ROUND(14.42*2.5*3,0)</f>
        <v>108</v>
      </c>
      <c r="CH20" s="688">
        <v>3</v>
      </c>
      <c r="CI20" s="584">
        <f>ROUND(14.42*2.5*3,0)</f>
        <v>108</v>
      </c>
      <c r="CJ20" s="688">
        <v>3</v>
      </c>
      <c r="CK20" s="584">
        <f>ROUND(14.42*2.5*3,0)</f>
        <v>108</v>
      </c>
      <c r="CL20" s="688">
        <v>2.8</v>
      </c>
      <c r="CM20" s="584">
        <f>ROUND(14.42*2.5*2.8,0)</f>
        <v>101</v>
      </c>
      <c r="CN20" s="688">
        <v>2.6</v>
      </c>
      <c r="CO20" s="584">
        <f>ROUND(14.42*2.5*2.6,0)</f>
        <v>94</v>
      </c>
      <c r="CP20" s="688">
        <v>2.4</v>
      </c>
      <c r="CQ20" s="584">
        <f>ROUND(14.42*2.5*2.4,0)</f>
        <v>87</v>
      </c>
      <c r="CR20" s="688">
        <v>2</v>
      </c>
      <c r="CS20" s="584">
        <f>ROUND(14.42*2.5*2,0)</f>
        <v>72</v>
      </c>
      <c r="CT20" s="688">
        <v>0</v>
      </c>
      <c r="CU20" s="584">
        <f>ROUND(14.42*2.5*0,0)</f>
        <v>0</v>
      </c>
      <c r="CV20" s="688">
        <v>0</v>
      </c>
      <c r="CW20" s="584">
        <f>ROUND(14.42*2.5*0,0)</f>
        <v>0</v>
      </c>
      <c r="CX20" s="688">
        <v>0</v>
      </c>
      <c r="CY20" s="584">
        <f>ROUND(14.42*2.5*0,0)</f>
        <v>0</v>
      </c>
      <c r="CZ20" s="688">
        <v>0</v>
      </c>
      <c r="DA20" s="584">
        <f>ROUND(14.42*2.5*0,0)</f>
        <v>0</v>
      </c>
      <c r="DB20" s="688">
        <v>0</v>
      </c>
      <c r="DC20" s="584">
        <f>ROUND(14.42*2.5*0,0)</f>
        <v>0</v>
      </c>
      <c r="DD20" s="688">
        <v>0</v>
      </c>
      <c r="DE20" s="586">
        <f>ROUND(14.42*2.5*0,0)</f>
        <v>0</v>
      </c>
      <c r="DF20" s="559"/>
      <c r="DG20" s="549"/>
      <c r="DH20" s="693" t="s">
        <v>253</v>
      </c>
      <c r="DI20" s="684"/>
      <c r="DJ20" s="580">
        <v>14.42</v>
      </c>
      <c r="DK20" s="685">
        <v>2.5</v>
      </c>
      <c r="DL20" s="686"/>
      <c r="DM20" s="687">
        <v>0</v>
      </c>
      <c r="DN20" s="584">
        <f>ROUND(14.42*2.5*0,0)</f>
        <v>0</v>
      </c>
      <c r="DO20" s="688">
        <v>0</v>
      </c>
      <c r="DP20" s="584">
        <f>ROUND(14.42*2.5*0,0)</f>
        <v>0</v>
      </c>
      <c r="DQ20" s="688">
        <v>0</v>
      </c>
      <c r="DR20" s="584">
        <f>ROUND(14.42*2.5*0,0)</f>
        <v>0</v>
      </c>
      <c r="DS20" s="688">
        <v>0</v>
      </c>
      <c r="DT20" s="584">
        <f>ROUND(14.42*2.5*0,0)</f>
        <v>0</v>
      </c>
      <c r="DU20" s="688">
        <v>0</v>
      </c>
      <c r="DV20" s="584">
        <f>ROUND(14.42*2.5*0,0)</f>
        <v>0</v>
      </c>
      <c r="DW20" s="688">
        <v>0</v>
      </c>
      <c r="DX20" s="584">
        <f>ROUND(14.42*2.5*0,0)</f>
        <v>0</v>
      </c>
      <c r="DY20" s="688">
        <v>0</v>
      </c>
      <c r="DZ20" s="584">
        <f>ROUND(14.42*2.5*0,0)</f>
        <v>0</v>
      </c>
      <c r="EA20" s="688">
        <v>0</v>
      </c>
      <c r="EB20" s="584">
        <f>ROUND(14.42*2.5*0,0)</f>
        <v>0</v>
      </c>
      <c r="EC20" s="688">
        <v>1.1000000000000001</v>
      </c>
      <c r="ED20" s="584">
        <f>ROUND(14.42*2.5*1.1,0)</f>
        <v>40</v>
      </c>
      <c r="EE20" s="688">
        <v>1.6</v>
      </c>
      <c r="EF20" s="584">
        <f>ROUND(14.42*2.5*1.6,0)</f>
        <v>58</v>
      </c>
      <c r="EG20" s="688">
        <v>2</v>
      </c>
      <c r="EH20" s="584">
        <f>ROUND(14.42*2.5*2,0)</f>
        <v>72</v>
      </c>
      <c r="EI20" s="688">
        <v>2.2000000000000002</v>
      </c>
      <c r="EJ20" s="584">
        <f>ROUND(14.42*2.5*2.2,0)</f>
        <v>79</v>
      </c>
      <c r="EK20" s="688">
        <v>2.2999999999999998</v>
      </c>
      <c r="EL20" s="584">
        <f>ROUND(14.42*2.5*2.3,0)</f>
        <v>83</v>
      </c>
      <c r="EM20" s="688">
        <v>2.2000000000000002</v>
      </c>
      <c r="EN20" s="584">
        <f>ROUND(14.42*2.5*2.2,0)</f>
        <v>79</v>
      </c>
      <c r="EO20" s="688">
        <v>2</v>
      </c>
      <c r="EP20" s="584">
        <f>ROUND(14.42*2.5*2,0)</f>
        <v>72</v>
      </c>
      <c r="EQ20" s="688">
        <v>1.9</v>
      </c>
      <c r="ER20" s="584">
        <f>ROUND(14.42*2.5*1.9,0)</f>
        <v>68</v>
      </c>
      <c r="ES20" s="688">
        <v>1.5</v>
      </c>
      <c r="ET20" s="584">
        <f>ROUND(14.42*2.5*1.5,0)</f>
        <v>54</v>
      </c>
      <c r="EU20" s="688">
        <v>1.1000000000000001</v>
      </c>
      <c r="EV20" s="584">
        <f>ROUND(14.42*2.5*1.1,0)</f>
        <v>40</v>
      </c>
      <c r="EW20" s="688">
        <v>0</v>
      </c>
      <c r="EX20" s="584">
        <f>ROUND(14.42*2.5*0,0)</f>
        <v>0</v>
      </c>
      <c r="EY20" s="688">
        <v>0</v>
      </c>
      <c r="EZ20" s="584">
        <f>ROUND(14.42*2.5*0,0)</f>
        <v>0</v>
      </c>
      <c r="FA20" s="688">
        <v>0</v>
      </c>
      <c r="FB20" s="584">
        <f>ROUND(14.42*2.5*0,0)</f>
        <v>0</v>
      </c>
      <c r="FC20" s="688">
        <v>0</v>
      </c>
      <c r="FD20" s="584">
        <f>ROUND(14.42*2.5*0,0)</f>
        <v>0</v>
      </c>
      <c r="FE20" s="688">
        <v>0</v>
      </c>
      <c r="FF20" s="584">
        <f>ROUND(14.42*2.5*0,0)</f>
        <v>0</v>
      </c>
      <c r="FG20" s="688">
        <v>0</v>
      </c>
      <c r="FH20" s="586">
        <f>ROUND(14.42*2.5*0,0)</f>
        <v>0</v>
      </c>
      <c r="FI20" s="560"/>
      <c r="FJ20" s="561"/>
      <c r="FK20" s="693" t="s">
        <v>253</v>
      </c>
      <c r="FL20" s="684"/>
      <c r="FM20" s="580">
        <v>14.42</v>
      </c>
      <c r="FN20" s="685">
        <v>2.5</v>
      </c>
      <c r="FO20" s="686"/>
      <c r="FP20" s="689">
        <v>9</v>
      </c>
      <c r="FQ20" s="690">
        <v>8</v>
      </c>
      <c r="FR20" s="584">
        <f>ROUND(14.42*2.5*8,0)</f>
        <v>288</v>
      </c>
      <c r="FS20" s="691">
        <v>9</v>
      </c>
      <c r="FT20" s="690">
        <v>8.1999999999999993</v>
      </c>
      <c r="FU20" s="589">
        <f>ROUND(14.42*2.5*8.2,0)</f>
        <v>296</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241</v>
      </c>
      <c r="C21" s="684"/>
      <c r="D21" s="580">
        <v>54.8</v>
      </c>
      <c r="E21" s="685">
        <v>0.5</v>
      </c>
      <c r="F21" s="686"/>
      <c r="G21" s="687">
        <v>0</v>
      </c>
      <c r="H21" s="584">
        <f>ROUND(54.8*0.5*0,0)</f>
        <v>0</v>
      </c>
      <c r="I21" s="688">
        <v>0</v>
      </c>
      <c r="J21" s="584">
        <f>ROUND(54.8*0.5*0,0)</f>
        <v>0</v>
      </c>
      <c r="K21" s="688">
        <v>0</v>
      </c>
      <c r="L21" s="584">
        <f>ROUND(54.8*0.5*0,0)</f>
        <v>0</v>
      </c>
      <c r="M21" s="688">
        <v>0</v>
      </c>
      <c r="N21" s="584">
        <f>ROUND(54.8*0.5*0,0)</f>
        <v>0</v>
      </c>
      <c r="O21" s="688">
        <v>0</v>
      </c>
      <c r="P21" s="584">
        <f>ROUND(54.8*0.5*0,0)</f>
        <v>0</v>
      </c>
      <c r="Q21" s="688">
        <v>0</v>
      </c>
      <c r="R21" s="584">
        <f>ROUND(54.8*0.5*0,0)</f>
        <v>0</v>
      </c>
      <c r="S21" s="688">
        <v>0</v>
      </c>
      <c r="T21" s="584">
        <f>ROUND(54.8*0.5*0,0)</f>
        <v>0</v>
      </c>
      <c r="U21" s="688">
        <v>0</v>
      </c>
      <c r="V21" s="584">
        <f>ROUND(54.8*0.5*0,0)</f>
        <v>0</v>
      </c>
      <c r="W21" s="688">
        <v>5.3</v>
      </c>
      <c r="X21" s="584">
        <f>ROUND(54.8*0.5*5.3,0)</f>
        <v>145</v>
      </c>
      <c r="Y21" s="688">
        <v>5.2</v>
      </c>
      <c r="Z21" s="584">
        <f>ROUND(54.8*0.5*5.2,0)</f>
        <v>142</v>
      </c>
      <c r="AA21" s="688">
        <v>5.2</v>
      </c>
      <c r="AB21" s="584">
        <f>ROUND(54.8*0.5*5.2,0)</f>
        <v>142</v>
      </c>
      <c r="AC21" s="688">
        <v>5.3</v>
      </c>
      <c r="AD21" s="584">
        <f>ROUND(54.8*0.5*5.3,0)</f>
        <v>145</v>
      </c>
      <c r="AE21" s="688">
        <v>5.7</v>
      </c>
      <c r="AF21" s="584">
        <f>ROUND(54.8*0.5*5.7,0)</f>
        <v>156</v>
      </c>
      <c r="AG21" s="688">
        <v>6.3</v>
      </c>
      <c r="AH21" s="584">
        <f>ROUND(54.8*0.5*6.3,0)</f>
        <v>173</v>
      </c>
      <c r="AI21" s="688">
        <v>7</v>
      </c>
      <c r="AJ21" s="584">
        <f>ROUND(54.8*0.5*7,0)</f>
        <v>192</v>
      </c>
      <c r="AK21" s="688">
        <v>7.8</v>
      </c>
      <c r="AL21" s="584">
        <f>ROUND(54.8*0.5*7.8,0)</f>
        <v>214</v>
      </c>
      <c r="AM21" s="688">
        <v>8.6</v>
      </c>
      <c r="AN21" s="584">
        <f>ROUND(54.8*0.5*8.6,0)</f>
        <v>236</v>
      </c>
      <c r="AO21" s="688">
        <v>9.4</v>
      </c>
      <c r="AP21" s="584">
        <f>ROUND(54.8*0.5*9.4,0)</f>
        <v>258</v>
      </c>
      <c r="AQ21" s="688">
        <v>0</v>
      </c>
      <c r="AR21" s="584">
        <f>ROUND(54.8*0.5*0,0)</f>
        <v>0</v>
      </c>
      <c r="AS21" s="688">
        <v>0</v>
      </c>
      <c r="AT21" s="584">
        <f>ROUND(54.8*0.5*0,0)</f>
        <v>0</v>
      </c>
      <c r="AU21" s="688">
        <v>0</v>
      </c>
      <c r="AV21" s="584">
        <f>ROUND(54.8*0.5*0,0)</f>
        <v>0</v>
      </c>
      <c r="AW21" s="688">
        <v>0</v>
      </c>
      <c r="AX21" s="584">
        <f>ROUND(54.8*0.5*0,0)</f>
        <v>0</v>
      </c>
      <c r="AY21" s="688">
        <v>0</v>
      </c>
      <c r="AZ21" s="584">
        <f>ROUND(54.8*0.5*0,0)</f>
        <v>0</v>
      </c>
      <c r="BA21" s="688">
        <v>0</v>
      </c>
      <c r="BB21" s="586">
        <f>ROUND(54.8*0.5*0,0)</f>
        <v>0</v>
      </c>
      <c r="BC21" s="559"/>
      <c r="BD21" s="549"/>
      <c r="BE21" s="693" t="s">
        <v>241</v>
      </c>
      <c r="BF21" s="684"/>
      <c r="BG21" s="580">
        <v>54.8</v>
      </c>
      <c r="BH21" s="685">
        <v>0.5</v>
      </c>
      <c r="BI21" s="686"/>
      <c r="BJ21" s="687">
        <v>0</v>
      </c>
      <c r="BK21" s="584">
        <f>ROUND(54.8*0.5*0,0)</f>
        <v>0</v>
      </c>
      <c r="BL21" s="688">
        <v>0</v>
      </c>
      <c r="BM21" s="584">
        <f>ROUND(54.8*0.5*0,0)</f>
        <v>0</v>
      </c>
      <c r="BN21" s="688">
        <v>0</v>
      </c>
      <c r="BO21" s="584">
        <f>ROUND(54.8*0.5*0,0)</f>
        <v>0</v>
      </c>
      <c r="BP21" s="688">
        <v>0</v>
      </c>
      <c r="BQ21" s="584">
        <f>ROUND(54.8*0.5*0,0)</f>
        <v>0</v>
      </c>
      <c r="BR21" s="688">
        <v>0</v>
      </c>
      <c r="BS21" s="584">
        <f>ROUND(54.8*0.5*0,0)</f>
        <v>0</v>
      </c>
      <c r="BT21" s="688">
        <v>0</v>
      </c>
      <c r="BU21" s="584">
        <f>ROUND(54.8*0.5*0,0)</f>
        <v>0</v>
      </c>
      <c r="BV21" s="688">
        <v>0</v>
      </c>
      <c r="BW21" s="584">
        <f>ROUND(54.8*0.5*0,0)</f>
        <v>0</v>
      </c>
      <c r="BX21" s="688">
        <v>0</v>
      </c>
      <c r="BY21" s="584">
        <f>ROUND(54.8*0.5*0,0)</f>
        <v>0</v>
      </c>
      <c r="BZ21" s="688">
        <v>5.2</v>
      </c>
      <c r="CA21" s="584">
        <f>ROUND(54.8*0.5*5.2,0)</f>
        <v>142</v>
      </c>
      <c r="CB21" s="688">
        <v>5</v>
      </c>
      <c r="CC21" s="584">
        <f>ROUND(54.8*0.5*5,0)</f>
        <v>137</v>
      </c>
      <c r="CD21" s="688">
        <v>5</v>
      </c>
      <c r="CE21" s="584">
        <f>ROUND(54.8*0.5*5,0)</f>
        <v>137</v>
      </c>
      <c r="CF21" s="688">
        <v>5.0999999999999996</v>
      </c>
      <c r="CG21" s="584">
        <f>ROUND(54.8*0.5*5.1,0)</f>
        <v>140</v>
      </c>
      <c r="CH21" s="688">
        <v>5.4</v>
      </c>
      <c r="CI21" s="584">
        <f>ROUND(54.8*0.5*5.4,0)</f>
        <v>148</v>
      </c>
      <c r="CJ21" s="688">
        <v>6</v>
      </c>
      <c r="CK21" s="584">
        <f>ROUND(54.8*0.5*6,0)</f>
        <v>164</v>
      </c>
      <c r="CL21" s="688">
        <v>6.8</v>
      </c>
      <c r="CM21" s="584">
        <f>ROUND(54.8*0.5*6.8,0)</f>
        <v>186</v>
      </c>
      <c r="CN21" s="688">
        <v>7.8</v>
      </c>
      <c r="CO21" s="584">
        <f>ROUND(54.8*0.5*7.8,0)</f>
        <v>214</v>
      </c>
      <c r="CP21" s="688">
        <v>8.6999999999999993</v>
      </c>
      <c r="CQ21" s="584">
        <f>ROUND(54.8*0.5*8.7,0)</f>
        <v>238</v>
      </c>
      <c r="CR21" s="688">
        <v>9.6</v>
      </c>
      <c r="CS21" s="584">
        <f>ROUND(54.8*0.5*9.6,0)</f>
        <v>263</v>
      </c>
      <c r="CT21" s="688">
        <v>0</v>
      </c>
      <c r="CU21" s="584">
        <f>ROUND(54.8*0.5*0,0)</f>
        <v>0</v>
      </c>
      <c r="CV21" s="688">
        <v>0</v>
      </c>
      <c r="CW21" s="584">
        <f>ROUND(54.8*0.5*0,0)</f>
        <v>0</v>
      </c>
      <c r="CX21" s="688">
        <v>0</v>
      </c>
      <c r="CY21" s="584">
        <f>ROUND(54.8*0.5*0,0)</f>
        <v>0</v>
      </c>
      <c r="CZ21" s="688">
        <v>0</v>
      </c>
      <c r="DA21" s="584">
        <f>ROUND(54.8*0.5*0,0)</f>
        <v>0</v>
      </c>
      <c r="DB21" s="688">
        <v>0</v>
      </c>
      <c r="DC21" s="584">
        <f>ROUND(54.8*0.5*0,0)</f>
        <v>0</v>
      </c>
      <c r="DD21" s="688">
        <v>0</v>
      </c>
      <c r="DE21" s="586">
        <f>ROUND(54.8*0.5*0,0)</f>
        <v>0</v>
      </c>
      <c r="DF21" s="559"/>
      <c r="DG21" s="549"/>
      <c r="DH21" s="693" t="s">
        <v>241</v>
      </c>
      <c r="DI21" s="684"/>
      <c r="DJ21" s="580">
        <v>54.8</v>
      </c>
      <c r="DK21" s="685">
        <v>0.5</v>
      </c>
      <c r="DL21" s="686"/>
      <c r="DM21" s="687">
        <v>0</v>
      </c>
      <c r="DN21" s="584">
        <f>ROUND(54.8*0.5*0,0)</f>
        <v>0</v>
      </c>
      <c r="DO21" s="688">
        <v>0</v>
      </c>
      <c r="DP21" s="584">
        <f>ROUND(54.8*0.5*0,0)</f>
        <v>0</v>
      </c>
      <c r="DQ21" s="688">
        <v>0</v>
      </c>
      <c r="DR21" s="584">
        <f>ROUND(54.8*0.5*0,0)</f>
        <v>0</v>
      </c>
      <c r="DS21" s="688">
        <v>0</v>
      </c>
      <c r="DT21" s="584">
        <f>ROUND(54.8*0.5*0,0)</f>
        <v>0</v>
      </c>
      <c r="DU21" s="688">
        <v>0</v>
      </c>
      <c r="DV21" s="584">
        <f>ROUND(54.8*0.5*0,0)</f>
        <v>0</v>
      </c>
      <c r="DW21" s="688">
        <v>0</v>
      </c>
      <c r="DX21" s="584">
        <f>ROUND(54.8*0.5*0,0)</f>
        <v>0</v>
      </c>
      <c r="DY21" s="688">
        <v>0</v>
      </c>
      <c r="DZ21" s="584">
        <f>ROUND(54.8*0.5*0,0)</f>
        <v>0</v>
      </c>
      <c r="EA21" s="688">
        <v>0</v>
      </c>
      <c r="EB21" s="584">
        <f>ROUND(54.8*0.5*0,0)</f>
        <v>0</v>
      </c>
      <c r="EC21" s="688">
        <v>3.8</v>
      </c>
      <c r="ED21" s="584">
        <f>ROUND(54.8*0.5*3.8,0)</f>
        <v>104</v>
      </c>
      <c r="EE21" s="688">
        <v>3.5</v>
      </c>
      <c r="EF21" s="584">
        <f>ROUND(54.8*0.5*3.5,0)</f>
        <v>96</v>
      </c>
      <c r="EG21" s="688">
        <v>3.4</v>
      </c>
      <c r="EH21" s="584">
        <f>ROUND(54.8*0.5*3.4,0)</f>
        <v>93</v>
      </c>
      <c r="EI21" s="688">
        <v>3.6</v>
      </c>
      <c r="EJ21" s="584">
        <f>ROUND(54.8*0.5*3.6,0)</f>
        <v>99</v>
      </c>
      <c r="EK21" s="688">
        <v>4.0999999999999996</v>
      </c>
      <c r="EL21" s="584">
        <f>ROUND(54.8*0.5*4.1,0)</f>
        <v>112</v>
      </c>
      <c r="EM21" s="688">
        <v>4.9000000000000004</v>
      </c>
      <c r="EN21" s="584">
        <f>ROUND(54.8*0.5*4.9,0)</f>
        <v>134</v>
      </c>
      <c r="EO21" s="688">
        <v>6</v>
      </c>
      <c r="EP21" s="584">
        <f>ROUND(54.8*0.5*6,0)</f>
        <v>164</v>
      </c>
      <c r="EQ21" s="688">
        <v>7.3</v>
      </c>
      <c r="ER21" s="584">
        <f>ROUND(54.8*0.5*7.3,0)</f>
        <v>200</v>
      </c>
      <c r="ES21" s="688">
        <v>8.5</v>
      </c>
      <c r="ET21" s="584">
        <f>ROUND(54.8*0.5*8.5,0)</f>
        <v>233</v>
      </c>
      <c r="EU21" s="688">
        <v>9.6</v>
      </c>
      <c r="EV21" s="584">
        <f>ROUND(54.8*0.5*9.6,0)</f>
        <v>263</v>
      </c>
      <c r="EW21" s="688">
        <v>0</v>
      </c>
      <c r="EX21" s="584">
        <f>ROUND(54.8*0.5*0,0)</f>
        <v>0</v>
      </c>
      <c r="EY21" s="688">
        <v>0</v>
      </c>
      <c r="EZ21" s="584">
        <f>ROUND(54.8*0.5*0,0)</f>
        <v>0</v>
      </c>
      <c r="FA21" s="688">
        <v>0</v>
      </c>
      <c r="FB21" s="584">
        <f>ROUND(54.8*0.5*0,0)</f>
        <v>0</v>
      </c>
      <c r="FC21" s="688">
        <v>0</v>
      </c>
      <c r="FD21" s="584">
        <f>ROUND(54.8*0.5*0,0)</f>
        <v>0</v>
      </c>
      <c r="FE21" s="688">
        <v>0</v>
      </c>
      <c r="FF21" s="584">
        <f>ROUND(54.8*0.5*0,0)</f>
        <v>0</v>
      </c>
      <c r="FG21" s="688">
        <v>0</v>
      </c>
      <c r="FH21" s="586">
        <f>ROUND(54.8*0.5*0,0)</f>
        <v>0</v>
      </c>
      <c r="FI21" s="560"/>
      <c r="FJ21" s="561"/>
      <c r="FK21" s="693" t="s">
        <v>241</v>
      </c>
      <c r="FL21" s="684"/>
      <c r="FM21" s="580">
        <v>54.8</v>
      </c>
      <c r="FN21" s="685">
        <v>0.5</v>
      </c>
      <c r="FO21" s="686"/>
      <c r="FP21" s="689">
        <v>9</v>
      </c>
      <c r="FQ21" s="690">
        <v>20</v>
      </c>
      <c r="FR21" s="584">
        <f>ROUND(54.8*0.5*20,0)</f>
        <v>548</v>
      </c>
      <c r="FS21" s="691">
        <v>9</v>
      </c>
      <c r="FT21" s="690">
        <v>20.5</v>
      </c>
      <c r="FU21" s="589">
        <f>ROUND(54.8*0.5*20.5,0)</f>
        <v>562</v>
      </c>
      <c r="FV21" s="590"/>
      <c r="FW21" s="591"/>
      <c r="FX21" s="592"/>
      <c r="FY21" s="593"/>
      <c r="FZ21" s="594"/>
      <c r="GA21" s="595"/>
      <c r="GB21" s="596"/>
      <c r="GC21" s="597"/>
      <c r="GD21" s="596"/>
      <c r="GE21" s="598"/>
      <c r="GF21" s="681"/>
      <c r="GG21" s="599"/>
      <c r="GH21" s="599"/>
      <c r="GI21" s="599"/>
      <c r="GJ21" s="410"/>
      <c r="GK21" s="694" t="s">
        <v>455</v>
      </c>
      <c r="GL21" s="695"/>
      <c r="GM21" s="696"/>
      <c r="GN21" s="635">
        <v>10.8</v>
      </c>
      <c r="GO21" s="697"/>
      <c r="GP21" s="698"/>
      <c r="GQ21" s="630">
        <v>0</v>
      </c>
      <c r="GR21" s="631">
        <v>10.8</v>
      </c>
      <c r="GS21" s="575"/>
      <c r="GT21" s="670"/>
      <c r="GU21" s="694" t="s">
        <v>455</v>
      </c>
      <c r="GV21" s="695"/>
      <c r="GW21" s="696"/>
      <c r="GX21" s="699">
        <v>10.8</v>
      </c>
      <c r="GY21" s="700"/>
      <c r="GZ21" s="697"/>
      <c r="HA21" s="701">
        <v>7.02</v>
      </c>
      <c r="HB21" s="702"/>
      <c r="HC21" s="703"/>
      <c r="HD21" s="559"/>
      <c r="HE21" s="612"/>
      <c r="HF21" s="612"/>
      <c r="HG21" s="416"/>
    </row>
    <row r="22" spans="1:218" ht="20.100000000000001" customHeight="1">
      <c r="A22" s="549"/>
      <c r="B22" s="693" t="s">
        <v>264</v>
      </c>
      <c r="C22" s="684"/>
      <c r="D22" s="580">
        <v>54.8</v>
      </c>
      <c r="E22" s="685">
        <v>2.8</v>
      </c>
      <c r="F22" s="686"/>
      <c r="G22" s="687">
        <v>0</v>
      </c>
      <c r="H22" s="584">
        <f>ROUND(54.8*2.8*0,0)</f>
        <v>0</v>
      </c>
      <c r="I22" s="688">
        <v>0</v>
      </c>
      <c r="J22" s="584">
        <f>ROUND(54.8*2.8*0,0)</f>
        <v>0</v>
      </c>
      <c r="K22" s="688">
        <v>0</v>
      </c>
      <c r="L22" s="584">
        <f>ROUND(54.8*2.8*0,0)</f>
        <v>0</v>
      </c>
      <c r="M22" s="688">
        <v>0</v>
      </c>
      <c r="N22" s="584">
        <f>ROUND(54.8*2.8*0,0)</f>
        <v>0</v>
      </c>
      <c r="O22" s="688">
        <v>0</v>
      </c>
      <c r="P22" s="584">
        <f>ROUND(54.8*2.8*0,0)</f>
        <v>0</v>
      </c>
      <c r="Q22" s="688">
        <v>0</v>
      </c>
      <c r="R22" s="584">
        <f>ROUND(54.8*2.8*0,0)</f>
        <v>0</v>
      </c>
      <c r="S22" s="688">
        <v>0</v>
      </c>
      <c r="T22" s="584">
        <f>ROUND(54.8*2.8*0,0)</f>
        <v>0</v>
      </c>
      <c r="U22" s="688">
        <v>0</v>
      </c>
      <c r="V22" s="584">
        <f>ROUND(54.8*2.8*0,0)</f>
        <v>0</v>
      </c>
      <c r="W22" s="688">
        <v>1.6</v>
      </c>
      <c r="X22" s="584">
        <f>ROUND(54.8*2.8*1.6,0)</f>
        <v>246</v>
      </c>
      <c r="Y22" s="688">
        <v>2</v>
      </c>
      <c r="Z22" s="584">
        <f>ROUND(54.8*2.8*2,0)</f>
        <v>307</v>
      </c>
      <c r="AA22" s="688">
        <v>2.2000000000000002</v>
      </c>
      <c r="AB22" s="584">
        <f>ROUND(54.8*2.8*2.2,0)</f>
        <v>338</v>
      </c>
      <c r="AC22" s="688">
        <v>2.2999999999999998</v>
      </c>
      <c r="AD22" s="584">
        <f>ROUND(54.8*2.8*2.3,0)</f>
        <v>353</v>
      </c>
      <c r="AE22" s="688">
        <v>2.4</v>
      </c>
      <c r="AF22" s="584">
        <f>ROUND(54.8*2.8*2.4,0)</f>
        <v>368</v>
      </c>
      <c r="AG22" s="688">
        <v>2.4</v>
      </c>
      <c r="AH22" s="584">
        <f>ROUND(54.8*2.8*2.4,0)</f>
        <v>368</v>
      </c>
      <c r="AI22" s="688">
        <v>2.2000000000000002</v>
      </c>
      <c r="AJ22" s="584">
        <f>ROUND(54.8*2.8*2.2,0)</f>
        <v>338</v>
      </c>
      <c r="AK22" s="688">
        <v>2.1</v>
      </c>
      <c r="AL22" s="584">
        <f>ROUND(54.8*2.8*2.1,0)</f>
        <v>322</v>
      </c>
      <c r="AM22" s="688">
        <v>1.8</v>
      </c>
      <c r="AN22" s="584">
        <f>ROUND(54.8*2.8*1.8,0)</f>
        <v>276</v>
      </c>
      <c r="AO22" s="688">
        <v>1.6</v>
      </c>
      <c r="AP22" s="584">
        <f>ROUND(54.8*2.8*1.6,0)</f>
        <v>246</v>
      </c>
      <c r="AQ22" s="688">
        <v>0</v>
      </c>
      <c r="AR22" s="584">
        <f>ROUND(54.8*2.8*0,0)</f>
        <v>0</v>
      </c>
      <c r="AS22" s="688">
        <v>0</v>
      </c>
      <c r="AT22" s="584">
        <f>ROUND(54.8*2.8*0,0)</f>
        <v>0</v>
      </c>
      <c r="AU22" s="688">
        <v>0</v>
      </c>
      <c r="AV22" s="584">
        <f>ROUND(54.8*2.8*0,0)</f>
        <v>0</v>
      </c>
      <c r="AW22" s="688">
        <v>0</v>
      </c>
      <c r="AX22" s="584">
        <f>ROUND(54.8*2.8*0,0)</f>
        <v>0</v>
      </c>
      <c r="AY22" s="688">
        <v>0</v>
      </c>
      <c r="AZ22" s="584">
        <f>ROUND(54.8*2.8*0,0)</f>
        <v>0</v>
      </c>
      <c r="BA22" s="688">
        <v>0</v>
      </c>
      <c r="BB22" s="586">
        <f>ROUND(54.8*2.8*0,0)</f>
        <v>0</v>
      </c>
      <c r="BC22" s="559"/>
      <c r="BD22" s="549"/>
      <c r="BE22" s="693" t="s">
        <v>264</v>
      </c>
      <c r="BF22" s="684"/>
      <c r="BG22" s="580">
        <v>54.8</v>
      </c>
      <c r="BH22" s="685">
        <v>2.8</v>
      </c>
      <c r="BI22" s="686"/>
      <c r="BJ22" s="687">
        <v>0</v>
      </c>
      <c r="BK22" s="584">
        <f>ROUND(54.8*2.8*0,0)</f>
        <v>0</v>
      </c>
      <c r="BL22" s="688">
        <v>0</v>
      </c>
      <c r="BM22" s="584">
        <f>ROUND(54.8*2.8*0,0)</f>
        <v>0</v>
      </c>
      <c r="BN22" s="688">
        <v>0</v>
      </c>
      <c r="BO22" s="584">
        <f>ROUND(54.8*2.8*0,0)</f>
        <v>0</v>
      </c>
      <c r="BP22" s="688">
        <v>0</v>
      </c>
      <c r="BQ22" s="584">
        <f>ROUND(54.8*2.8*0,0)</f>
        <v>0</v>
      </c>
      <c r="BR22" s="688">
        <v>0</v>
      </c>
      <c r="BS22" s="584">
        <f>ROUND(54.8*2.8*0,0)</f>
        <v>0</v>
      </c>
      <c r="BT22" s="688">
        <v>0</v>
      </c>
      <c r="BU22" s="584">
        <f>ROUND(54.8*2.8*0,0)</f>
        <v>0</v>
      </c>
      <c r="BV22" s="688">
        <v>0</v>
      </c>
      <c r="BW22" s="584">
        <f>ROUND(54.8*2.8*0,0)</f>
        <v>0</v>
      </c>
      <c r="BX22" s="688">
        <v>0</v>
      </c>
      <c r="BY22" s="584">
        <f>ROUND(54.8*2.8*0,0)</f>
        <v>0</v>
      </c>
      <c r="BZ22" s="688">
        <v>1.5</v>
      </c>
      <c r="CA22" s="584">
        <f>ROUND(54.8*2.8*1.5,0)</f>
        <v>230</v>
      </c>
      <c r="CB22" s="688">
        <v>1.8</v>
      </c>
      <c r="CC22" s="584">
        <f>ROUND(54.8*2.8*1.8,0)</f>
        <v>276</v>
      </c>
      <c r="CD22" s="688">
        <v>2.1</v>
      </c>
      <c r="CE22" s="584">
        <f>ROUND(54.8*2.8*2.1,0)</f>
        <v>322</v>
      </c>
      <c r="CF22" s="688">
        <v>2.2000000000000002</v>
      </c>
      <c r="CG22" s="584">
        <f>ROUND(54.8*2.8*2.2,0)</f>
        <v>338</v>
      </c>
      <c r="CH22" s="688">
        <v>2.2999999999999998</v>
      </c>
      <c r="CI22" s="584">
        <f>ROUND(54.8*2.8*2.3,0)</f>
        <v>353</v>
      </c>
      <c r="CJ22" s="688">
        <v>2.2000000000000002</v>
      </c>
      <c r="CK22" s="584">
        <f>ROUND(54.8*2.8*2.2,0)</f>
        <v>338</v>
      </c>
      <c r="CL22" s="688">
        <v>2.1</v>
      </c>
      <c r="CM22" s="584">
        <f>ROUND(54.8*2.8*2.1,0)</f>
        <v>322</v>
      </c>
      <c r="CN22" s="688">
        <v>2</v>
      </c>
      <c r="CO22" s="584">
        <f>ROUND(54.8*2.8*2,0)</f>
        <v>307</v>
      </c>
      <c r="CP22" s="688">
        <v>1.8</v>
      </c>
      <c r="CQ22" s="584">
        <f>ROUND(54.8*2.8*1.8,0)</f>
        <v>276</v>
      </c>
      <c r="CR22" s="688">
        <v>1.5</v>
      </c>
      <c r="CS22" s="584">
        <f>ROUND(54.8*2.8*1.5,0)</f>
        <v>230</v>
      </c>
      <c r="CT22" s="688">
        <v>0</v>
      </c>
      <c r="CU22" s="584">
        <f>ROUND(54.8*2.8*0,0)</f>
        <v>0</v>
      </c>
      <c r="CV22" s="688">
        <v>0</v>
      </c>
      <c r="CW22" s="584">
        <f>ROUND(54.8*2.8*0,0)</f>
        <v>0</v>
      </c>
      <c r="CX22" s="688">
        <v>0</v>
      </c>
      <c r="CY22" s="584">
        <f>ROUND(54.8*2.8*0,0)</f>
        <v>0</v>
      </c>
      <c r="CZ22" s="688">
        <v>0</v>
      </c>
      <c r="DA22" s="584">
        <f>ROUND(54.8*2.8*0,0)</f>
        <v>0</v>
      </c>
      <c r="DB22" s="688">
        <v>0</v>
      </c>
      <c r="DC22" s="584">
        <f>ROUND(54.8*2.8*0,0)</f>
        <v>0</v>
      </c>
      <c r="DD22" s="688">
        <v>0</v>
      </c>
      <c r="DE22" s="586">
        <f>ROUND(54.8*2.8*0,0)</f>
        <v>0</v>
      </c>
      <c r="DF22" s="559"/>
      <c r="DG22" s="549"/>
      <c r="DH22" s="693" t="s">
        <v>264</v>
      </c>
      <c r="DI22" s="684"/>
      <c r="DJ22" s="580">
        <v>54.8</v>
      </c>
      <c r="DK22" s="685">
        <v>2.8</v>
      </c>
      <c r="DL22" s="686"/>
      <c r="DM22" s="687">
        <v>0</v>
      </c>
      <c r="DN22" s="584">
        <f>ROUND(54.8*2.8*0,0)</f>
        <v>0</v>
      </c>
      <c r="DO22" s="688">
        <v>0</v>
      </c>
      <c r="DP22" s="584">
        <f>ROUND(54.8*2.8*0,0)</f>
        <v>0</v>
      </c>
      <c r="DQ22" s="688">
        <v>0</v>
      </c>
      <c r="DR22" s="584">
        <f>ROUND(54.8*2.8*0,0)</f>
        <v>0</v>
      </c>
      <c r="DS22" s="688">
        <v>0</v>
      </c>
      <c r="DT22" s="584">
        <f>ROUND(54.8*2.8*0,0)</f>
        <v>0</v>
      </c>
      <c r="DU22" s="688">
        <v>0</v>
      </c>
      <c r="DV22" s="584">
        <f>ROUND(54.8*2.8*0,0)</f>
        <v>0</v>
      </c>
      <c r="DW22" s="688">
        <v>0</v>
      </c>
      <c r="DX22" s="584">
        <f>ROUND(54.8*2.8*0,0)</f>
        <v>0</v>
      </c>
      <c r="DY22" s="688">
        <v>0</v>
      </c>
      <c r="DZ22" s="584">
        <f>ROUND(54.8*2.8*0,0)</f>
        <v>0</v>
      </c>
      <c r="EA22" s="688">
        <v>0</v>
      </c>
      <c r="EB22" s="584">
        <f>ROUND(54.8*2.8*0,0)</f>
        <v>0</v>
      </c>
      <c r="EC22" s="688">
        <v>0.8</v>
      </c>
      <c r="ED22" s="584">
        <f>ROUND(54.8*2.8*0.8,0)</f>
        <v>123</v>
      </c>
      <c r="EE22" s="688">
        <v>1.2</v>
      </c>
      <c r="EF22" s="584">
        <f>ROUND(54.8*2.8*1.2,0)</f>
        <v>184</v>
      </c>
      <c r="EG22" s="688">
        <v>1.5</v>
      </c>
      <c r="EH22" s="584">
        <f>ROUND(54.8*2.8*1.5,0)</f>
        <v>230</v>
      </c>
      <c r="EI22" s="688">
        <v>1.7</v>
      </c>
      <c r="EJ22" s="584">
        <f>ROUND(54.8*2.8*1.7,0)</f>
        <v>261</v>
      </c>
      <c r="EK22" s="688">
        <v>1.7</v>
      </c>
      <c r="EL22" s="584">
        <f>ROUND(54.8*2.8*1.7,0)</f>
        <v>261</v>
      </c>
      <c r="EM22" s="688">
        <v>1.6</v>
      </c>
      <c r="EN22" s="584">
        <f>ROUND(54.8*2.8*1.6,0)</f>
        <v>246</v>
      </c>
      <c r="EO22" s="688">
        <v>1.5</v>
      </c>
      <c r="EP22" s="584">
        <f>ROUND(54.8*2.8*1.5,0)</f>
        <v>230</v>
      </c>
      <c r="EQ22" s="688">
        <v>1.4</v>
      </c>
      <c r="ER22" s="584">
        <f>ROUND(54.8*2.8*1.4,0)</f>
        <v>215</v>
      </c>
      <c r="ES22" s="688">
        <v>1.1000000000000001</v>
      </c>
      <c r="ET22" s="584">
        <f>ROUND(54.8*2.8*1.1,0)</f>
        <v>169</v>
      </c>
      <c r="EU22" s="688">
        <v>0.8</v>
      </c>
      <c r="EV22" s="584">
        <f>ROUND(54.8*2.8*0.8,0)</f>
        <v>123</v>
      </c>
      <c r="EW22" s="688">
        <v>0</v>
      </c>
      <c r="EX22" s="584">
        <f>ROUND(54.8*2.8*0,0)</f>
        <v>0</v>
      </c>
      <c r="EY22" s="688">
        <v>0</v>
      </c>
      <c r="EZ22" s="584">
        <f>ROUND(54.8*2.8*0,0)</f>
        <v>0</v>
      </c>
      <c r="FA22" s="688">
        <v>0</v>
      </c>
      <c r="FB22" s="584">
        <f>ROUND(54.8*2.8*0,0)</f>
        <v>0</v>
      </c>
      <c r="FC22" s="688">
        <v>0</v>
      </c>
      <c r="FD22" s="584">
        <f>ROUND(54.8*2.8*0,0)</f>
        <v>0</v>
      </c>
      <c r="FE22" s="688">
        <v>0</v>
      </c>
      <c r="FF22" s="584">
        <f>ROUND(54.8*2.8*0,0)</f>
        <v>0</v>
      </c>
      <c r="FG22" s="688">
        <v>0</v>
      </c>
      <c r="FH22" s="586">
        <f>ROUND(54.8*2.8*0,0)</f>
        <v>0</v>
      </c>
      <c r="FI22" s="560"/>
      <c r="FJ22" s="561"/>
      <c r="FK22" s="693" t="s">
        <v>264</v>
      </c>
      <c r="FL22" s="684"/>
      <c r="FM22" s="580">
        <v>54.8</v>
      </c>
      <c r="FN22" s="685">
        <v>2.8</v>
      </c>
      <c r="FO22" s="686"/>
      <c r="FP22" s="689">
        <v>9</v>
      </c>
      <c r="FQ22" s="690">
        <v>6</v>
      </c>
      <c r="FR22" s="584">
        <f>ROUND(54.8*2.8*6,0)</f>
        <v>921</v>
      </c>
      <c r="FS22" s="691">
        <v>9</v>
      </c>
      <c r="FT22" s="690">
        <v>6.1</v>
      </c>
      <c r="FU22" s="589">
        <f>ROUND(54.8*2.8*6.1,0)</f>
        <v>936</v>
      </c>
      <c r="FV22" s="590"/>
      <c r="FW22" s="591"/>
      <c r="FX22" s="592"/>
      <c r="FY22" s="593"/>
      <c r="FZ22" s="594"/>
      <c r="GA22" s="595"/>
      <c r="GB22" s="596"/>
      <c r="GC22" s="597"/>
      <c r="GD22" s="596"/>
      <c r="GE22" s="598"/>
      <c r="GF22" s="681"/>
      <c r="GG22" s="599"/>
      <c r="GH22" s="599"/>
      <c r="GI22" s="599"/>
      <c r="GJ22" s="527"/>
      <c r="GK22" s="704" t="s">
        <v>456</v>
      </c>
      <c r="GL22" s="705"/>
      <c r="GM22" s="705"/>
      <c r="GN22" s="706"/>
      <c r="GO22" s="630">
        <v>0</v>
      </c>
      <c r="GP22" s="630">
        <v>1</v>
      </c>
      <c r="GQ22" s="707"/>
      <c r="GR22" s="708"/>
      <c r="GS22" s="575"/>
      <c r="GT22" s="670"/>
      <c r="GU22" s="704" t="s">
        <v>456</v>
      </c>
      <c r="GV22" s="705"/>
      <c r="GW22" s="705"/>
      <c r="GX22" s="705"/>
      <c r="GY22" s="706"/>
      <c r="GZ22" s="630">
        <v>0.65</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457</v>
      </c>
      <c r="GL23" s="606"/>
      <c r="GM23" s="711"/>
      <c r="GN23" s="712">
        <v>54.8</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0.2</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314</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919</v>
      </c>
      <c r="Y26" s="728"/>
      <c r="Z26" s="642">
        <f>SUM(Z16:Z25)</f>
        <v>1110</v>
      </c>
      <c r="AA26" s="728"/>
      <c r="AB26" s="642">
        <f>SUM(AB16:AB25)</f>
        <v>1237</v>
      </c>
      <c r="AC26" s="728"/>
      <c r="AD26" s="642">
        <f>SUM(AD16:AD25)</f>
        <v>1333</v>
      </c>
      <c r="AE26" s="728"/>
      <c r="AF26" s="642">
        <f>SUM(AF16:AF25)</f>
        <v>1412</v>
      </c>
      <c r="AG26" s="728"/>
      <c r="AH26" s="642">
        <f>SUM(AH16:AH25)</f>
        <v>1456</v>
      </c>
      <c r="AI26" s="728"/>
      <c r="AJ26" s="642">
        <f>SUM(AJ16:AJ25)</f>
        <v>1415</v>
      </c>
      <c r="AK26" s="728"/>
      <c r="AL26" s="642">
        <f>SUM(AL16:AL25)</f>
        <v>1374</v>
      </c>
      <c r="AM26" s="728"/>
      <c r="AN26" s="642">
        <f>SUM(AN16:AN25)</f>
        <v>1250</v>
      </c>
      <c r="AO26" s="728"/>
      <c r="AP26" s="642">
        <f>SUM(AP16:AP25)</f>
        <v>1148</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314</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872</v>
      </c>
      <c r="CB26" s="728"/>
      <c r="CC26" s="642">
        <f>SUM(CC16:CC25)</f>
        <v>1028</v>
      </c>
      <c r="CD26" s="728"/>
      <c r="CE26" s="642">
        <f>SUM(CE16:CE25)</f>
        <v>1189</v>
      </c>
      <c r="CF26" s="728"/>
      <c r="CG26" s="642">
        <f>SUM(CG16:CG25)</f>
        <v>1289</v>
      </c>
      <c r="CH26" s="728"/>
      <c r="CI26" s="642">
        <f>SUM(CI16:CI25)</f>
        <v>1364</v>
      </c>
      <c r="CJ26" s="728"/>
      <c r="CK26" s="642">
        <f>SUM(CK16:CK25)</f>
        <v>1390</v>
      </c>
      <c r="CL26" s="728"/>
      <c r="CM26" s="642">
        <f>SUM(CM16:CM25)</f>
        <v>1372</v>
      </c>
      <c r="CN26" s="728"/>
      <c r="CO26" s="642">
        <f>SUM(CO16:CO25)</f>
        <v>1350</v>
      </c>
      <c r="CP26" s="728"/>
      <c r="CQ26" s="642">
        <f>SUM(CQ16:CQ25)</f>
        <v>1281</v>
      </c>
      <c r="CR26" s="728"/>
      <c r="CS26" s="642">
        <f>SUM(CS16:CS25)</f>
        <v>1144</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314</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498</v>
      </c>
      <c r="EE26" s="728"/>
      <c r="EF26" s="642">
        <f>SUM(EF16:EF25)</f>
        <v>705</v>
      </c>
      <c r="EG26" s="728"/>
      <c r="EH26" s="642">
        <f>SUM(EH16:EH25)</f>
        <v>880</v>
      </c>
      <c r="EI26" s="728"/>
      <c r="EJ26" s="642">
        <f>SUM(EJ16:EJ25)</f>
        <v>1032</v>
      </c>
      <c r="EK26" s="728"/>
      <c r="EL26" s="642">
        <f>SUM(EL16:EL25)</f>
        <v>1117</v>
      </c>
      <c r="EM26" s="728"/>
      <c r="EN26" s="642">
        <f>SUM(EN16:EN25)</f>
        <v>1138</v>
      </c>
      <c r="EO26" s="728"/>
      <c r="EP26" s="642">
        <f>SUM(EP16:EP25)</f>
        <v>1135</v>
      </c>
      <c r="EQ26" s="728"/>
      <c r="ER26" s="642">
        <f>SUM(ER16:ER25)</f>
        <v>1121</v>
      </c>
      <c r="ES26" s="728"/>
      <c r="ET26" s="642">
        <f>SUM(ET16:ET25)</f>
        <v>992</v>
      </c>
      <c r="EU26" s="728"/>
      <c r="EV26" s="642">
        <f>SUM(EV16:EV25)</f>
        <v>836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314</v>
      </c>
      <c r="FN26" s="639"/>
      <c r="FO26" s="639"/>
      <c r="FP26" s="647"/>
      <c r="FQ26" s="648"/>
      <c r="FR26" s="642">
        <f>SUM(FR16:FR25)</f>
        <v>3480</v>
      </c>
      <c r="FS26" s="729"/>
      <c r="FT26" s="648"/>
      <c r="FU26" s="650">
        <f>SUM(FU16:FU25)</f>
        <v>3560</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0.65</v>
      </c>
      <c r="GZ26" s="577"/>
      <c r="HA26" s="527"/>
      <c r="HB26" s="527"/>
      <c r="HC26" s="527"/>
      <c r="HD26" s="645"/>
      <c r="HE26" s="416"/>
      <c r="HF26" s="416"/>
      <c r="HG26" s="577"/>
      <c r="HH26" s="645"/>
      <c r="HI26" s="416"/>
      <c r="HJ26" s="416"/>
    </row>
    <row r="27" spans="1:218" ht="20.100000000000001" customHeight="1">
      <c r="A27" s="730" t="s">
        <v>388</v>
      </c>
      <c r="B27" s="731"/>
      <c r="C27" s="732"/>
      <c r="D27" s="660"/>
      <c r="E27" s="732"/>
      <c r="F27" s="732"/>
      <c r="G27" s="733" t="s">
        <v>389</v>
      </c>
      <c r="H27" s="660" t="s">
        <v>390</v>
      </c>
      <c r="I27" s="734" t="s">
        <v>389</v>
      </c>
      <c r="J27" s="660" t="s">
        <v>390</v>
      </c>
      <c r="K27" s="735" t="s">
        <v>389</v>
      </c>
      <c r="L27" s="660" t="s">
        <v>390</v>
      </c>
      <c r="M27" s="735" t="s">
        <v>389</v>
      </c>
      <c r="N27" s="660" t="s">
        <v>390</v>
      </c>
      <c r="O27" s="735" t="s">
        <v>389</v>
      </c>
      <c r="P27" s="660" t="s">
        <v>390</v>
      </c>
      <c r="Q27" s="735" t="s">
        <v>389</v>
      </c>
      <c r="R27" s="660" t="s">
        <v>390</v>
      </c>
      <c r="S27" s="735" t="s">
        <v>389</v>
      </c>
      <c r="T27" s="660" t="s">
        <v>390</v>
      </c>
      <c r="U27" s="735" t="s">
        <v>389</v>
      </c>
      <c r="V27" s="660" t="s">
        <v>390</v>
      </c>
      <c r="W27" s="735" t="s">
        <v>389</v>
      </c>
      <c r="X27" s="660" t="s">
        <v>390</v>
      </c>
      <c r="Y27" s="735" t="s">
        <v>389</v>
      </c>
      <c r="Z27" s="660" t="s">
        <v>390</v>
      </c>
      <c r="AA27" s="735" t="s">
        <v>389</v>
      </c>
      <c r="AB27" s="660" t="s">
        <v>390</v>
      </c>
      <c r="AC27" s="735" t="s">
        <v>389</v>
      </c>
      <c r="AD27" s="660" t="s">
        <v>390</v>
      </c>
      <c r="AE27" s="735" t="s">
        <v>389</v>
      </c>
      <c r="AF27" s="660" t="s">
        <v>390</v>
      </c>
      <c r="AG27" s="735" t="s">
        <v>389</v>
      </c>
      <c r="AH27" s="660" t="s">
        <v>390</v>
      </c>
      <c r="AI27" s="735" t="s">
        <v>389</v>
      </c>
      <c r="AJ27" s="660" t="s">
        <v>390</v>
      </c>
      <c r="AK27" s="735" t="s">
        <v>389</v>
      </c>
      <c r="AL27" s="660" t="s">
        <v>390</v>
      </c>
      <c r="AM27" s="735" t="s">
        <v>389</v>
      </c>
      <c r="AN27" s="660" t="s">
        <v>390</v>
      </c>
      <c r="AO27" s="735" t="s">
        <v>389</v>
      </c>
      <c r="AP27" s="660" t="s">
        <v>390</v>
      </c>
      <c r="AQ27" s="735" t="s">
        <v>389</v>
      </c>
      <c r="AR27" s="660" t="s">
        <v>390</v>
      </c>
      <c r="AS27" s="735" t="s">
        <v>389</v>
      </c>
      <c r="AT27" s="660" t="s">
        <v>390</v>
      </c>
      <c r="AU27" s="735" t="s">
        <v>389</v>
      </c>
      <c r="AV27" s="660" t="s">
        <v>390</v>
      </c>
      <c r="AW27" s="735" t="s">
        <v>389</v>
      </c>
      <c r="AX27" s="660" t="s">
        <v>390</v>
      </c>
      <c r="AY27" s="735" t="s">
        <v>389</v>
      </c>
      <c r="AZ27" s="660" t="s">
        <v>390</v>
      </c>
      <c r="BA27" s="735" t="s">
        <v>389</v>
      </c>
      <c r="BB27" s="662" t="s">
        <v>390</v>
      </c>
      <c r="BC27" s="716"/>
      <c r="BD27" s="730" t="s">
        <v>391</v>
      </c>
      <c r="BE27" s="731"/>
      <c r="BF27" s="732"/>
      <c r="BG27" s="660"/>
      <c r="BH27" s="732"/>
      <c r="BI27" s="732"/>
      <c r="BJ27" s="733" t="s">
        <v>389</v>
      </c>
      <c r="BK27" s="660" t="s">
        <v>390</v>
      </c>
      <c r="BL27" s="734" t="s">
        <v>389</v>
      </c>
      <c r="BM27" s="660" t="s">
        <v>390</v>
      </c>
      <c r="BN27" s="735" t="s">
        <v>389</v>
      </c>
      <c r="BO27" s="660" t="s">
        <v>390</v>
      </c>
      <c r="BP27" s="735" t="s">
        <v>389</v>
      </c>
      <c r="BQ27" s="660" t="s">
        <v>390</v>
      </c>
      <c r="BR27" s="735" t="s">
        <v>389</v>
      </c>
      <c r="BS27" s="660" t="s">
        <v>390</v>
      </c>
      <c r="BT27" s="735" t="s">
        <v>389</v>
      </c>
      <c r="BU27" s="660" t="s">
        <v>390</v>
      </c>
      <c r="BV27" s="735" t="s">
        <v>389</v>
      </c>
      <c r="BW27" s="660" t="s">
        <v>390</v>
      </c>
      <c r="BX27" s="735" t="s">
        <v>389</v>
      </c>
      <c r="BY27" s="660" t="s">
        <v>390</v>
      </c>
      <c r="BZ27" s="735" t="s">
        <v>389</v>
      </c>
      <c r="CA27" s="660" t="s">
        <v>390</v>
      </c>
      <c r="CB27" s="735" t="s">
        <v>389</v>
      </c>
      <c r="CC27" s="660" t="s">
        <v>390</v>
      </c>
      <c r="CD27" s="735" t="s">
        <v>389</v>
      </c>
      <c r="CE27" s="660" t="s">
        <v>390</v>
      </c>
      <c r="CF27" s="735" t="s">
        <v>389</v>
      </c>
      <c r="CG27" s="660" t="s">
        <v>390</v>
      </c>
      <c r="CH27" s="735" t="s">
        <v>389</v>
      </c>
      <c r="CI27" s="660" t="s">
        <v>390</v>
      </c>
      <c r="CJ27" s="735" t="s">
        <v>389</v>
      </c>
      <c r="CK27" s="660" t="s">
        <v>390</v>
      </c>
      <c r="CL27" s="735" t="s">
        <v>389</v>
      </c>
      <c r="CM27" s="660" t="s">
        <v>390</v>
      </c>
      <c r="CN27" s="735" t="s">
        <v>389</v>
      </c>
      <c r="CO27" s="660" t="s">
        <v>390</v>
      </c>
      <c r="CP27" s="735" t="s">
        <v>389</v>
      </c>
      <c r="CQ27" s="660" t="s">
        <v>390</v>
      </c>
      <c r="CR27" s="735" t="s">
        <v>389</v>
      </c>
      <c r="CS27" s="660" t="s">
        <v>390</v>
      </c>
      <c r="CT27" s="735" t="s">
        <v>389</v>
      </c>
      <c r="CU27" s="660" t="s">
        <v>390</v>
      </c>
      <c r="CV27" s="735" t="s">
        <v>389</v>
      </c>
      <c r="CW27" s="660" t="s">
        <v>390</v>
      </c>
      <c r="CX27" s="735" t="s">
        <v>389</v>
      </c>
      <c r="CY27" s="660" t="s">
        <v>390</v>
      </c>
      <c r="CZ27" s="735" t="s">
        <v>389</v>
      </c>
      <c r="DA27" s="660" t="s">
        <v>390</v>
      </c>
      <c r="DB27" s="735" t="s">
        <v>389</v>
      </c>
      <c r="DC27" s="660" t="s">
        <v>390</v>
      </c>
      <c r="DD27" s="735" t="s">
        <v>389</v>
      </c>
      <c r="DE27" s="662" t="s">
        <v>390</v>
      </c>
      <c r="DF27" s="716"/>
      <c r="DG27" s="730" t="s">
        <v>391</v>
      </c>
      <c r="DH27" s="736"/>
      <c r="DI27" s="737"/>
      <c r="DJ27" s="738"/>
      <c r="DK27" s="737"/>
      <c r="DL27" s="737"/>
      <c r="DM27" s="733" t="s">
        <v>389</v>
      </c>
      <c r="DN27" s="660" t="s">
        <v>390</v>
      </c>
      <c r="DO27" s="734" t="s">
        <v>389</v>
      </c>
      <c r="DP27" s="660" t="s">
        <v>390</v>
      </c>
      <c r="DQ27" s="735" t="s">
        <v>389</v>
      </c>
      <c r="DR27" s="660" t="s">
        <v>390</v>
      </c>
      <c r="DS27" s="735" t="s">
        <v>389</v>
      </c>
      <c r="DT27" s="660" t="s">
        <v>390</v>
      </c>
      <c r="DU27" s="735" t="s">
        <v>389</v>
      </c>
      <c r="DV27" s="660" t="s">
        <v>390</v>
      </c>
      <c r="DW27" s="735" t="s">
        <v>389</v>
      </c>
      <c r="DX27" s="660" t="s">
        <v>390</v>
      </c>
      <c r="DY27" s="735" t="s">
        <v>389</v>
      </c>
      <c r="DZ27" s="660" t="s">
        <v>390</v>
      </c>
      <c r="EA27" s="735" t="s">
        <v>389</v>
      </c>
      <c r="EB27" s="660" t="s">
        <v>390</v>
      </c>
      <c r="EC27" s="735" t="s">
        <v>389</v>
      </c>
      <c r="ED27" s="660" t="s">
        <v>390</v>
      </c>
      <c r="EE27" s="735" t="s">
        <v>389</v>
      </c>
      <c r="EF27" s="660" t="s">
        <v>390</v>
      </c>
      <c r="EG27" s="735" t="s">
        <v>389</v>
      </c>
      <c r="EH27" s="660" t="s">
        <v>390</v>
      </c>
      <c r="EI27" s="735" t="s">
        <v>389</v>
      </c>
      <c r="EJ27" s="660" t="s">
        <v>390</v>
      </c>
      <c r="EK27" s="735" t="s">
        <v>389</v>
      </c>
      <c r="EL27" s="660" t="s">
        <v>390</v>
      </c>
      <c r="EM27" s="735" t="s">
        <v>389</v>
      </c>
      <c r="EN27" s="660" t="s">
        <v>390</v>
      </c>
      <c r="EO27" s="735" t="s">
        <v>389</v>
      </c>
      <c r="EP27" s="660" t="s">
        <v>390</v>
      </c>
      <c r="EQ27" s="735" t="s">
        <v>389</v>
      </c>
      <c r="ER27" s="660" t="s">
        <v>390</v>
      </c>
      <c r="ES27" s="735" t="s">
        <v>389</v>
      </c>
      <c r="ET27" s="660" t="s">
        <v>390</v>
      </c>
      <c r="EU27" s="735" t="s">
        <v>389</v>
      </c>
      <c r="EV27" s="660" t="s">
        <v>390</v>
      </c>
      <c r="EW27" s="735" t="s">
        <v>389</v>
      </c>
      <c r="EX27" s="660" t="s">
        <v>390</v>
      </c>
      <c r="EY27" s="735" t="s">
        <v>389</v>
      </c>
      <c r="EZ27" s="660" t="s">
        <v>390</v>
      </c>
      <c r="FA27" s="735" t="s">
        <v>389</v>
      </c>
      <c r="FB27" s="660" t="s">
        <v>390</v>
      </c>
      <c r="FC27" s="735" t="s">
        <v>389</v>
      </c>
      <c r="FD27" s="660" t="s">
        <v>390</v>
      </c>
      <c r="FE27" s="735" t="s">
        <v>389</v>
      </c>
      <c r="FF27" s="660" t="s">
        <v>390</v>
      </c>
      <c r="FG27" s="735" t="s">
        <v>389</v>
      </c>
      <c r="FH27" s="662" t="s">
        <v>390</v>
      </c>
      <c r="FI27" s="739"/>
      <c r="FJ27" s="539" t="s">
        <v>391</v>
      </c>
      <c r="FK27" s="736"/>
      <c r="FL27" s="737"/>
      <c r="FM27" s="738"/>
      <c r="FN27" s="737"/>
      <c r="FO27" s="737"/>
      <c r="FP27" s="740" t="s">
        <v>392</v>
      </c>
      <c r="FQ27" s="666" t="s">
        <v>389</v>
      </c>
      <c r="FR27" s="660" t="s">
        <v>393</v>
      </c>
      <c r="FS27" s="741" t="s">
        <v>392</v>
      </c>
      <c r="FT27" s="666" t="s">
        <v>389</v>
      </c>
      <c r="FU27" s="668" t="s">
        <v>393</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394</v>
      </c>
      <c r="C28" s="746"/>
      <c r="D28" s="747">
        <v>69</v>
      </c>
      <c r="E28" s="748">
        <v>6</v>
      </c>
      <c r="F28" s="749" t="s">
        <v>395</v>
      </c>
      <c r="G28" s="750"/>
      <c r="H28" s="556"/>
      <c r="I28" s="751"/>
      <c r="J28" s="556"/>
      <c r="K28" s="751"/>
      <c r="L28" s="556"/>
      <c r="M28" s="751"/>
      <c r="N28" s="556"/>
      <c r="O28" s="751"/>
      <c r="P28" s="556"/>
      <c r="Q28" s="751"/>
      <c r="R28" s="556"/>
      <c r="S28" s="751"/>
      <c r="T28" s="556"/>
      <c r="U28" s="751"/>
      <c r="V28" s="556"/>
      <c r="W28" s="751">
        <v>1</v>
      </c>
      <c r="X28" s="556">
        <v>414</v>
      </c>
      <c r="Y28" s="751">
        <v>1</v>
      </c>
      <c r="Z28" s="556">
        <v>414</v>
      </c>
      <c r="AA28" s="751">
        <v>1</v>
      </c>
      <c r="AB28" s="556">
        <v>414</v>
      </c>
      <c r="AC28" s="751">
        <v>0.5</v>
      </c>
      <c r="AD28" s="556">
        <v>207</v>
      </c>
      <c r="AE28" s="751">
        <v>1</v>
      </c>
      <c r="AF28" s="556">
        <v>414</v>
      </c>
      <c r="AG28" s="751">
        <v>1</v>
      </c>
      <c r="AH28" s="556">
        <v>414</v>
      </c>
      <c r="AI28" s="751">
        <v>1</v>
      </c>
      <c r="AJ28" s="556">
        <v>414</v>
      </c>
      <c r="AK28" s="751">
        <v>1</v>
      </c>
      <c r="AL28" s="556">
        <v>414</v>
      </c>
      <c r="AM28" s="751">
        <v>1</v>
      </c>
      <c r="AN28" s="556">
        <v>414</v>
      </c>
      <c r="AO28" s="751">
        <v>1</v>
      </c>
      <c r="AP28" s="556">
        <v>414</v>
      </c>
      <c r="AQ28" s="751"/>
      <c r="AR28" s="556"/>
      <c r="AS28" s="751"/>
      <c r="AT28" s="556"/>
      <c r="AU28" s="751"/>
      <c r="AV28" s="556"/>
      <c r="AW28" s="751"/>
      <c r="AX28" s="556"/>
      <c r="AY28" s="751"/>
      <c r="AZ28" s="556"/>
      <c r="BA28" s="751"/>
      <c r="BB28" s="677"/>
      <c r="BC28" s="559"/>
      <c r="BD28" s="549"/>
      <c r="BE28" s="745" t="s">
        <v>394</v>
      </c>
      <c r="BF28" s="746"/>
      <c r="BG28" s="747">
        <v>69</v>
      </c>
      <c r="BH28" s="748">
        <v>6</v>
      </c>
      <c r="BI28" s="749" t="s">
        <v>395</v>
      </c>
      <c r="BJ28" s="750"/>
      <c r="BK28" s="556"/>
      <c r="BL28" s="751"/>
      <c r="BM28" s="556"/>
      <c r="BN28" s="751"/>
      <c r="BO28" s="556"/>
      <c r="BP28" s="751"/>
      <c r="BQ28" s="556"/>
      <c r="BR28" s="751"/>
      <c r="BS28" s="556"/>
      <c r="BT28" s="751"/>
      <c r="BU28" s="556"/>
      <c r="BV28" s="751"/>
      <c r="BW28" s="556"/>
      <c r="BX28" s="751"/>
      <c r="BY28" s="556"/>
      <c r="BZ28" s="751">
        <v>1</v>
      </c>
      <c r="CA28" s="556">
        <v>414</v>
      </c>
      <c r="CB28" s="751">
        <v>1</v>
      </c>
      <c r="CC28" s="556">
        <v>414</v>
      </c>
      <c r="CD28" s="751">
        <v>1</v>
      </c>
      <c r="CE28" s="556">
        <v>414</v>
      </c>
      <c r="CF28" s="751">
        <v>0.5</v>
      </c>
      <c r="CG28" s="556">
        <v>207</v>
      </c>
      <c r="CH28" s="751">
        <v>1</v>
      </c>
      <c r="CI28" s="556">
        <v>414</v>
      </c>
      <c r="CJ28" s="751">
        <v>1</v>
      </c>
      <c r="CK28" s="556">
        <v>414</v>
      </c>
      <c r="CL28" s="751">
        <v>1</v>
      </c>
      <c r="CM28" s="556">
        <v>414</v>
      </c>
      <c r="CN28" s="751">
        <v>1</v>
      </c>
      <c r="CO28" s="556">
        <v>414</v>
      </c>
      <c r="CP28" s="751">
        <v>1</v>
      </c>
      <c r="CQ28" s="556">
        <v>414</v>
      </c>
      <c r="CR28" s="751">
        <v>1</v>
      </c>
      <c r="CS28" s="556">
        <v>414</v>
      </c>
      <c r="CT28" s="751"/>
      <c r="CU28" s="556"/>
      <c r="CV28" s="751"/>
      <c r="CW28" s="556"/>
      <c r="CX28" s="751"/>
      <c r="CY28" s="556"/>
      <c r="CZ28" s="751"/>
      <c r="DA28" s="556"/>
      <c r="DB28" s="751"/>
      <c r="DC28" s="556"/>
      <c r="DD28" s="751"/>
      <c r="DE28" s="677"/>
      <c r="DF28" s="559"/>
      <c r="DG28" s="549"/>
      <c r="DH28" s="745" t="s">
        <v>394</v>
      </c>
      <c r="DI28" s="746"/>
      <c r="DJ28" s="747">
        <v>69</v>
      </c>
      <c r="DK28" s="748">
        <v>6</v>
      </c>
      <c r="DL28" s="749" t="s">
        <v>395</v>
      </c>
      <c r="DM28" s="750"/>
      <c r="DN28" s="556"/>
      <c r="DO28" s="751"/>
      <c r="DP28" s="556"/>
      <c r="DQ28" s="751"/>
      <c r="DR28" s="556"/>
      <c r="DS28" s="751"/>
      <c r="DT28" s="556"/>
      <c r="DU28" s="751"/>
      <c r="DV28" s="556"/>
      <c r="DW28" s="751"/>
      <c r="DX28" s="556"/>
      <c r="DY28" s="751"/>
      <c r="DZ28" s="556"/>
      <c r="EA28" s="751"/>
      <c r="EB28" s="556"/>
      <c r="EC28" s="751">
        <v>1</v>
      </c>
      <c r="ED28" s="556">
        <v>414</v>
      </c>
      <c r="EE28" s="751">
        <v>1</v>
      </c>
      <c r="EF28" s="556">
        <v>414</v>
      </c>
      <c r="EG28" s="751">
        <v>1</v>
      </c>
      <c r="EH28" s="556">
        <v>414</v>
      </c>
      <c r="EI28" s="751">
        <v>0.5</v>
      </c>
      <c r="EJ28" s="556">
        <v>207</v>
      </c>
      <c r="EK28" s="751">
        <v>1</v>
      </c>
      <c r="EL28" s="556">
        <v>414</v>
      </c>
      <c r="EM28" s="751">
        <v>1</v>
      </c>
      <c r="EN28" s="556">
        <v>414</v>
      </c>
      <c r="EO28" s="751">
        <v>1</v>
      </c>
      <c r="EP28" s="556">
        <v>414</v>
      </c>
      <c r="EQ28" s="751">
        <v>1</v>
      </c>
      <c r="ER28" s="556">
        <v>414</v>
      </c>
      <c r="ES28" s="751">
        <v>1</v>
      </c>
      <c r="ET28" s="556">
        <v>414</v>
      </c>
      <c r="EU28" s="751">
        <v>1</v>
      </c>
      <c r="EV28" s="556">
        <v>414</v>
      </c>
      <c r="EW28" s="751"/>
      <c r="EX28" s="556"/>
      <c r="EY28" s="751"/>
      <c r="EZ28" s="556"/>
      <c r="FA28" s="751"/>
      <c r="FB28" s="556"/>
      <c r="FC28" s="751"/>
      <c r="FD28" s="556"/>
      <c r="FE28" s="751"/>
      <c r="FF28" s="556"/>
      <c r="FG28" s="751"/>
      <c r="FH28" s="677"/>
      <c r="FI28" s="560"/>
      <c r="FJ28" s="561"/>
      <c r="FK28" s="745" t="s">
        <v>394</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396</v>
      </c>
      <c r="C29" s="758"/>
      <c r="D29" s="759">
        <v>12</v>
      </c>
      <c r="E29" s="760">
        <v>54.8</v>
      </c>
      <c r="F29" s="761" t="s">
        <v>395</v>
      </c>
      <c r="G29" s="762"/>
      <c r="H29" s="584"/>
      <c r="I29" s="763"/>
      <c r="J29" s="584"/>
      <c r="K29" s="763"/>
      <c r="L29" s="584"/>
      <c r="M29" s="763"/>
      <c r="N29" s="584"/>
      <c r="O29" s="763"/>
      <c r="P29" s="584"/>
      <c r="Q29" s="763"/>
      <c r="R29" s="584"/>
      <c r="S29" s="763"/>
      <c r="T29" s="584"/>
      <c r="U29" s="763"/>
      <c r="V29" s="584"/>
      <c r="W29" s="763">
        <v>1</v>
      </c>
      <c r="X29" s="584">
        <v>658</v>
      </c>
      <c r="Y29" s="763">
        <v>1</v>
      </c>
      <c r="Z29" s="584">
        <v>658</v>
      </c>
      <c r="AA29" s="763">
        <v>1</v>
      </c>
      <c r="AB29" s="584">
        <v>658</v>
      </c>
      <c r="AC29" s="763">
        <v>1</v>
      </c>
      <c r="AD29" s="584">
        <v>658</v>
      </c>
      <c r="AE29" s="763">
        <v>1</v>
      </c>
      <c r="AF29" s="584">
        <v>658</v>
      </c>
      <c r="AG29" s="763">
        <v>1</v>
      </c>
      <c r="AH29" s="584">
        <v>658</v>
      </c>
      <c r="AI29" s="763">
        <v>1</v>
      </c>
      <c r="AJ29" s="584">
        <v>658</v>
      </c>
      <c r="AK29" s="763">
        <v>1</v>
      </c>
      <c r="AL29" s="584">
        <v>658</v>
      </c>
      <c r="AM29" s="763">
        <v>1</v>
      </c>
      <c r="AN29" s="584">
        <v>658</v>
      </c>
      <c r="AO29" s="763">
        <v>1</v>
      </c>
      <c r="AP29" s="584">
        <v>658</v>
      </c>
      <c r="AQ29" s="763"/>
      <c r="AR29" s="584"/>
      <c r="AS29" s="763"/>
      <c r="AT29" s="584"/>
      <c r="AU29" s="763"/>
      <c r="AV29" s="584"/>
      <c r="AW29" s="763"/>
      <c r="AX29" s="584"/>
      <c r="AY29" s="763"/>
      <c r="AZ29" s="584"/>
      <c r="BA29" s="763"/>
      <c r="BB29" s="586"/>
      <c r="BC29" s="559"/>
      <c r="BD29" s="549"/>
      <c r="BE29" s="757" t="s">
        <v>396</v>
      </c>
      <c r="BF29" s="758"/>
      <c r="BG29" s="759">
        <v>12</v>
      </c>
      <c r="BH29" s="760">
        <v>54.8</v>
      </c>
      <c r="BI29" s="761" t="s">
        <v>395</v>
      </c>
      <c r="BJ29" s="762"/>
      <c r="BK29" s="584"/>
      <c r="BL29" s="763"/>
      <c r="BM29" s="584"/>
      <c r="BN29" s="763"/>
      <c r="BO29" s="584"/>
      <c r="BP29" s="763"/>
      <c r="BQ29" s="584"/>
      <c r="BR29" s="763"/>
      <c r="BS29" s="584"/>
      <c r="BT29" s="763"/>
      <c r="BU29" s="584"/>
      <c r="BV29" s="763"/>
      <c r="BW29" s="584"/>
      <c r="BX29" s="763"/>
      <c r="BY29" s="584"/>
      <c r="BZ29" s="763">
        <v>1</v>
      </c>
      <c r="CA29" s="584">
        <v>658</v>
      </c>
      <c r="CB29" s="763">
        <v>1</v>
      </c>
      <c r="CC29" s="584">
        <v>658</v>
      </c>
      <c r="CD29" s="763">
        <v>1</v>
      </c>
      <c r="CE29" s="584">
        <v>658</v>
      </c>
      <c r="CF29" s="763">
        <v>1</v>
      </c>
      <c r="CG29" s="584">
        <v>658</v>
      </c>
      <c r="CH29" s="763">
        <v>1</v>
      </c>
      <c r="CI29" s="584">
        <v>658</v>
      </c>
      <c r="CJ29" s="763">
        <v>1</v>
      </c>
      <c r="CK29" s="584">
        <v>658</v>
      </c>
      <c r="CL29" s="763">
        <v>1</v>
      </c>
      <c r="CM29" s="584">
        <v>658</v>
      </c>
      <c r="CN29" s="763">
        <v>1</v>
      </c>
      <c r="CO29" s="584">
        <v>658</v>
      </c>
      <c r="CP29" s="763">
        <v>1</v>
      </c>
      <c r="CQ29" s="584">
        <v>658</v>
      </c>
      <c r="CR29" s="763">
        <v>1</v>
      </c>
      <c r="CS29" s="584">
        <v>658</v>
      </c>
      <c r="CT29" s="763"/>
      <c r="CU29" s="584"/>
      <c r="CV29" s="763"/>
      <c r="CW29" s="584"/>
      <c r="CX29" s="763"/>
      <c r="CY29" s="584"/>
      <c r="CZ29" s="763"/>
      <c r="DA29" s="584"/>
      <c r="DB29" s="763"/>
      <c r="DC29" s="584"/>
      <c r="DD29" s="763"/>
      <c r="DE29" s="586"/>
      <c r="DF29" s="559"/>
      <c r="DG29" s="549"/>
      <c r="DH29" s="757" t="s">
        <v>396</v>
      </c>
      <c r="DI29" s="758"/>
      <c r="DJ29" s="759">
        <v>12</v>
      </c>
      <c r="DK29" s="760">
        <v>54.8</v>
      </c>
      <c r="DL29" s="761" t="s">
        <v>395</v>
      </c>
      <c r="DM29" s="762"/>
      <c r="DN29" s="584"/>
      <c r="DO29" s="763"/>
      <c r="DP29" s="584"/>
      <c r="DQ29" s="763"/>
      <c r="DR29" s="584"/>
      <c r="DS29" s="763"/>
      <c r="DT29" s="584"/>
      <c r="DU29" s="763"/>
      <c r="DV29" s="584"/>
      <c r="DW29" s="763"/>
      <c r="DX29" s="584"/>
      <c r="DY29" s="763"/>
      <c r="DZ29" s="584"/>
      <c r="EA29" s="763"/>
      <c r="EB29" s="584"/>
      <c r="EC29" s="763">
        <v>1</v>
      </c>
      <c r="ED29" s="584">
        <v>658</v>
      </c>
      <c r="EE29" s="763">
        <v>1</v>
      </c>
      <c r="EF29" s="584">
        <v>658</v>
      </c>
      <c r="EG29" s="763">
        <v>1</v>
      </c>
      <c r="EH29" s="584">
        <v>658</v>
      </c>
      <c r="EI29" s="763">
        <v>1</v>
      </c>
      <c r="EJ29" s="584">
        <v>658</v>
      </c>
      <c r="EK29" s="763">
        <v>1</v>
      </c>
      <c r="EL29" s="584">
        <v>658</v>
      </c>
      <c r="EM29" s="763">
        <v>1</v>
      </c>
      <c r="EN29" s="584">
        <v>658</v>
      </c>
      <c r="EO29" s="763">
        <v>1</v>
      </c>
      <c r="EP29" s="584">
        <v>658</v>
      </c>
      <c r="EQ29" s="763">
        <v>1</v>
      </c>
      <c r="ER29" s="584">
        <v>658</v>
      </c>
      <c r="ES29" s="763">
        <v>1</v>
      </c>
      <c r="ET29" s="584">
        <v>658</v>
      </c>
      <c r="EU29" s="763">
        <v>1</v>
      </c>
      <c r="EV29" s="584">
        <v>658</v>
      </c>
      <c r="EW29" s="763"/>
      <c r="EX29" s="584"/>
      <c r="EY29" s="763"/>
      <c r="EZ29" s="584"/>
      <c r="FA29" s="763"/>
      <c r="FB29" s="584"/>
      <c r="FC29" s="763"/>
      <c r="FD29" s="584"/>
      <c r="FE29" s="763"/>
      <c r="FF29" s="584"/>
      <c r="FG29" s="763"/>
      <c r="FH29" s="586"/>
      <c r="FI29" s="560"/>
      <c r="FJ29" s="561"/>
      <c r="FK29" s="757" t="s">
        <v>396</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397</v>
      </c>
      <c r="C30" s="759">
        <v>12</v>
      </c>
      <c r="D30" s="760">
        <v>54.8</v>
      </c>
      <c r="E30" s="769">
        <v>1</v>
      </c>
      <c r="F30" s="770" t="s">
        <v>395</v>
      </c>
      <c r="G30" s="762"/>
      <c r="H30" s="584"/>
      <c r="I30" s="763"/>
      <c r="J30" s="584"/>
      <c r="K30" s="763"/>
      <c r="L30" s="584"/>
      <c r="M30" s="763"/>
      <c r="N30" s="584"/>
      <c r="O30" s="763"/>
      <c r="P30" s="584"/>
      <c r="Q30" s="763"/>
      <c r="R30" s="584"/>
      <c r="S30" s="763"/>
      <c r="T30" s="584"/>
      <c r="U30" s="763"/>
      <c r="V30" s="584"/>
      <c r="W30" s="763">
        <v>1</v>
      </c>
      <c r="X30" s="584">
        <v>658</v>
      </c>
      <c r="Y30" s="763">
        <v>1</v>
      </c>
      <c r="Z30" s="584">
        <v>658</v>
      </c>
      <c r="AA30" s="763">
        <v>1</v>
      </c>
      <c r="AB30" s="584">
        <v>658</v>
      </c>
      <c r="AC30" s="763">
        <v>1</v>
      </c>
      <c r="AD30" s="584">
        <v>658</v>
      </c>
      <c r="AE30" s="763">
        <v>1</v>
      </c>
      <c r="AF30" s="584">
        <v>658</v>
      </c>
      <c r="AG30" s="763">
        <v>1</v>
      </c>
      <c r="AH30" s="584">
        <v>658</v>
      </c>
      <c r="AI30" s="763">
        <v>1</v>
      </c>
      <c r="AJ30" s="584">
        <v>658</v>
      </c>
      <c r="AK30" s="763">
        <v>1</v>
      </c>
      <c r="AL30" s="584">
        <v>658</v>
      </c>
      <c r="AM30" s="763">
        <v>1</v>
      </c>
      <c r="AN30" s="584">
        <v>658</v>
      </c>
      <c r="AO30" s="763">
        <v>1</v>
      </c>
      <c r="AP30" s="584">
        <v>658</v>
      </c>
      <c r="AQ30" s="763"/>
      <c r="AR30" s="584"/>
      <c r="AS30" s="763"/>
      <c r="AT30" s="584"/>
      <c r="AU30" s="763"/>
      <c r="AV30" s="584"/>
      <c r="AW30" s="763"/>
      <c r="AX30" s="584"/>
      <c r="AY30" s="763"/>
      <c r="AZ30" s="584"/>
      <c r="BA30" s="763"/>
      <c r="BB30" s="586"/>
      <c r="BC30" s="559"/>
      <c r="BD30" s="549"/>
      <c r="BE30" s="757" t="s">
        <v>397</v>
      </c>
      <c r="BF30" s="759">
        <v>12</v>
      </c>
      <c r="BG30" s="760">
        <v>54.8</v>
      </c>
      <c r="BH30" s="769">
        <v>1</v>
      </c>
      <c r="BI30" s="770" t="s">
        <v>395</v>
      </c>
      <c r="BJ30" s="762"/>
      <c r="BK30" s="584"/>
      <c r="BL30" s="763"/>
      <c r="BM30" s="584"/>
      <c r="BN30" s="763"/>
      <c r="BO30" s="584"/>
      <c r="BP30" s="763"/>
      <c r="BQ30" s="584"/>
      <c r="BR30" s="763"/>
      <c r="BS30" s="584"/>
      <c r="BT30" s="763"/>
      <c r="BU30" s="584"/>
      <c r="BV30" s="763"/>
      <c r="BW30" s="584"/>
      <c r="BX30" s="763"/>
      <c r="BY30" s="584"/>
      <c r="BZ30" s="763">
        <v>1</v>
      </c>
      <c r="CA30" s="584">
        <v>658</v>
      </c>
      <c r="CB30" s="763">
        <v>1</v>
      </c>
      <c r="CC30" s="584">
        <v>658</v>
      </c>
      <c r="CD30" s="763">
        <v>1</v>
      </c>
      <c r="CE30" s="584">
        <v>658</v>
      </c>
      <c r="CF30" s="763">
        <v>1</v>
      </c>
      <c r="CG30" s="584">
        <v>658</v>
      </c>
      <c r="CH30" s="763">
        <v>1</v>
      </c>
      <c r="CI30" s="584">
        <v>658</v>
      </c>
      <c r="CJ30" s="763">
        <v>1</v>
      </c>
      <c r="CK30" s="584">
        <v>658</v>
      </c>
      <c r="CL30" s="763">
        <v>1</v>
      </c>
      <c r="CM30" s="584">
        <v>658</v>
      </c>
      <c r="CN30" s="763">
        <v>1</v>
      </c>
      <c r="CO30" s="584">
        <v>658</v>
      </c>
      <c r="CP30" s="763">
        <v>1</v>
      </c>
      <c r="CQ30" s="584">
        <v>658</v>
      </c>
      <c r="CR30" s="763">
        <v>1</v>
      </c>
      <c r="CS30" s="584">
        <v>658</v>
      </c>
      <c r="CT30" s="763"/>
      <c r="CU30" s="584"/>
      <c r="CV30" s="763"/>
      <c r="CW30" s="584"/>
      <c r="CX30" s="763"/>
      <c r="CY30" s="584"/>
      <c r="CZ30" s="763"/>
      <c r="DA30" s="584"/>
      <c r="DB30" s="763"/>
      <c r="DC30" s="584"/>
      <c r="DD30" s="763"/>
      <c r="DE30" s="586"/>
      <c r="DF30" s="559"/>
      <c r="DG30" s="549"/>
      <c r="DH30" s="757" t="s">
        <v>397</v>
      </c>
      <c r="DI30" s="759">
        <v>12</v>
      </c>
      <c r="DJ30" s="760">
        <v>54.8</v>
      </c>
      <c r="DK30" s="769">
        <v>1</v>
      </c>
      <c r="DL30" s="770" t="s">
        <v>395</v>
      </c>
      <c r="DM30" s="762"/>
      <c r="DN30" s="584"/>
      <c r="DO30" s="763"/>
      <c r="DP30" s="584"/>
      <c r="DQ30" s="763"/>
      <c r="DR30" s="584"/>
      <c r="DS30" s="763"/>
      <c r="DT30" s="584"/>
      <c r="DU30" s="763"/>
      <c r="DV30" s="584"/>
      <c r="DW30" s="763"/>
      <c r="DX30" s="584"/>
      <c r="DY30" s="763"/>
      <c r="DZ30" s="584"/>
      <c r="EA30" s="763"/>
      <c r="EB30" s="584"/>
      <c r="EC30" s="763">
        <v>1</v>
      </c>
      <c r="ED30" s="584">
        <v>658</v>
      </c>
      <c r="EE30" s="763">
        <v>1</v>
      </c>
      <c r="EF30" s="584">
        <v>658</v>
      </c>
      <c r="EG30" s="763">
        <v>1</v>
      </c>
      <c r="EH30" s="584">
        <v>658</v>
      </c>
      <c r="EI30" s="763">
        <v>1</v>
      </c>
      <c r="EJ30" s="584">
        <v>658</v>
      </c>
      <c r="EK30" s="763">
        <v>1</v>
      </c>
      <c r="EL30" s="584">
        <v>658</v>
      </c>
      <c r="EM30" s="763">
        <v>1</v>
      </c>
      <c r="EN30" s="584">
        <v>658</v>
      </c>
      <c r="EO30" s="763">
        <v>1</v>
      </c>
      <c r="EP30" s="584">
        <v>658</v>
      </c>
      <c r="EQ30" s="763">
        <v>1</v>
      </c>
      <c r="ER30" s="584">
        <v>658</v>
      </c>
      <c r="ES30" s="763">
        <v>1</v>
      </c>
      <c r="ET30" s="584">
        <v>658</v>
      </c>
      <c r="EU30" s="763">
        <v>1</v>
      </c>
      <c r="EV30" s="584">
        <v>658</v>
      </c>
      <c r="EW30" s="763"/>
      <c r="EX30" s="584"/>
      <c r="EY30" s="763"/>
      <c r="EZ30" s="584"/>
      <c r="FA30" s="763"/>
      <c r="FB30" s="584"/>
      <c r="FC30" s="763"/>
      <c r="FD30" s="584"/>
      <c r="FE30" s="763"/>
      <c r="FF30" s="584"/>
      <c r="FG30" s="763"/>
      <c r="FH30" s="586"/>
      <c r="FI30" s="560"/>
      <c r="FJ30" s="561"/>
      <c r="FK30" s="757" t="s">
        <v>397</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362</v>
      </c>
      <c r="GV30" s="773"/>
      <c r="GW30" s="774" t="s">
        <v>473</v>
      </c>
      <c r="GX30" s="774"/>
      <c r="GY30" s="774"/>
      <c r="GZ30" s="774"/>
      <c r="HA30" s="775"/>
      <c r="HB30" s="776" t="s">
        <v>474</v>
      </c>
      <c r="HC30" s="576"/>
      <c r="HD30" s="559"/>
      <c r="HE30" s="416"/>
      <c r="HF30" s="416"/>
    </row>
    <row r="31" spans="1:218" ht="20.100000000000001" customHeight="1">
      <c r="A31" s="549"/>
      <c r="B31" s="777" t="s">
        <v>398</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398</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398</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398</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399</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399</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399</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399</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400</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1730</v>
      </c>
      <c r="Y33" s="643"/>
      <c r="Z33" s="642">
        <v>1730</v>
      </c>
      <c r="AA33" s="643"/>
      <c r="AB33" s="642">
        <v>1730</v>
      </c>
      <c r="AC33" s="643"/>
      <c r="AD33" s="642">
        <v>1523</v>
      </c>
      <c r="AE33" s="643"/>
      <c r="AF33" s="642">
        <v>1730</v>
      </c>
      <c r="AG33" s="643"/>
      <c r="AH33" s="642">
        <v>1730</v>
      </c>
      <c r="AI33" s="643"/>
      <c r="AJ33" s="642">
        <v>1730</v>
      </c>
      <c r="AK33" s="643"/>
      <c r="AL33" s="642">
        <v>1730</v>
      </c>
      <c r="AM33" s="643"/>
      <c r="AN33" s="642">
        <v>1730</v>
      </c>
      <c r="AO33" s="643"/>
      <c r="AP33" s="642">
        <v>1730</v>
      </c>
      <c r="AQ33" s="643"/>
      <c r="AR33" s="642">
        <v>0</v>
      </c>
      <c r="AS33" s="643"/>
      <c r="AT33" s="642">
        <v>0</v>
      </c>
      <c r="AU33" s="643"/>
      <c r="AV33" s="642">
        <v>0</v>
      </c>
      <c r="AW33" s="643"/>
      <c r="AX33" s="642">
        <v>0</v>
      </c>
      <c r="AY33" s="643"/>
      <c r="AZ33" s="642">
        <v>0</v>
      </c>
      <c r="BA33" s="643"/>
      <c r="BB33" s="644">
        <v>0</v>
      </c>
      <c r="BC33" s="645"/>
      <c r="BD33" s="638"/>
      <c r="BE33" s="639"/>
      <c r="BF33" s="639"/>
      <c r="BG33" s="640" t="s">
        <v>400</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1730</v>
      </c>
      <c r="CB33" s="643"/>
      <c r="CC33" s="642">
        <v>1730</v>
      </c>
      <c r="CD33" s="643"/>
      <c r="CE33" s="642">
        <v>1730</v>
      </c>
      <c r="CF33" s="643"/>
      <c r="CG33" s="642">
        <v>1523</v>
      </c>
      <c r="CH33" s="643"/>
      <c r="CI33" s="642">
        <v>1730</v>
      </c>
      <c r="CJ33" s="643"/>
      <c r="CK33" s="642">
        <v>1730</v>
      </c>
      <c r="CL33" s="643"/>
      <c r="CM33" s="642">
        <v>1730</v>
      </c>
      <c r="CN33" s="643"/>
      <c r="CO33" s="642">
        <v>1730</v>
      </c>
      <c r="CP33" s="643"/>
      <c r="CQ33" s="642">
        <v>1730</v>
      </c>
      <c r="CR33" s="643"/>
      <c r="CS33" s="642">
        <v>1730</v>
      </c>
      <c r="CT33" s="643"/>
      <c r="CU33" s="642">
        <v>0</v>
      </c>
      <c r="CV33" s="643"/>
      <c r="CW33" s="642">
        <v>0</v>
      </c>
      <c r="CX33" s="643"/>
      <c r="CY33" s="642">
        <v>0</v>
      </c>
      <c r="CZ33" s="643"/>
      <c r="DA33" s="642">
        <v>0</v>
      </c>
      <c r="DB33" s="643"/>
      <c r="DC33" s="642">
        <v>0</v>
      </c>
      <c r="DD33" s="643"/>
      <c r="DE33" s="644">
        <v>0</v>
      </c>
      <c r="DF33" s="645"/>
      <c r="DG33" s="638"/>
      <c r="DH33" s="639"/>
      <c r="DI33" s="639"/>
      <c r="DJ33" s="640" t="s">
        <v>400</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1730</v>
      </c>
      <c r="EE33" s="643"/>
      <c r="EF33" s="642">
        <v>1730</v>
      </c>
      <c r="EG33" s="643"/>
      <c r="EH33" s="642">
        <v>1730</v>
      </c>
      <c r="EI33" s="643"/>
      <c r="EJ33" s="642">
        <v>1523</v>
      </c>
      <c r="EK33" s="643"/>
      <c r="EL33" s="642">
        <v>1730</v>
      </c>
      <c r="EM33" s="643"/>
      <c r="EN33" s="642">
        <v>1730</v>
      </c>
      <c r="EO33" s="643"/>
      <c r="EP33" s="642">
        <v>1730</v>
      </c>
      <c r="EQ33" s="643"/>
      <c r="ER33" s="642">
        <v>1730</v>
      </c>
      <c r="ES33" s="643"/>
      <c r="ET33" s="642">
        <v>1730</v>
      </c>
      <c r="EU33" s="643"/>
      <c r="EV33" s="642">
        <v>1730</v>
      </c>
      <c r="EW33" s="643"/>
      <c r="EX33" s="642">
        <v>0</v>
      </c>
      <c r="EY33" s="643"/>
      <c r="EZ33" s="642">
        <v>0</v>
      </c>
      <c r="FA33" s="643"/>
      <c r="FB33" s="642">
        <v>0</v>
      </c>
      <c r="FC33" s="643"/>
      <c r="FD33" s="642">
        <v>0</v>
      </c>
      <c r="FE33" s="643"/>
      <c r="FF33" s="642">
        <v>0</v>
      </c>
      <c r="FG33" s="643"/>
      <c r="FH33" s="644">
        <v>0</v>
      </c>
      <c r="FI33" s="646"/>
      <c r="FJ33" s="561"/>
      <c r="FK33" s="639"/>
      <c r="FL33" s="639"/>
      <c r="FM33" s="640" t="s">
        <v>400</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201</v>
      </c>
      <c r="GV33" s="805"/>
      <c r="GW33" s="806">
        <v>45.36</v>
      </c>
      <c r="GX33" s="807">
        <v>42.839999999999996</v>
      </c>
      <c r="GY33" s="807">
        <v>85.789999999999992</v>
      </c>
      <c r="GZ33" s="807">
        <v>0</v>
      </c>
      <c r="HA33" s="807">
        <v>173.98999999999998</v>
      </c>
      <c r="HB33" s="808">
        <v>54.8</v>
      </c>
      <c r="HC33" s="414"/>
      <c r="HD33" s="645"/>
      <c r="HE33" s="416"/>
      <c r="HF33" s="416"/>
    </row>
    <row r="34" spans="1:219" ht="20.100000000000001" customHeight="1">
      <c r="A34" s="809" t="s">
        <v>401</v>
      </c>
      <c r="B34" s="736"/>
      <c r="C34" s="810"/>
      <c r="D34" s="811"/>
      <c r="E34" s="810"/>
      <c r="F34" s="812"/>
      <c r="G34" s="733" t="s">
        <v>402</v>
      </c>
      <c r="H34" s="660" t="s">
        <v>390</v>
      </c>
      <c r="I34" s="734" t="s">
        <v>402</v>
      </c>
      <c r="J34" s="660" t="s">
        <v>390</v>
      </c>
      <c r="K34" s="735" t="s">
        <v>402</v>
      </c>
      <c r="L34" s="660" t="s">
        <v>390</v>
      </c>
      <c r="M34" s="735" t="s">
        <v>402</v>
      </c>
      <c r="N34" s="660" t="s">
        <v>390</v>
      </c>
      <c r="O34" s="735" t="s">
        <v>402</v>
      </c>
      <c r="P34" s="660" t="s">
        <v>390</v>
      </c>
      <c r="Q34" s="735" t="s">
        <v>402</v>
      </c>
      <c r="R34" s="660" t="s">
        <v>390</v>
      </c>
      <c r="S34" s="735" t="s">
        <v>402</v>
      </c>
      <c r="T34" s="660" t="s">
        <v>390</v>
      </c>
      <c r="U34" s="735" t="s">
        <v>402</v>
      </c>
      <c r="V34" s="660" t="s">
        <v>390</v>
      </c>
      <c r="W34" s="735" t="s">
        <v>402</v>
      </c>
      <c r="X34" s="660" t="s">
        <v>390</v>
      </c>
      <c r="Y34" s="735" t="s">
        <v>402</v>
      </c>
      <c r="Z34" s="660" t="s">
        <v>390</v>
      </c>
      <c r="AA34" s="735" t="s">
        <v>402</v>
      </c>
      <c r="AB34" s="660" t="s">
        <v>390</v>
      </c>
      <c r="AC34" s="735" t="s">
        <v>402</v>
      </c>
      <c r="AD34" s="660" t="s">
        <v>390</v>
      </c>
      <c r="AE34" s="735" t="s">
        <v>402</v>
      </c>
      <c r="AF34" s="660" t="s">
        <v>390</v>
      </c>
      <c r="AG34" s="735" t="s">
        <v>402</v>
      </c>
      <c r="AH34" s="660" t="s">
        <v>390</v>
      </c>
      <c r="AI34" s="735" t="s">
        <v>402</v>
      </c>
      <c r="AJ34" s="660" t="s">
        <v>390</v>
      </c>
      <c r="AK34" s="735" t="s">
        <v>402</v>
      </c>
      <c r="AL34" s="660" t="s">
        <v>390</v>
      </c>
      <c r="AM34" s="735" t="s">
        <v>402</v>
      </c>
      <c r="AN34" s="660" t="s">
        <v>390</v>
      </c>
      <c r="AO34" s="735" t="s">
        <v>402</v>
      </c>
      <c r="AP34" s="660" t="s">
        <v>390</v>
      </c>
      <c r="AQ34" s="735" t="s">
        <v>402</v>
      </c>
      <c r="AR34" s="660" t="s">
        <v>390</v>
      </c>
      <c r="AS34" s="735" t="s">
        <v>402</v>
      </c>
      <c r="AT34" s="660" t="s">
        <v>390</v>
      </c>
      <c r="AU34" s="735" t="s">
        <v>402</v>
      </c>
      <c r="AV34" s="660" t="s">
        <v>390</v>
      </c>
      <c r="AW34" s="735" t="s">
        <v>402</v>
      </c>
      <c r="AX34" s="660" t="s">
        <v>390</v>
      </c>
      <c r="AY34" s="735" t="s">
        <v>402</v>
      </c>
      <c r="AZ34" s="660" t="s">
        <v>390</v>
      </c>
      <c r="BA34" s="735" t="s">
        <v>402</v>
      </c>
      <c r="BB34" s="662" t="s">
        <v>390</v>
      </c>
      <c r="BC34" s="716"/>
      <c r="BD34" s="809" t="s">
        <v>401</v>
      </c>
      <c r="BE34" s="731"/>
      <c r="BF34" s="813"/>
      <c r="BG34" s="814"/>
      <c r="BH34" s="813"/>
      <c r="BI34" s="815"/>
      <c r="BJ34" s="733" t="s">
        <v>402</v>
      </c>
      <c r="BK34" s="660" t="s">
        <v>390</v>
      </c>
      <c r="BL34" s="734" t="s">
        <v>402</v>
      </c>
      <c r="BM34" s="660" t="s">
        <v>390</v>
      </c>
      <c r="BN34" s="735" t="s">
        <v>402</v>
      </c>
      <c r="BO34" s="660" t="s">
        <v>390</v>
      </c>
      <c r="BP34" s="735" t="s">
        <v>402</v>
      </c>
      <c r="BQ34" s="660" t="s">
        <v>390</v>
      </c>
      <c r="BR34" s="735" t="s">
        <v>402</v>
      </c>
      <c r="BS34" s="660" t="s">
        <v>390</v>
      </c>
      <c r="BT34" s="735" t="s">
        <v>402</v>
      </c>
      <c r="BU34" s="660" t="s">
        <v>390</v>
      </c>
      <c r="BV34" s="735" t="s">
        <v>402</v>
      </c>
      <c r="BW34" s="660" t="s">
        <v>390</v>
      </c>
      <c r="BX34" s="735" t="s">
        <v>402</v>
      </c>
      <c r="BY34" s="660" t="s">
        <v>390</v>
      </c>
      <c r="BZ34" s="735" t="s">
        <v>402</v>
      </c>
      <c r="CA34" s="660" t="s">
        <v>390</v>
      </c>
      <c r="CB34" s="735" t="s">
        <v>402</v>
      </c>
      <c r="CC34" s="660" t="s">
        <v>390</v>
      </c>
      <c r="CD34" s="735" t="s">
        <v>402</v>
      </c>
      <c r="CE34" s="660" t="s">
        <v>390</v>
      </c>
      <c r="CF34" s="735" t="s">
        <v>402</v>
      </c>
      <c r="CG34" s="660" t="s">
        <v>390</v>
      </c>
      <c r="CH34" s="735" t="s">
        <v>402</v>
      </c>
      <c r="CI34" s="660" t="s">
        <v>390</v>
      </c>
      <c r="CJ34" s="735" t="s">
        <v>402</v>
      </c>
      <c r="CK34" s="660" t="s">
        <v>390</v>
      </c>
      <c r="CL34" s="735" t="s">
        <v>402</v>
      </c>
      <c r="CM34" s="660" t="s">
        <v>390</v>
      </c>
      <c r="CN34" s="735" t="s">
        <v>402</v>
      </c>
      <c r="CO34" s="660" t="s">
        <v>390</v>
      </c>
      <c r="CP34" s="735" t="s">
        <v>402</v>
      </c>
      <c r="CQ34" s="660" t="s">
        <v>390</v>
      </c>
      <c r="CR34" s="735" t="s">
        <v>402</v>
      </c>
      <c r="CS34" s="660" t="s">
        <v>390</v>
      </c>
      <c r="CT34" s="735" t="s">
        <v>402</v>
      </c>
      <c r="CU34" s="660" t="s">
        <v>390</v>
      </c>
      <c r="CV34" s="735" t="s">
        <v>402</v>
      </c>
      <c r="CW34" s="660" t="s">
        <v>390</v>
      </c>
      <c r="CX34" s="735" t="s">
        <v>402</v>
      </c>
      <c r="CY34" s="660" t="s">
        <v>390</v>
      </c>
      <c r="CZ34" s="735" t="s">
        <v>402</v>
      </c>
      <c r="DA34" s="660" t="s">
        <v>390</v>
      </c>
      <c r="DB34" s="735" t="s">
        <v>402</v>
      </c>
      <c r="DC34" s="660" t="s">
        <v>390</v>
      </c>
      <c r="DD34" s="735" t="s">
        <v>402</v>
      </c>
      <c r="DE34" s="662" t="s">
        <v>390</v>
      </c>
      <c r="DF34" s="716"/>
      <c r="DG34" s="809" t="s">
        <v>401</v>
      </c>
      <c r="DH34" s="731"/>
      <c r="DI34" s="813"/>
      <c r="DJ34" s="814"/>
      <c r="DK34" s="813"/>
      <c r="DL34" s="815"/>
      <c r="DM34" s="733" t="s">
        <v>402</v>
      </c>
      <c r="DN34" s="660" t="s">
        <v>390</v>
      </c>
      <c r="DO34" s="734" t="s">
        <v>402</v>
      </c>
      <c r="DP34" s="660" t="s">
        <v>390</v>
      </c>
      <c r="DQ34" s="735" t="s">
        <v>402</v>
      </c>
      <c r="DR34" s="660" t="s">
        <v>390</v>
      </c>
      <c r="DS34" s="735" t="s">
        <v>402</v>
      </c>
      <c r="DT34" s="660" t="s">
        <v>390</v>
      </c>
      <c r="DU34" s="735" t="s">
        <v>402</v>
      </c>
      <c r="DV34" s="660" t="s">
        <v>390</v>
      </c>
      <c r="DW34" s="735" t="s">
        <v>402</v>
      </c>
      <c r="DX34" s="660" t="s">
        <v>390</v>
      </c>
      <c r="DY34" s="735" t="s">
        <v>402</v>
      </c>
      <c r="DZ34" s="660" t="s">
        <v>390</v>
      </c>
      <c r="EA34" s="735" t="s">
        <v>402</v>
      </c>
      <c r="EB34" s="660" t="s">
        <v>390</v>
      </c>
      <c r="EC34" s="735" t="s">
        <v>402</v>
      </c>
      <c r="ED34" s="660" t="s">
        <v>390</v>
      </c>
      <c r="EE34" s="735" t="s">
        <v>402</v>
      </c>
      <c r="EF34" s="660" t="s">
        <v>390</v>
      </c>
      <c r="EG34" s="735" t="s">
        <v>402</v>
      </c>
      <c r="EH34" s="660" t="s">
        <v>390</v>
      </c>
      <c r="EI34" s="735" t="s">
        <v>402</v>
      </c>
      <c r="EJ34" s="660" t="s">
        <v>390</v>
      </c>
      <c r="EK34" s="735" t="s">
        <v>402</v>
      </c>
      <c r="EL34" s="660" t="s">
        <v>390</v>
      </c>
      <c r="EM34" s="735" t="s">
        <v>402</v>
      </c>
      <c r="EN34" s="660" t="s">
        <v>390</v>
      </c>
      <c r="EO34" s="735" t="s">
        <v>402</v>
      </c>
      <c r="EP34" s="660" t="s">
        <v>390</v>
      </c>
      <c r="EQ34" s="735" t="s">
        <v>402</v>
      </c>
      <c r="ER34" s="660" t="s">
        <v>390</v>
      </c>
      <c r="ES34" s="735" t="s">
        <v>402</v>
      </c>
      <c r="ET34" s="660" t="s">
        <v>390</v>
      </c>
      <c r="EU34" s="735" t="s">
        <v>402</v>
      </c>
      <c r="EV34" s="660" t="s">
        <v>390</v>
      </c>
      <c r="EW34" s="735" t="s">
        <v>402</v>
      </c>
      <c r="EX34" s="660" t="s">
        <v>390</v>
      </c>
      <c r="EY34" s="735" t="s">
        <v>402</v>
      </c>
      <c r="EZ34" s="660" t="s">
        <v>390</v>
      </c>
      <c r="FA34" s="735" t="s">
        <v>402</v>
      </c>
      <c r="FB34" s="660" t="s">
        <v>390</v>
      </c>
      <c r="FC34" s="735" t="s">
        <v>402</v>
      </c>
      <c r="FD34" s="660" t="s">
        <v>390</v>
      </c>
      <c r="FE34" s="735" t="s">
        <v>402</v>
      </c>
      <c r="FF34" s="660" t="s">
        <v>390</v>
      </c>
      <c r="FG34" s="735" t="s">
        <v>402</v>
      </c>
      <c r="FH34" s="662" t="s">
        <v>390</v>
      </c>
      <c r="FI34" s="739"/>
      <c r="FJ34" s="816" t="s">
        <v>401</v>
      </c>
      <c r="FK34" s="731"/>
      <c r="FL34" s="813"/>
      <c r="FM34" s="814"/>
      <c r="FN34" s="813"/>
      <c r="FO34" s="815"/>
      <c r="FP34" s="740" t="s">
        <v>392</v>
      </c>
      <c r="FQ34" s="666" t="s">
        <v>402</v>
      </c>
      <c r="FR34" s="660" t="s">
        <v>393</v>
      </c>
      <c r="FS34" s="741" t="s">
        <v>392</v>
      </c>
      <c r="FT34" s="666" t="s">
        <v>402</v>
      </c>
      <c r="FU34" s="668" t="s">
        <v>393</v>
      </c>
      <c r="FV34" s="590"/>
      <c r="FW34" s="591"/>
      <c r="FX34" s="799"/>
      <c r="FY34" s="593"/>
      <c r="FZ34" s="800"/>
      <c r="GA34" s="595"/>
      <c r="GB34" s="801"/>
      <c r="GC34" s="597"/>
      <c r="GD34" s="801"/>
      <c r="GE34" s="598"/>
      <c r="GF34" s="742"/>
      <c r="GG34" s="743"/>
      <c r="GH34" s="743"/>
      <c r="GI34" s="743"/>
      <c r="GJ34" s="576"/>
      <c r="GK34" s="817" t="s">
        <v>481</v>
      </c>
      <c r="GL34" s="817"/>
      <c r="GM34" s="817"/>
      <c r="GN34" s="817"/>
      <c r="GO34" s="817"/>
      <c r="GP34" s="817"/>
      <c r="GQ34" s="612">
        <v>9.6</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403</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317</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317</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317</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404</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404</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404</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404</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483</v>
      </c>
      <c r="GL36" s="817"/>
      <c r="GM36" s="817"/>
      <c r="GN36" s="817"/>
      <c r="GO36" s="817"/>
      <c r="GP36" s="817"/>
      <c r="GQ36" s="612">
        <v>19.399999999999999</v>
      </c>
      <c r="GR36" s="576" t="s">
        <v>462</v>
      </c>
      <c r="GS36" s="527"/>
      <c r="GT36" s="756"/>
      <c r="GU36" s="818"/>
      <c r="GV36" s="819"/>
      <c r="GW36" s="820"/>
      <c r="GX36" s="630"/>
      <c r="GY36" s="630"/>
      <c r="GZ36" s="630"/>
      <c r="HA36" s="630"/>
      <c r="HB36" s="631"/>
      <c r="HC36" s="527"/>
      <c r="HD36" s="645"/>
      <c r="HE36" s="416"/>
      <c r="HF36" s="416"/>
    </row>
    <row r="37" spans="1:219" ht="24" customHeight="1">
      <c r="A37" s="842" t="s">
        <v>405</v>
      </c>
      <c r="B37" s="843"/>
      <c r="C37" s="844" t="s">
        <v>406</v>
      </c>
      <c r="D37" s="845"/>
      <c r="E37" s="846" t="s">
        <v>407</v>
      </c>
      <c r="F37" s="847"/>
      <c r="G37" s="659" t="s">
        <v>402</v>
      </c>
      <c r="H37" s="660" t="s">
        <v>408</v>
      </c>
      <c r="I37" s="661" t="s">
        <v>402</v>
      </c>
      <c r="J37" s="660" t="s">
        <v>409</v>
      </c>
      <c r="K37" s="661" t="s">
        <v>402</v>
      </c>
      <c r="L37" s="660" t="s">
        <v>409</v>
      </c>
      <c r="M37" s="661" t="s">
        <v>402</v>
      </c>
      <c r="N37" s="660" t="s">
        <v>409</v>
      </c>
      <c r="O37" s="661" t="s">
        <v>402</v>
      </c>
      <c r="P37" s="660" t="s">
        <v>409</v>
      </c>
      <c r="Q37" s="661" t="s">
        <v>402</v>
      </c>
      <c r="R37" s="660" t="s">
        <v>409</v>
      </c>
      <c r="S37" s="661" t="s">
        <v>402</v>
      </c>
      <c r="T37" s="660" t="s">
        <v>409</v>
      </c>
      <c r="U37" s="661" t="s">
        <v>402</v>
      </c>
      <c r="V37" s="660" t="s">
        <v>409</v>
      </c>
      <c r="W37" s="661" t="s">
        <v>402</v>
      </c>
      <c r="X37" s="660" t="s">
        <v>409</v>
      </c>
      <c r="Y37" s="661" t="s">
        <v>402</v>
      </c>
      <c r="Z37" s="660" t="s">
        <v>409</v>
      </c>
      <c r="AA37" s="661" t="s">
        <v>402</v>
      </c>
      <c r="AB37" s="660" t="s">
        <v>409</v>
      </c>
      <c r="AC37" s="661" t="s">
        <v>402</v>
      </c>
      <c r="AD37" s="660" t="s">
        <v>409</v>
      </c>
      <c r="AE37" s="661" t="s">
        <v>402</v>
      </c>
      <c r="AF37" s="660" t="s">
        <v>409</v>
      </c>
      <c r="AG37" s="661" t="s">
        <v>402</v>
      </c>
      <c r="AH37" s="660" t="s">
        <v>409</v>
      </c>
      <c r="AI37" s="661" t="s">
        <v>402</v>
      </c>
      <c r="AJ37" s="660" t="s">
        <v>409</v>
      </c>
      <c r="AK37" s="661" t="s">
        <v>402</v>
      </c>
      <c r="AL37" s="660" t="s">
        <v>409</v>
      </c>
      <c r="AM37" s="661" t="s">
        <v>402</v>
      </c>
      <c r="AN37" s="660" t="s">
        <v>409</v>
      </c>
      <c r="AO37" s="661" t="s">
        <v>402</v>
      </c>
      <c r="AP37" s="660" t="s">
        <v>409</v>
      </c>
      <c r="AQ37" s="661" t="s">
        <v>402</v>
      </c>
      <c r="AR37" s="660" t="s">
        <v>409</v>
      </c>
      <c r="AS37" s="661" t="s">
        <v>402</v>
      </c>
      <c r="AT37" s="660" t="s">
        <v>409</v>
      </c>
      <c r="AU37" s="661" t="s">
        <v>402</v>
      </c>
      <c r="AV37" s="660" t="s">
        <v>409</v>
      </c>
      <c r="AW37" s="661" t="s">
        <v>402</v>
      </c>
      <c r="AX37" s="660" t="s">
        <v>409</v>
      </c>
      <c r="AY37" s="661" t="s">
        <v>402</v>
      </c>
      <c r="AZ37" s="660" t="s">
        <v>409</v>
      </c>
      <c r="BA37" s="661" t="s">
        <v>402</v>
      </c>
      <c r="BB37" s="662" t="s">
        <v>409</v>
      </c>
      <c r="BC37" s="716"/>
      <c r="BD37" s="842" t="s">
        <v>405</v>
      </c>
      <c r="BE37" s="843"/>
      <c r="BF37" s="844" t="s">
        <v>406</v>
      </c>
      <c r="BG37" s="845"/>
      <c r="BH37" s="846" t="s">
        <v>407</v>
      </c>
      <c r="BI37" s="847"/>
      <c r="BJ37" s="659" t="s">
        <v>402</v>
      </c>
      <c r="BK37" s="660" t="s">
        <v>408</v>
      </c>
      <c r="BL37" s="661" t="s">
        <v>402</v>
      </c>
      <c r="BM37" s="660" t="s">
        <v>409</v>
      </c>
      <c r="BN37" s="661" t="s">
        <v>402</v>
      </c>
      <c r="BO37" s="660" t="s">
        <v>409</v>
      </c>
      <c r="BP37" s="661" t="s">
        <v>402</v>
      </c>
      <c r="BQ37" s="660" t="s">
        <v>409</v>
      </c>
      <c r="BR37" s="661" t="s">
        <v>402</v>
      </c>
      <c r="BS37" s="660" t="s">
        <v>409</v>
      </c>
      <c r="BT37" s="661" t="s">
        <v>402</v>
      </c>
      <c r="BU37" s="660" t="s">
        <v>409</v>
      </c>
      <c r="BV37" s="661" t="s">
        <v>402</v>
      </c>
      <c r="BW37" s="660" t="s">
        <v>409</v>
      </c>
      <c r="BX37" s="661" t="s">
        <v>402</v>
      </c>
      <c r="BY37" s="660" t="s">
        <v>409</v>
      </c>
      <c r="BZ37" s="661" t="s">
        <v>402</v>
      </c>
      <c r="CA37" s="660" t="s">
        <v>409</v>
      </c>
      <c r="CB37" s="661" t="s">
        <v>402</v>
      </c>
      <c r="CC37" s="660" t="s">
        <v>409</v>
      </c>
      <c r="CD37" s="661" t="s">
        <v>402</v>
      </c>
      <c r="CE37" s="660" t="s">
        <v>409</v>
      </c>
      <c r="CF37" s="661" t="s">
        <v>402</v>
      </c>
      <c r="CG37" s="660" t="s">
        <v>409</v>
      </c>
      <c r="CH37" s="661" t="s">
        <v>402</v>
      </c>
      <c r="CI37" s="660" t="s">
        <v>409</v>
      </c>
      <c r="CJ37" s="661" t="s">
        <v>402</v>
      </c>
      <c r="CK37" s="660" t="s">
        <v>409</v>
      </c>
      <c r="CL37" s="661" t="s">
        <v>402</v>
      </c>
      <c r="CM37" s="660" t="s">
        <v>409</v>
      </c>
      <c r="CN37" s="661" t="s">
        <v>402</v>
      </c>
      <c r="CO37" s="660" t="s">
        <v>409</v>
      </c>
      <c r="CP37" s="661" t="s">
        <v>402</v>
      </c>
      <c r="CQ37" s="660" t="s">
        <v>409</v>
      </c>
      <c r="CR37" s="661" t="s">
        <v>402</v>
      </c>
      <c r="CS37" s="660" t="s">
        <v>409</v>
      </c>
      <c r="CT37" s="661" t="s">
        <v>402</v>
      </c>
      <c r="CU37" s="660" t="s">
        <v>409</v>
      </c>
      <c r="CV37" s="661" t="s">
        <v>402</v>
      </c>
      <c r="CW37" s="660" t="s">
        <v>409</v>
      </c>
      <c r="CX37" s="661" t="s">
        <v>402</v>
      </c>
      <c r="CY37" s="660" t="s">
        <v>409</v>
      </c>
      <c r="CZ37" s="661" t="s">
        <v>402</v>
      </c>
      <c r="DA37" s="660" t="s">
        <v>409</v>
      </c>
      <c r="DB37" s="661" t="s">
        <v>402</v>
      </c>
      <c r="DC37" s="660" t="s">
        <v>409</v>
      </c>
      <c r="DD37" s="661" t="s">
        <v>402</v>
      </c>
      <c r="DE37" s="662" t="s">
        <v>409</v>
      </c>
      <c r="DF37" s="716"/>
      <c r="DG37" s="842" t="s">
        <v>405</v>
      </c>
      <c r="DH37" s="843"/>
      <c r="DI37" s="844" t="s">
        <v>406</v>
      </c>
      <c r="DJ37" s="845"/>
      <c r="DK37" s="846" t="s">
        <v>407</v>
      </c>
      <c r="DL37" s="847"/>
      <c r="DM37" s="659" t="s">
        <v>402</v>
      </c>
      <c r="DN37" s="660" t="s">
        <v>408</v>
      </c>
      <c r="DO37" s="661" t="s">
        <v>402</v>
      </c>
      <c r="DP37" s="660" t="s">
        <v>409</v>
      </c>
      <c r="DQ37" s="661" t="s">
        <v>402</v>
      </c>
      <c r="DR37" s="660" t="s">
        <v>409</v>
      </c>
      <c r="DS37" s="661" t="s">
        <v>402</v>
      </c>
      <c r="DT37" s="660" t="s">
        <v>409</v>
      </c>
      <c r="DU37" s="661" t="s">
        <v>402</v>
      </c>
      <c r="DV37" s="660" t="s">
        <v>409</v>
      </c>
      <c r="DW37" s="661" t="s">
        <v>402</v>
      </c>
      <c r="DX37" s="660" t="s">
        <v>409</v>
      </c>
      <c r="DY37" s="661" t="s">
        <v>402</v>
      </c>
      <c r="DZ37" s="660" t="s">
        <v>409</v>
      </c>
      <c r="EA37" s="661" t="s">
        <v>402</v>
      </c>
      <c r="EB37" s="660" t="s">
        <v>409</v>
      </c>
      <c r="EC37" s="661" t="s">
        <v>402</v>
      </c>
      <c r="ED37" s="660" t="s">
        <v>409</v>
      </c>
      <c r="EE37" s="661" t="s">
        <v>402</v>
      </c>
      <c r="EF37" s="660" t="s">
        <v>409</v>
      </c>
      <c r="EG37" s="661" t="s">
        <v>402</v>
      </c>
      <c r="EH37" s="660" t="s">
        <v>409</v>
      </c>
      <c r="EI37" s="661" t="s">
        <v>402</v>
      </c>
      <c r="EJ37" s="660" t="s">
        <v>409</v>
      </c>
      <c r="EK37" s="661" t="s">
        <v>402</v>
      </c>
      <c r="EL37" s="660" t="s">
        <v>409</v>
      </c>
      <c r="EM37" s="661" t="s">
        <v>402</v>
      </c>
      <c r="EN37" s="660" t="s">
        <v>409</v>
      </c>
      <c r="EO37" s="661" t="s">
        <v>402</v>
      </c>
      <c r="EP37" s="660" t="s">
        <v>409</v>
      </c>
      <c r="EQ37" s="661" t="s">
        <v>402</v>
      </c>
      <c r="ER37" s="660" t="s">
        <v>409</v>
      </c>
      <c r="ES37" s="661" t="s">
        <v>402</v>
      </c>
      <c r="ET37" s="660" t="s">
        <v>409</v>
      </c>
      <c r="EU37" s="661" t="s">
        <v>402</v>
      </c>
      <c r="EV37" s="660" t="s">
        <v>409</v>
      </c>
      <c r="EW37" s="661" t="s">
        <v>402</v>
      </c>
      <c r="EX37" s="660" t="s">
        <v>409</v>
      </c>
      <c r="EY37" s="661" t="s">
        <v>402</v>
      </c>
      <c r="EZ37" s="660" t="s">
        <v>409</v>
      </c>
      <c r="FA37" s="661" t="s">
        <v>402</v>
      </c>
      <c r="FB37" s="660" t="s">
        <v>409</v>
      </c>
      <c r="FC37" s="661" t="s">
        <v>402</v>
      </c>
      <c r="FD37" s="660" t="s">
        <v>409</v>
      </c>
      <c r="FE37" s="661" t="s">
        <v>402</v>
      </c>
      <c r="FF37" s="660" t="s">
        <v>409</v>
      </c>
      <c r="FG37" s="661" t="s">
        <v>402</v>
      </c>
      <c r="FH37" s="662" t="s">
        <v>409</v>
      </c>
      <c r="FI37" s="739"/>
      <c r="FJ37" s="816" t="s">
        <v>405</v>
      </c>
      <c r="FK37" s="843"/>
      <c r="FL37" s="844" t="s">
        <v>406</v>
      </c>
      <c r="FM37" s="845"/>
      <c r="FN37" s="846" t="s">
        <v>407</v>
      </c>
      <c r="FO37" s="847"/>
      <c r="FP37" s="665"/>
      <c r="FQ37" s="848" t="s">
        <v>410</v>
      </c>
      <c r="FR37" s="660" t="s">
        <v>409</v>
      </c>
      <c r="FS37" s="667"/>
      <c r="FT37" s="848" t="s">
        <v>410</v>
      </c>
      <c r="FU37" s="668" t="s">
        <v>409</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411</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173.98999999999998</v>
      </c>
      <c r="HB38" s="864">
        <v>54.8</v>
      </c>
      <c r="HC38" s="527"/>
      <c r="HD38" s="527"/>
      <c r="HE38" s="388"/>
      <c r="HF38" s="388"/>
      <c r="HK38" s="416"/>
    </row>
    <row r="39" spans="1:219" ht="20.100000000000001" customHeight="1">
      <c r="A39" s="821"/>
      <c r="B39" s="865" t="s">
        <v>412</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3.18</v>
      </c>
      <c r="HB39" s="576"/>
      <c r="HC39" s="527"/>
      <c r="HD39" s="559"/>
    </row>
    <row r="40" spans="1:219" ht="20.100000000000001" customHeight="1">
      <c r="A40" s="878"/>
      <c r="B40" s="639"/>
      <c r="C40" s="639"/>
      <c r="D40" s="640" t="s">
        <v>413</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413</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413</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413</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511</v>
      </c>
      <c r="GV40" s="527"/>
      <c r="GW40" s="527"/>
      <c r="GX40" s="527"/>
      <c r="GY40" s="527"/>
      <c r="GZ40" s="527"/>
      <c r="HA40" s="883">
        <v>56.4</v>
      </c>
      <c r="HB40" s="414"/>
      <c r="HC40" s="527"/>
      <c r="HD40" s="577"/>
      <c r="HK40" s="416"/>
    </row>
    <row r="41" spans="1:219" ht="20.100000000000001" customHeight="1">
      <c r="A41" s="851" t="s">
        <v>414</v>
      </c>
      <c r="B41" s="731"/>
      <c r="C41" s="884"/>
      <c r="D41" s="884"/>
      <c r="E41" s="884"/>
      <c r="F41" s="885"/>
      <c r="G41" s="733"/>
      <c r="H41" s="660" t="s">
        <v>390</v>
      </c>
      <c r="I41" s="734"/>
      <c r="J41" s="660" t="s">
        <v>390</v>
      </c>
      <c r="K41" s="735"/>
      <c r="L41" s="660" t="s">
        <v>390</v>
      </c>
      <c r="M41" s="735"/>
      <c r="N41" s="660" t="s">
        <v>390</v>
      </c>
      <c r="O41" s="735"/>
      <c r="P41" s="660" t="s">
        <v>390</v>
      </c>
      <c r="Q41" s="735"/>
      <c r="R41" s="660" t="s">
        <v>390</v>
      </c>
      <c r="S41" s="735"/>
      <c r="T41" s="660" t="s">
        <v>390</v>
      </c>
      <c r="U41" s="735"/>
      <c r="V41" s="660" t="s">
        <v>390</v>
      </c>
      <c r="W41" s="735"/>
      <c r="X41" s="660" t="s">
        <v>390</v>
      </c>
      <c r="Y41" s="735" t="s">
        <v>402</v>
      </c>
      <c r="Z41" s="660" t="s">
        <v>390</v>
      </c>
      <c r="AA41" s="735" t="s">
        <v>402</v>
      </c>
      <c r="AB41" s="660" t="s">
        <v>390</v>
      </c>
      <c r="AC41" s="735"/>
      <c r="AD41" s="660" t="s">
        <v>390</v>
      </c>
      <c r="AE41" s="735"/>
      <c r="AF41" s="660" t="s">
        <v>390</v>
      </c>
      <c r="AG41" s="735"/>
      <c r="AH41" s="660" t="s">
        <v>390</v>
      </c>
      <c r="AI41" s="735"/>
      <c r="AJ41" s="660" t="s">
        <v>390</v>
      </c>
      <c r="AK41" s="735"/>
      <c r="AL41" s="660" t="s">
        <v>390</v>
      </c>
      <c r="AM41" s="735"/>
      <c r="AN41" s="660" t="s">
        <v>390</v>
      </c>
      <c r="AO41" s="735"/>
      <c r="AP41" s="660" t="s">
        <v>390</v>
      </c>
      <c r="AQ41" s="735"/>
      <c r="AR41" s="660" t="s">
        <v>390</v>
      </c>
      <c r="AS41" s="735"/>
      <c r="AT41" s="660" t="s">
        <v>390</v>
      </c>
      <c r="AU41" s="735"/>
      <c r="AV41" s="660" t="s">
        <v>390</v>
      </c>
      <c r="AW41" s="735"/>
      <c r="AX41" s="660" t="s">
        <v>390</v>
      </c>
      <c r="AY41" s="735"/>
      <c r="AZ41" s="660" t="s">
        <v>415</v>
      </c>
      <c r="BA41" s="735"/>
      <c r="BB41" s="662" t="s">
        <v>390</v>
      </c>
      <c r="BC41" s="716"/>
      <c r="BD41" s="851" t="s">
        <v>414</v>
      </c>
      <c r="BE41" s="731"/>
      <c r="BF41" s="884"/>
      <c r="BG41" s="884"/>
      <c r="BH41" s="884"/>
      <c r="BI41" s="885"/>
      <c r="BJ41" s="733"/>
      <c r="BK41" s="660" t="s">
        <v>390</v>
      </c>
      <c r="BL41" s="734"/>
      <c r="BM41" s="660" t="s">
        <v>390</v>
      </c>
      <c r="BN41" s="735"/>
      <c r="BO41" s="660" t="s">
        <v>390</v>
      </c>
      <c r="BP41" s="735"/>
      <c r="BQ41" s="660" t="s">
        <v>390</v>
      </c>
      <c r="BR41" s="735"/>
      <c r="BS41" s="660" t="s">
        <v>390</v>
      </c>
      <c r="BT41" s="735"/>
      <c r="BU41" s="660" t="s">
        <v>390</v>
      </c>
      <c r="BV41" s="735"/>
      <c r="BW41" s="660" t="s">
        <v>390</v>
      </c>
      <c r="BX41" s="735"/>
      <c r="BY41" s="660" t="s">
        <v>390</v>
      </c>
      <c r="BZ41" s="735"/>
      <c r="CA41" s="660" t="s">
        <v>390</v>
      </c>
      <c r="CB41" s="735" t="s">
        <v>402</v>
      </c>
      <c r="CC41" s="660" t="s">
        <v>390</v>
      </c>
      <c r="CD41" s="735" t="s">
        <v>402</v>
      </c>
      <c r="CE41" s="660" t="s">
        <v>390</v>
      </c>
      <c r="CF41" s="735"/>
      <c r="CG41" s="660" t="s">
        <v>390</v>
      </c>
      <c r="CH41" s="735"/>
      <c r="CI41" s="660" t="s">
        <v>390</v>
      </c>
      <c r="CJ41" s="735"/>
      <c r="CK41" s="660" t="s">
        <v>390</v>
      </c>
      <c r="CL41" s="735"/>
      <c r="CM41" s="660" t="s">
        <v>390</v>
      </c>
      <c r="CN41" s="735"/>
      <c r="CO41" s="660" t="s">
        <v>390</v>
      </c>
      <c r="CP41" s="735"/>
      <c r="CQ41" s="660" t="s">
        <v>390</v>
      </c>
      <c r="CR41" s="735"/>
      <c r="CS41" s="660" t="s">
        <v>390</v>
      </c>
      <c r="CT41" s="735"/>
      <c r="CU41" s="660" t="s">
        <v>390</v>
      </c>
      <c r="CV41" s="735"/>
      <c r="CW41" s="660" t="s">
        <v>390</v>
      </c>
      <c r="CX41" s="735"/>
      <c r="CY41" s="660" t="s">
        <v>390</v>
      </c>
      <c r="CZ41" s="735"/>
      <c r="DA41" s="660" t="s">
        <v>390</v>
      </c>
      <c r="DB41" s="735"/>
      <c r="DC41" s="660" t="s">
        <v>390</v>
      </c>
      <c r="DD41" s="735"/>
      <c r="DE41" s="662" t="s">
        <v>390</v>
      </c>
      <c r="DF41" s="716"/>
      <c r="DG41" s="851" t="s">
        <v>414</v>
      </c>
      <c r="DH41" s="731"/>
      <c r="DI41" s="884"/>
      <c r="DJ41" s="884"/>
      <c r="DK41" s="884"/>
      <c r="DL41" s="885"/>
      <c r="DM41" s="733"/>
      <c r="DN41" s="660" t="s">
        <v>390</v>
      </c>
      <c r="DO41" s="734"/>
      <c r="DP41" s="660" t="s">
        <v>390</v>
      </c>
      <c r="DQ41" s="735"/>
      <c r="DR41" s="660" t="s">
        <v>390</v>
      </c>
      <c r="DS41" s="735"/>
      <c r="DT41" s="660" t="s">
        <v>390</v>
      </c>
      <c r="DU41" s="735"/>
      <c r="DV41" s="660" t="s">
        <v>390</v>
      </c>
      <c r="DW41" s="735"/>
      <c r="DX41" s="660" t="s">
        <v>390</v>
      </c>
      <c r="DY41" s="735"/>
      <c r="DZ41" s="660" t="s">
        <v>390</v>
      </c>
      <c r="EA41" s="735"/>
      <c r="EB41" s="660" t="s">
        <v>390</v>
      </c>
      <c r="EC41" s="735"/>
      <c r="ED41" s="660" t="s">
        <v>390</v>
      </c>
      <c r="EE41" s="735" t="s">
        <v>402</v>
      </c>
      <c r="EF41" s="660" t="s">
        <v>390</v>
      </c>
      <c r="EG41" s="735" t="s">
        <v>402</v>
      </c>
      <c r="EH41" s="660" t="s">
        <v>390</v>
      </c>
      <c r="EI41" s="735"/>
      <c r="EJ41" s="660" t="s">
        <v>390</v>
      </c>
      <c r="EK41" s="735"/>
      <c r="EL41" s="660" t="s">
        <v>390</v>
      </c>
      <c r="EM41" s="735"/>
      <c r="EN41" s="660" t="s">
        <v>390</v>
      </c>
      <c r="EO41" s="735"/>
      <c r="EP41" s="660" t="s">
        <v>390</v>
      </c>
      <c r="EQ41" s="735"/>
      <c r="ER41" s="660" t="s">
        <v>390</v>
      </c>
      <c r="ES41" s="735"/>
      <c r="ET41" s="660" t="s">
        <v>390</v>
      </c>
      <c r="EU41" s="735"/>
      <c r="EV41" s="660" t="s">
        <v>390</v>
      </c>
      <c r="EW41" s="735"/>
      <c r="EX41" s="660" t="s">
        <v>390</v>
      </c>
      <c r="EY41" s="735"/>
      <c r="EZ41" s="660" t="s">
        <v>390</v>
      </c>
      <c r="FA41" s="735"/>
      <c r="FB41" s="660" t="s">
        <v>390</v>
      </c>
      <c r="FC41" s="735"/>
      <c r="FD41" s="660" t="s">
        <v>390</v>
      </c>
      <c r="FE41" s="735"/>
      <c r="FF41" s="660" t="s">
        <v>390</v>
      </c>
      <c r="FG41" s="735"/>
      <c r="FH41" s="662" t="s">
        <v>390</v>
      </c>
      <c r="FI41" s="739"/>
      <c r="FJ41" s="816" t="s">
        <v>414</v>
      </c>
      <c r="FK41" s="736"/>
      <c r="FL41" s="886"/>
      <c r="FM41" s="886"/>
      <c r="FN41" s="886"/>
      <c r="FO41" s="887"/>
      <c r="FP41" s="740"/>
      <c r="FQ41" s="666"/>
      <c r="FR41" s="660" t="s">
        <v>393</v>
      </c>
      <c r="FS41" s="741"/>
      <c r="FT41" s="666"/>
      <c r="FU41" s="668" t="s">
        <v>393</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512</v>
      </c>
      <c r="GV41" s="527"/>
      <c r="GW41" s="527"/>
      <c r="GX41" s="527"/>
      <c r="GY41" s="527"/>
      <c r="GZ41" s="527"/>
      <c r="HA41" s="883">
        <v>38.4</v>
      </c>
      <c r="HB41" s="414"/>
      <c r="HC41" s="527"/>
      <c r="HD41" s="410"/>
    </row>
    <row r="42" spans="1:219" ht="20.100000000000001" customHeight="1">
      <c r="A42" s="821"/>
      <c r="B42" s="892" t="s">
        <v>416</v>
      </c>
      <c r="C42" s="893"/>
      <c r="D42" s="893"/>
      <c r="E42" s="894"/>
      <c r="F42" s="895"/>
      <c r="G42" s="825"/>
      <c r="H42" s="826"/>
      <c r="I42" s="827"/>
      <c r="J42" s="792"/>
      <c r="K42" s="828"/>
      <c r="L42" s="792"/>
      <c r="M42" s="828"/>
      <c r="N42" s="792"/>
      <c r="O42" s="828"/>
      <c r="P42" s="792"/>
      <c r="Q42" s="828"/>
      <c r="R42" s="792"/>
      <c r="S42" s="828"/>
      <c r="T42" s="792"/>
      <c r="U42" s="828"/>
      <c r="V42" s="792"/>
      <c r="W42" s="828"/>
      <c r="X42" s="792">
        <v>1589</v>
      </c>
      <c r="Y42" s="828"/>
      <c r="Z42" s="792">
        <v>1025</v>
      </c>
      <c r="AA42" s="828"/>
      <c r="AB42" s="792">
        <v>1003</v>
      </c>
      <c r="AC42" s="828"/>
      <c r="AD42" s="792">
        <v>975</v>
      </c>
      <c r="AE42" s="828"/>
      <c r="AF42" s="792">
        <v>959</v>
      </c>
      <c r="AG42" s="828"/>
      <c r="AH42" s="792">
        <v>937</v>
      </c>
      <c r="AI42" s="828"/>
      <c r="AJ42" s="792">
        <v>921</v>
      </c>
      <c r="AK42" s="828"/>
      <c r="AL42" s="792">
        <v>904</v>
      </c>
      <c r="AM42" s="828"/>
      <c r="AN42" s="792">
        <v>888</v>
      </c>
      <c r="AO42" s="828"/>
      <c r="AP42" s="792">
        <v>871</v>
      </c>
      <c r="AQ42" s="828"/>
      <c r="AR42" s="792"/>
      <c r="AS42" s="828"/>
      <c r="AT42" s="792"/>
      <c r="AU42" s="828"/>
      <c r="AV42" s="792"/>
      <c r="AW42" s="828"/>
      <c r="AX42" s="792"/>
      <c r="AY42" s="828"/>
      <c r="AZ42" s="792"/>
      <c r="BA42" s="828"/>
      <c r="BB42" s="829"/>
      <c r="BC42" s="559"/>
      <c r="BD42" s="821"/>
      <c r="BE42" s="896" t="s">
        <v>416</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1589</v>
      </c>
      <c r="CB42" s="828"/>
      <c r="CC42" s="792">
        <v>1025</v>
      </c>
      <c r="CD42" s="828"/>
      <c r="CE42" s="792">
        <v>1003</v>
      </c>
      <c r="CF42" s="828"/>
      <c r="CG42" s="792">
        <v>975</v>
      </c>
      <c r="CH42" s="828"/>
      <c r="CI42" s="792">
        <v>959</v>
      </c>
      <c r="CJ42" s="828"/>
      <c r="CK42" s="792">
        <v>937</v>
      </c>
      <c r="CL42" s="828"/>
      <c r="CM42" s="792">
        <v>921</v>
      </c>
      <c r="CN42" s="828"/>
      <c r="CO42" s="792">
        <v>904</v>
      </c>
      <c r="CP42" s="828"/>
      <c r="CQ42" s="792">
        <v>888</v>
      </c>
      <c r="CR42" s="828"/>
      <c r="CS42" s="792">
        <v>871</v>
      </c>
      <c r="CT42" s="828"/>
      <c r="CU42" s="792"/>
      <c r="CV42" s="828"/>
      <c r="CW42" s="792"/>
      <c r="CX42" s="828"/>
      <c r="CY42" s="792"/>
      <c r="CZ42" s="828"/>
      <c r="DA42" s="792"/>
      <c r="DB42" s="828"/>
      <c r="DC42" s="792"/>
      <c r="DD42" s="828"/>
      <c r="DE42" s="829"/>
      <c r="DF42" s="559"/>
      <c r="DG42" s="821"/>
      <c r="DH42" s="896" t="s">
        <v>416</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1589</v>
      </c>
      <c r="EE42" s="828"/>
      <c r="EF42" s="792">
        <v>1025</v>
      </c>
      <c r="EG42" s="828"/>
      <c r="EH42" s="792">
        <v>1003</v>
      </c>
      <c r="EI42" s="828"/>
      <c r="EJ42" s="792">
        <v>975</v>
      </c>
      <c r="EK42" s="828"/>
      <c r="EL42" s="792">
        <v>959</v>
      </c>
      <c r="EM42" s="828"/>
      <c r="EN42" s="792">
        <v>937</v>
      </c>
      <c r="EO42" s="828"/>
      <c r="EP42" s="792">
        <v>921</v>
      </c>
      <c r="EQ42" s="828"/>
      <c r="ER42" s="792">
        <v>904</v>
      </c>
      <c r="ES42" s="828"/>
      <c r="ET42" s="792">
        <v>888</v>
      </c>
      <c r="EU42" s="828"/>
      <c r="EV42" s="792">
        <v>871</v>
      </c>
      <c r="EW42" s="828"/>
      <c r="EX42" s="792"/>
      <c r="EY42" s="828"/>
      <c r="EZ42" s="792"/>
      <c r="FA42" s="828"/>
      <c r="FB42" s="792"/>
      <c r="FC42" s="828"/>
      <c r="FD42" s="792"/>
      <c r="FE42" s="828"/>
      <c r="FF42" s="792"/>
      <c r="FG42" s="828"/>
      <c r="FH42" s="829"/>
      <c r="FI42" s="560"/>
      <c r="FJ42" s="830"/>
      <c r="FK42" s="896" t="s">
        <v>416</v>
      </c>
      <c r="FL42" s="893"/>
      <c r="FM42" s="893"/>
      <c r="FN42" s="894"/>
      <c r="FO42" s="895"/>
      <c r="FP42" s="831"/>
      <c r="FQ42" s="827"/>
      <c r="FR42" s="826">
        <v>2729</v>
      </c>
      <c r="FS42" s="832"/>
      <c r="FT42" s="827"/>
      <c r="FU42" s="798">
        <v>2729</v>
      </c>
      <c r="FV42" s="590"/>
      <c r="FW42" s="591"/>
      <c r="FX42" s="799"/>
      <c r="FY42" s="593"/>
      <c r="FZ42" s="800"/>
      <c r="GA42" s="595"/>
      <c r="GB42" s="801"/>
      <c r="GC42" s="597"/>
      <c r="GD42" s="801"/>
      <c r="GE42" s="598"/>
      <c r="GF42" s="833"/>
      <c r="GG42" s="599"/>
      <c r="GH42" s="599"/>
      <c r="GI42" s="599"/>
      <c r="GJ42" s="410"/>
      <c r="GK42" s="897"/>
      <c r="GL42" s="898"/>
      <c r="GM42" s="899">
        <v>9.6</v>
      </c>
      <c r="GN42" s="899"/>
      <c r="GO42" s="899">
        <v>19.399999999999999</v>
      </c>
      <c r="GP42" s="899"/>
      <c r="GQ42" s="899">
        <v>29</v>
      </c>
      <c r="GR42" s="900"/>
      <c r="GS42" s="577"/>
      <c r="GT42" s="497"/>
      <c r="GU42" s="497"/>
      <c r="GV42" s="497"/>
      <c r="GW42" s="576"/>
      <c r="GX42" s="576"/>
      <c r="GY42" s="576"/>
      <c r="GZ42" s="575"/>
      <c r="HA42" s="497"/>
      <c r="HB42" s="497"/>
      <c r="HC42" s="527"/>
      <c r="HD42" s="527"/>
    </row>
    <row r="43" spans="1:219" ht="20.100000000000001" customHeight="1">
      <c r="A43" s="821"/>
      <c r="B43" s="901" t="s">
        <v>417</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417</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417</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417</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418</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1589</v>
      </c>
      <c r="Y44" s="838"/>
      <c r="Z44" s="837">
        <v>1025</v>
      </c>
      <c r="AA44" s="838"/>
      <c r="AB44" s="837">
        <v>1003</v>
      </c>
      <c r="AC44" s="838"/>
      <c r="AD44" s="837">
        <v>975</v>
      </c>
      <c r="AE44" s="838"/>
      <c r="AF44" s="837">
        <v>959</v>
      </c>
      <c r="AG44" s="838"/>
      <c r="AH44" s="837">
        <v>937</v>
      </c>
      <c r="AI44" s="838"/>
      <c r="AJ44" s="837">
        <v>921</v>
      </c>
      <c r="AK44" s="838"/>
      <c r="AL44" s="837">
        <v>904</v>
      </c>
      <c r="AM44" s="838"/>
      <c r="AN44" s="837">
        <v>888</v>
      </c>
      <c r="AO44" s="838"/>
      <c r="AP44" s="837">
        <v>871</v>
      </c>
      <c r="AQ44" s="838"/>
      <c r="AR44" s="837">
        <v>0</v>
      </c>
      <c r="AS44" s="838"/>
      <c r="AT44" s="837">
        <v>0</v>
      </c>
      <c r="AU44" s="838"/>
      <c r="AV44" s="837">
        <v>0</v>
      </c>
      <c r="AW44" s="838"/>
      <c r="AX44" s="837">
        <v>0</v>
      </c>
      <c r="AY44" s="838"/>
      <c r="AZ44" s="837">
        <v>0</v>
      </c>
      <c r="BA44" s="838"/>
      <c r="BB44" s="839">
        <v>0</v>
      </c>
      <c r="BC44" s="645"/>
      <c r="BD44" s="922"/>
      <c r="BE44" s="639"/>
      <c r="BF44" s="639"/>
      <c r="BG44" s="640" t="s">
        <v>418</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1589</v>
      </c>
      <c r="CB44" s="838"/>
      <c r="CC44" s="837">
        <v>1025</v>
      </c>
      <c r="CD44" s="838"/>
      <c r="CE44" s="837">
        <v>1003</v>
      </c>
      <c r="CF44" s="838"/>
      <c r="CG44" s="837">
        <v>975</v>
      </c>
      <c r="CH44" s="838"/>
      <c r="CI44" s="837">
        <v>959</v>
      </c>
      <c r="CJ44" s="838"/>
      <c r="CK44" s="837">
        <v>937</v>
      </c>
      <c r="CL44" s="838"/>
      <c r="CM44" s="837">
        <v>921</v>
      </c>
      <c r="CN44" s="838"/>
      <c r="CO44" s="837">
        <v>904</v>
      </c>
      <c r="CP44" s="838"/>
      <c r="CQ44" s="837">
        <v>888</v>
      </c>
      <c r="CR44" s="838"/>
      <c r="CS44" s="837">
        <v>871</v>
      </c>
      <c r="CT44" s="838"/>
      <c r="CU44" s="837">
        <v>0</v>
      </c>
      <c r="CV44" s="838"/>
      <c r="CW44" s="837">
        <v>0</v>
      </c>
      <c r="CX44" s="838"/>
      <c r="CY44" s="837">
        <v>0</v>
      </c>
      <c r="CZ44" s="838"/>
      <c r="DA44" s="837">
        <v>0</v>
      </c>
      <c r="DB44" s="838"/>
      <c r="DC44" s="837">
        <v>0</v>
      </c>
      <c r="DD44" s="838"/>
      <c r="DE44" s="839">
        <v>0</v>
      </c>
      <c r="DF44" s="645"/>
      <c r="DG44" s="922"/>
      <c r="DH44" s="639"/>
      <c r="DI44" s="639"/>
      <c r="DJ44" s="640" t="s">
        <v>418</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1589</v>
      </c>
      <c r="EE44" s="838"/>
      <c r="EF44" s="837">
        <v>1025</v>
      </c>
      <c r="EG44" s="838"/>
      <c r="EH44" s="837">
        <v>1003</v>
      </c>
      <c r="EI44" s="838"/>
      <c r="EJ44" s="837">
        <v>975</v>
      </c>
      <c r="EK44" s="838"/>
      <c r="EL44" s="837">
        <v>959</v>
      </c>
      <c r="EM44" s="838"/>
      <c r="EN44" s="837">
        <v>937</v>
      </c>
      <c r="EO44" s="838"/>
      <c r="EP44" s="837">
        <v>921</v>
      </c>
      <c r="EQ44" s="838"/>
      <c r="ER44" s="837">
        <v>904</v>
      </c>
      <c r="ES44" s="838"/>
      <c r="ET44" s="837">
        <v>888</v>
      </c>
      <c r="EU44" s="838"/>
      <c r="EV44" s="837">
        <v>871</v>
      </c>
      <c r="EW44" s="838"/>
      <c r="EX44" s="837">
        <v>0</v>
      </c>
      <c r="EY44" s="838"/>
      <c r="EZ44" s="837">
        <v>0</v>
      </c>
      <c r="FA44" s="838"/>
      <c r="FB44" s="837">
        <v>0</v>
      </c>
      <c r="FC44" s="838"/>
      <c r="FD44" s="837">
        <v>0</v>
      </c>
      <c r="FE44" s="838"/>
      <c r="FF44" s="837">
        <v>0</v>
      </c>
      <c r="FG44" s="838"/>
      <c r="FH44" s="839">
        <v>0</v>
      </c>
      <c r="FI44" s="646"/>
      <c r="FJ44" s="923"/>
      <c r="FK44" s="639"/>
      <c r="FL44" s="639"/>
      <c r="FM44" s="640" t="s">
        <v>418</v>
      </c>
      <c r="FN44" s="639"/>
      <c r="FO44" s="639"/>
      <c r="FP44" s="647"/>
      <c r="FQ44" s="836"/>
      <c r="FR44" s="835">
        <v>2729</v>
      </c>
      <c r="FS44" s="840"/>
      <c r="FT44" s="836"/>
      <c r="FU44" s="841">
        <v>2729</v>
      </c>
      <c r="FV44" s="590" t="s">
        <v>319</v>
      </c>
      <c r="FW44" s="591"/>
      <c r="FX44" s="799" t="s">
        <v>320</v>
      </c>
      <c r="FY44" s="593"/>
      <c r="FZ44" s="800" t="s">
        <v>321</v>
      </c>
      <c r="GA44" s="595"/>
      <c r="GB44" s="801" t="s">
        <v>322</v>
      </c>
      <c r="GC44" s="597"/>
      <c r="GD44" s="801" t="s">
        <v>323</v>
      </c>
      <c r="GE44" s="598"/>
      <c r="GF44" s="651"/>
      <c r="GG44" s="652"/>
      <c r="GH44" s="652"/>
      <c r="GI44" s="652"/>
      <c r="GJ44" s="527"/>
      <c r="GK44" s="897"/>
      <c r="GL44" s="898"/>
      <c r="GM44" s="924">
        <v>6.2</v>
      </c>
      <c r="GN44" s="924"/>
      <c r="GO44" s="924">
        <v>13</v>
      </c>
      <c r="GP44" s="924"/>
      <c r="GQ44" s="899">
        <v>19.2</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419</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4760</v>
      </c>
      <c r="Y45" s="933"/>
      <c r="Z45" s="932">
        <v>4450</v>
      </c>
      <c r="AA45" s="933"/>
      <c r="AB45" s="932">
        <v>4703</v>
      </c>
      <c r="AC45" s="933"/>
      <c r="AD45" s="932">
        <v>4861</v>
      </c>
      <c r="AE45" s="933"/>
      <c r="AF45" s="932">
        <v>5311</v>
      </c>
      <c r="AG45" s="933"/>
      <c r="AH45" s="932">
        <v>5324</v>
      </c>
      <c r="AI45" s="933"/>
      <c r="AJ45" s="932">
        <v>5074</v>
      </c>
      <c r="AK45" s="933"/>
      <c r="AL45" s="932">
        <v>4710</v>
      </c>
      <c r="AM45" s="933"/>
      <c r="AN45" s="932">
        <v>4246</v>
      </c>
      <c r="AO45" s="933"/>
      <c r="AP45" s="932">
        <v>3821</v>
      </c>
      <c r="AQ45" s="933"/>
      <c r="AR45" s="932">
        <v>0</v>
      </c>
      <c r="AS45" s="933"/>
      <c r="AT45" s="932">
        <v>0</v>
      </c>
      <c r="AU45" s="933"/>
      <c r="AV45" s="932">
        <v>0</v>
      </c>
      <c r="AW45" s="933"/>
      <c r="AX45" s="932">
        <v>0</v>
      </c>
      <c r="AY45" s="933"/>
      <c r="AZ45" s="932">
        <v>0</v>
      </c>
      <c r="BA45" s="933"/>
      <c r="BB45" s="934">
        <v>0</v>
      </c>
      <c r="BC45" s="645"/>
      <c r="BD45" s="928" t="s">
        <v>419</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4654</v>
      </c>
      <c r="CB45" s="933"/>
      <c r="CC45" s="932">
        <v>4278</v>
      </c>
      <c r="CD45" s="933"/>
      <c r="CE45" s="932">
        <v>4619</v>
      </c>
      <c r="CF45" s="933"/>
      <c r="CG45" s="932">
        <v>4930</v>
      </c>
      <c r="CH45" s="933"/>
      <c r="CI45" s="932">
        <v>5492</v>
      </c>
      <c r="CJ45" s="933"/>
      <c r="CK45" s="932">
        <v>5559</v>
      </c>
      <c r="CL45" s="933"/>
      <c r="CM45" s="932">
        <v>5377</v>
      </c>
      <c r="CN45" s="933"/>
      <c r="CO45" s="932">
        <v>4983</v>
      </c>
      <c r="CP45" s="933"/>
      <c r="CQ45" s="932">
        <v>4484</v>
      </c>
      <c r="CR45" s="933"/>
      <c r="CS45" s="932">
        <v>3889</v>
      </c>
      <c r="CT45" s="933"/>
      <c r="CU45" s="932">
        <v>0</v>
      </c>
      <c r="CV45" s="933"/>
      <c r="CW45" s="932">
        <v>0</v>
      </c>
      <c r="CX45" s="933"/>
      <c r="CY45" s="932">
        <v>0</v>
      </c>
      <c r="CZ45" s="933"/>
      <c r="DA45" s="932">
        <v>0</v>
      </c>
      <c r="DB45" s="933"/>
      <c r="DC45" s="932">
        <v>0</v>
      </c>
      <c r="DD45" s="933"/>
      <c r="DE45" s="934">
        <v>0</v>
      </c>
      <c r="DF45" s="645"/>
      <c r="DG45" s="928" t="s">
        <v>419</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4213</v>
      </c>
      <c r="EE45" s="933"/>
      <c r="EF45" s="932">
        <v>4225</v>
      </c>
      <c r="EG45" s="933"/>
      <c r="EH45" s="932">
        <v>5084</v>
      </c>
      <c r="EI45" s="933"/>
      <c r="EJ45" s="932">
        <v>5491</v>
      </c>
      <c r="EK45" s="933"/>
      <c r="EL45" s="932">
        <v>5965</v>
      </c>
      <c r="EM45" s="933"/>
      <c r="EN45" s="932">
        <v>5933</v>
      </c>
      <c r="EO45" s="933"/>
      <c r="EP45" s="932">
        <v>5599</v>
      </c>
      <c r="EQ45" s="933"/>
      <c r="ER45" s="932">
        <v>4997</v>
      </c>
      <c r="ES45" s="933"/>
      <c r="ET45" s="932">
        <v>4199</v>
      </c>
      <c r="EU45" s="933"/>
      <c r="EV45" s="932">
        <v>3437</v>
      </c>
      <c r="EW45" s="933"/>
      <c r="EX45" s="932">
        <v>0</v>
      </c>
      <c r="EY45" s="933"/>
      <c r="EZ45" s="932">
        <v>0</v>
      </c>
      <c r="FA45" s="933"/>
      <c r="FB45" s="932">
        <v>0</v>
      </c>
      <c r="FC45" s="933"/>
      <c r="FD45" s="932">
        <v>0</v>
      </c>
      <c r="FE45" s="933"/>
      <c r="FF45" s="932">
        <v>0</v>
      </c>
      <c r="FG45" s="933"/>
      <c r="FH45" s="934">
        <v>0</v>
      </c>
      <c r="FI45" s="645"/>
      <c r="FJ45" s="928" t="s">
        <v>419</v>
      </c>
      <c r="FK45" s="929"/>
      <c r="FL45" s="929"/>
      <c r="FM45" s="929"/>
      <c r="FN45" s="929"/>
      <c r="FO45" s="930"/>
      <c r="FP45" s="935"/>
      <c r="FQ45" s="936"/>
      <c r="FR45" s="932">
        <v>6209</v>
      </c>
      <c r="FS45" s="937"/>
      <c r="FT45" s="936"/>
      <c r="FU45" s="938">
        <v>6289</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420</v>
      </c>
      <c r="B46" s="944"/>
      <c r="C46" s="944"/>
      <c r="D46" s="944"/>
      <c r="E46" s="944"/>
      <c r="F46" s="945"/>
      <c r="G46" s="946" t="s">
        <v>421</v>
      </c>
      <c r="H46" s="947"/>
      <c r="I46" s="948" t="s">
        <v>421</v>
      </c>
      <c r="J46" s="947"/>
      <c r="K46" s="948" t="s">
        <v>421</v>
      </c>
      <c r="L46" s="947"/>
      <c r="M46" s="948" t="s">
        <v>421</v>
      </c>
      <c r="N46" s="947"/>
      <c r="O46" s="948" t="s">
        <v>421</v>
      </c>
      <c r="P46" s="947"/>
      <c r="Q46" s="948" t="s">
        <v>421</v>
      </c>
      <c r="R46" s="947"/>
      <c r="S46" s="948" t="s">
        <v>421</v>
      </c>
      <c r="T46" s="947"/>
      <c r="U46" s="948" t="s">
        <v>421</v>
      </c>
      <c r="V46" s="947"/>
      <c r="W46" s="948" t="s">
        <v>421</v>
      </c>
      <c r="X46" s="947"/>
      <c r="Y46" s="948" t="s">
        <v>421</v>
      </c>
      <c r="Z46" s="947"/>
      <c r="AA46" s="948" t="s">
        <v>421</v>
      </c>
      <c r="AB46" s="947"/>
      <c r="AC46" s="948" t="s">
        <v>421</v>
      </c>
      <c r="AD46" s="947"/>
      <c r="AE46" s="948" t="s">
        <v>421</v>
      </c>
      <c r="AF46" s="947"/>
      <c r="AG46" s="948" t="s">
        <v>421</v>
      </c>
      <c r="AH46" s="947"/>
      <c r="AI46" s="948" t="s">
        <v>421</v>
      </c>
      <c r="AJ46" s="947"/>
      <c r="AK46" s="948" t="s">
        <v>421</v>
      </c>
      <c r="AL46" s="947"/>
      <c r="AM46" s="948" t="s">
        <v>421</v>
      </c>
      <c r="AN46" s="947"/>
      <c r="AO46" s="948" t="s">
        <v>421</v>
      </c>
      <c r="AP46" s="947"/>
      <c r="AQ46" s="948" t="s">
        <v>421</v>
      </c>
      <c r="AR46" s="947"/>
      <c r="AS46" s="948" t="s">
        <v>421</v>
      </c>
      <c r="AT46" s="947"/>
      <c r="AU46" s="948" t="s">
        <v>421</v>
      </c>
      <c r="AV46" s="947"/>
      <c r="AW46" s="948" t="s">
        <v>421</v>
      </c>
      <c r="AX46" s="947"/>
      <c r="AY46" s="948" t="s">
        <v>421</v>
      </c>
      <c r="AZ46" s="949"/>
      <c r="BA46" s="950" t="s">
        <v>421</v>
      </c>
      <c r="BB46" s="951"/>
      <c r="BC46" s="952"/>
      <c r="BD46" s="943" t="s">
        <v>420</v>
      </c>
      <c r="BE46" s="944"/>
      <c r="BF46" s="944"/>
      <c r="BG46" s="944"/>
      <c r="BH46" s="944"/>
      <c r="BI46" s="945"/>
      <c r="BJ46" s="946" t="s">
        <v>421</v>
      </c>
      <c r="BK46" s="947"/>
      <c r="BL46" s="948" t="s">
        <v>421</v>
      </c>
      <c r="BM46" s="947"/>
      <c r="BN46" s="948" t="s">
        <v>421</v>
      </c>
      <c r="BO46" s="947"/>
      <c r="BP46" s="948" t="s">
        <v>421</v>
      </c>
      <c r="BQ46" s="947"/>
      <c r="BR46" s="948" t="s">
        <v>421</v>
      </c>
      <c r="BS46" s="947"/>
      <c r="BT46" s="948" t="s">
        <v>421</v>
      </c>
      <c r="BU46" s="947"/>
      <c r="BV46" s="948" t="s">
        <v>421</v>
      </c>
      <c r="BW46" s="947"/>
      <c r="BX46" s="948" t="s">
        <v>421</v>
      </c>
      <c r="BY46" s="947"/>
      <c r="BZ46" s="948" t="s">
        <v>421</v>
      </c>
      <c r="CA46" s="947"/>
      <c r="CB46" s="948" t="s">
        <v>421</v>
      </c>
      <c r="CC46" s="947"/>
      <c r="CD46" s="948" t="s">
        <v>421</v>
      </c>
      <c r="CE46" s="947"/>
      <c r="CF46" s="948" t="s">
        <v>421</v>
      </c>
      <c r="CG46" s="947"/>
      <c r="CH46" s="948" t="s">
        <v>421</v>
      </c>
      <c r="CI46" s="947"/>
      <c r="CJ46" s="948" t="s">
        <v>421</v>
      </c>
      <c r="CK46" s="947"/>
      <c r="CL46" s="948" t="s">
        <v>421</v>
      </c>
      <c r="CM46" s="947"/>
      <c r="CN46" s="948" t="s">
        <v>421</v>
      </c>
      <c r="CO46" s="947"/>
      <c r="CP46" s="948" t="s">
        <v>421</v>
      </c>
      <c r="CQ46" s="947"/>
      <c r="CR46" s="948" t="s">
        <v>421</v>
      </c>
      <c r="CS46" s="947"/>
      <c r="CT46" s="948" t="s">
        <v>421</v>
      </c>
      <c r="CU46" s="947"/>
      <c r="CV46" s="948" t="s">
        <v>421</v>
      </c>
      <c r="CW46" s="947"/>
      <c r="CX46" s="948" t="s">
        <v>421</v>
      </c>
      <c r="CY46" s="947"/>
      <c r="CZ46" s="948" t="s">
        <v>421</v>
      </c>
      <c r="DA46" s="947"/>
      <c r="DB46" s="948" t="s">
        <v>421</v>
      </c>
      <c r="DC46" s="949"/>
      <c r="DD46" s="950" t="s">
        <v>421</v>
      </c>
      <c r="DE46" s="951"/>
      <c r="DF46" s="952"/>
      <c r="DG46" s="943" t="s">
        <v>422</v>
      </c>
      <c r="DH46" s="944"/>
      <c r="DI46" s="944"/>
      <c r="DJ46" s="944"/>
      <c r="DK46" s="944"/>
      <c r="DL46" s="945"/>
      <c r="DM46" s="946" t="s">
        <v>421</v>
      </c>
      <c r="DN46" s="947"/>
      <c r="DO46" s="948" t="s">
        <v>421</v>
      </c>
      <c r="DP46" s="947"/>
      <c r="DQ46" s="948" t="s">
        <v>421</v>
      </c>
      <c r="DR46" s="947"/>
      <c r="DS46" s="948" t="s">
        <v>421</v>
      </c>
      <c r="DT46" s="947"/>
      <c r="DU46" s="948" t="s">
        <v>421</v>
      </c>
      <c r="DV46" s="947"/>
      <c r="DW46" s="948" t="s">
        <v>421</v>
      </c>
      <c r="DX46" s="947"/>
      <c r="DY46" s="948" t="s">
        <v>421</v>
      </c>
      <c r="DZ46" s="947"/>
      <c r="EA46" s="948" t="s">
        <v>421</v>
      </c>
      <c r="EB46" s="947"/>
      <c r="EC46" s="948" t="s">
        <v>421</v>
      </c>
      <c r="ED46" s="947"/>
      <c r="EE46" s="948" t="s">
        <v>421</v>
      </c>
      <c r="EF46" s="947"/>
      <c r="EG46" s="948" t="s">
        <v>421</v>
      </c>
      <c r="EH46" s="947"/>
      <c r="EI46" s="948" t="s">
        <v>421</v>
      </c>
      <c r="EJ46" s="947"/>
      <c r="EK46" s="948" t="s">
        <v>421</v>
      </c>
      <c r="EL46" s="947"/>
      <c r="EM46" s="948" t="s">
        <v>421</v>
      </c>
      <c r="EN46" s="947"/>
      <c r="EO46" s="948" t="s">
        <v>421</v>
      </c>
      <c r="EP46" s="947"/>
      <c r="EQ46" s="948" t="s">
        <v>421</v>
      </c>
      <c r="ER46" s="947"/>
      <c r="ES46" s="948" t="s">
        <v>421</v>
      </c>
      <c r="ET46" s="947"/>
      <c r="EU46" s="948" t="s">
        <v>421</v>
      </c>
      <c r="EV46" s="947"/>
      <c r="EW46" s="948" t="s">
        <v>421</v>
      </c>
      <c r="EX46" s="947"/>
      <c r="EY46" s="948" t="s">
        <v>421</v>
      </c>
      <c r="EZ46" s="947"/>
      <c r="FA46" s="948" t="s">
        <v>421</v>
      </c>
      <c r="FB46" s="947"/>
      <c r="FC46" s="948" t="s">
        <v>421</v>
      </c>
      <c r="FD46" s="947"/>
      <c r="FE46" s="948" t="s">
        <v>421</v>
      </c>
      <c r="FF46" s="949"/>
      <c r="FG46" s="950" t="s">
        <v>421</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4998</v>
      </c>
      <c r="Y47" s="965"/>
      <c r="Z47" s="964">
        <v>4673</v>
      </c>
      <c r="AA47" s="965"/>
      <c r="AB47" s="964">
        <v>4938</v>
      </c>
      <c r="AC47" s="965"/>
      <c r="AD47" s="964">
        <v>5104</v>
      </c>
      <c r="AE47" s="965"/>
      <c r="AF47" s="964">
        <v>5577</v>
      </c>
      <c r="AG47" s="965"/>
      <c r="AH47" s="964">
        <v>5590</v>
      </c>
      <c r="AI47" s="965"/>
      <c r="AJ47" s="964">
        <v>5328</v>
      </c>
      <c r="AK47" s="965"/>
      <c r="AL47" s="964">
        <v>4946</v>
      </c>
      <c r="AM47" s="965"/>
      <c r="AN47" s="964">
        <v>4458</v>
      </c>
      <c r="AO47" s="965"/>
      <c r="AP47" s="964">
        <v>4012</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4887</v>
      </c>
      <c r="CB47" s="965"/>
      <c r="CC47" s="964">
        <v>4492</v>
      </c>
      <c r="CD47" s="965"/>
      <c r="CE47" s="964">
        <v>4850</v>
      </c>
      <c r="CF47" s="965"/>
      <c r="CG47" s="964">
        <v>5177</v>
      </c>
      <c r="CH47" s="965"/>
      <c r="CI47" s="964">
        <v>5767</v>
      </c>
      <c r="CJ47" s="965"/>
      <c r="CK47" s="964">
        <v>5837</v>
      </c>
      <c r="CL47" s="965"/>
      <c r="CM47" s="964">
        <v>5646</v>
      </c>
      <c r="CN47" s="965"/>
      <c r="CO47" s="964">
        <v>5232</v>
      </c>
      <c r="CP47" s="965"/>
      <c r="CQ47" s="964">
        <v>4708</v>
      </c>
      <c r="CR47" s="965"/>
      <c r="CS47" s="964">
        <v>4083</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4424</v>
      </c>
      <c r="EE47" s="965"/>
      <c r="EF47" s="964">
        <v>4436</v>
      </c>
      <c r="EG47" s="965"/>
      <c r="EH47" s="964">
        <v>5338</v>
      </c>
      <c r="EI47" s="965"/>
      <c r="EJ47" s="964">
        <v>5766</v>
      </c>
      <c r="EK47" s="965"/>
      <c r="EL47" s="964">
        <v>6263</v>
      </c>
      <c r="EM47" s="965"/>
      <c r="EN47" s="964">
        <v>6230</v>
      </c>
      <c r="EO47" s="965"/>
      <c r="EP47" s="964">
        <v>5879</v>
      </c>
      <c r="EQ47" s="965"/>
      <c r="ER47" s="964">
        <v>5247</v>
      </c>
      <c r="ES47" s="965"/>
      <c r="ET47" s="964">
        <v>4409</v>
      </c>
      <c r="EU47" s="965"/>
      <c r="EV47" s="964">
        <v>3609</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6209</v>
      </c>
      <c r="FS47" s="973"/>
      <c r="FT47" s="972"/>
      <c r="FU47" s="974">
        <v>6289</v>
      </c>
      <c r="FV47" s="975">
        <v>14</v>
      </c>
      <c r="FW47" s="964">
        <v>5590</v>
      </c>
      <c r="FX47" s="976">
        <v>14</v>
      </c>
      <c r="FY47" s="964">
        <v>5837</v>
      </c>
      <c r="FZ47" s="976">
        <v>13</v>
      </c>
      <c r="GA47" s="964">
        <v>6263</v>
      </c>
      <c r="GB47" s="977" t="s">
        <v>350</v>
      </c>
      <c r="GC47" s="964">
        <v>6263</v>
      </c>
      <c r="GD47" s="977" t="s">
        <v>352</v>
      </c>
      <c r="GE47" s="978">
        <v>6289</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390</v>
      </c>
      <c r="I48" s="735" t="s">
        <v>427</v>
      </c>
      <c r="J48" s="982" t="s">
        <v>390</v>
      </c>
      <c r="K48" s="735" t="s">
        <v>427</v>
      </c>
      <c r="L48" s="982" t="s">
        <v>390</v>
      </c>
      <c r="M48" s="735" t="s">
        <v>427</v>
      </c>
      <c r="N48" s="982" t="s">
        <v>390</v>
      </c>
      <c r="O48" s="735" t="s">
        <v>427</v>
      </c>
      <c r="P48" s="982" t="s">
        <v>390</v>
      </c>
      <c r="Q48" s="735" t="s">
        <v>427</v>
      </c>
      <c r="R48" s="982" t="s">
        <v>390</v>
      </c>
      <c r="S48" s="735" t="s">
        <v>427</v>
      </c>
      <c r="T48" s="982" t="s">
        <v>390</v>
      </c>
      <c r="U48" s="735" t="s">
        <v>427</v>
      </c>
      <c r="V48" s="982" t="s">
        <v>390</v>
      </c>
      <c r="W48" s="735" t="s">
        <v>427</v>
      </c>
      <c r="X48" s="982" t="s">
        <v>390</v>
      </c>
      <c r="Y48" s="735" t="s">
        <v>427</v>
      </c>
      <c r="Z48" s="982" t="s">
        <v>390</v>
      </c>
      <c r="AA48" s="735" t="s">
        <v>427</v>
      </c>
      <c r="AB48" s="982" t="s">
        <v>390</v>
      </c>
      <c r="AC48" s="735" t="s">
        <v>427</v>
      </c>
      <c r="AD48" s="982" t="s">
        <v>390</v>
      </c>
      <c r="AE48" s="735" t="s">
        <v>427</v>
      </c>
      <c r="AF48" s="982" t="s">
        <v>390</v>
      </c>
      <c r="AG48" s="735" t="s">
        <v>427</v>
      </c>
      <c r="AH48" s="982" t="s">
        <v>390</v>
      </c>
      <c r="AI48" s="735" t="s">
        <v>427</v>
      </c>
      <c r="AJ48" s="982" t="s">
        <v>390</v>
      </c>
      <c r="AK48" s="735" t="s">
        <v>427</v>
      </c>
      <c r="AL48" s="982" t="s">
        <v>390</v>
      </c>
      <c r="AM48" s="735" t="s">
        <v>427</v>
      </c>
      <c r="AN48" s="982" t="s">
        <v>390</v>
      </c>
      <c r="AO48" s="735" t="s">
        <v>427</v>
      </c>
      <c r="AP48" s="982" t="s">
        <v>390</v>
      </c>
      <c r="AQ48" s="735" t="s">
        <v>427</v>
      </c>
      <c r="AR48" s="982" t="s">
        <v>390</v>
      </c>
      <c r="AS48" s="735" t="s">
        <v>427</v>
      </c>
      <c r="AT48" s="982" t="s">
        <v>390</v>
      </c>
      <c r="AU48" s="735" t="s">
        <v>427</v>
      </c>
      <c r="AV48" s="982" t="s">
        <v>390</v>
      </c>
      <c r="AW48" s="735" t="s">
        <v>427</v>
      </c>
      <c r="AX48" s="982" t="s">
        <v>390</v>
      </c>
      <c r="AY48" s="735" t="s">
        <v>427</v>
      </c>
      <c r="AZ48" s="983" t="s">
        <v>390</v>
      </c>
      <c r="BA48" s="984" t="s">
        <v>427</v>
      </c>
      <c r="BB48" s="985" t="s">
        <v>390</v>
      </c>
      <c r="BC48" s="921"/>
      <c r="BD48" s="980" t="s">
        <v>425</v>
      </c>
      <c r="BE48" s="981" t="s">
        <v>426</v>
      </c>
      <c r="BF48" s="884"/>
      <c r="BG48" s="814"/>
      <c r="BH48" s="814"/>
      <c r="BI48" s="815"/>
      <c r="BJ48" s="733" t="s">
        <v>427</v>
      </c>
      <c r="BK48" s="660" t="s">
        <v>390</v>
      </c>
      <c r="BL48" s="735" t="s">
        <v>427</v>
      </c>
      <c r="BM48" s="982" t="s">
        <v>390</v>
      </c>
      <c r="BN48" s="735" t="s">
        <v>427</v>
      </c>
      <c r="BO48" s="982" t="s">
        <v>390</v>
      </c>
      <c r="BP48" s="735" t="s">
        <v>427</v>
      </c>
      <c r="BQ48" s="982" t="s">
        <v>390</v>
      </c>
      <c r="BR48" s="735" t="s">
        <v>427</v>
      </c>
      <c r="BS48" s="982" t="s">
        <v>390</v>
      </c>
      <c r="BT48" s="735" t="s">
        <v>427</v>
      </c>
      <c r="BU48" s="982" t="s">
        <v>390</v>
      </c>
      <c r="BV48" s="735" t="s">
        <v>427</v>
      </c>
      <c r="BW48" s="982" t="s">
        <v>390</v>
      </c>
      <c r="BX48" s="735" t="s">
        <v>427</v>
      </c>
      <c r="BY48" s="982" t="s">
        <v>390</v>
      </c>
      <c r="BZ48" s="735" t="s">
        <v>427</v>
      </c>
      <c r="CA48" s="982" t="s">
        <v>390</v>
      </c>
      <c r="CB48" s="735" t="s">
        <v>427</v>
      </c>
      <c r="CC48" s="982" t="s">
        <v>390</v>
      </c>
      <c r="CD48" s="735" t="s">
        <v>427</v>
      </c>
      <c r="CE48" s="982" t="s">
        <v>390</v>
      </c>
      <c r="CF48" s="735" t="s">
        <v>427</v>
      </c>
      <c r="CG48" s="982" t="s">
        <v>390</v>
      </c>
      <c r="CH48" s="735" t="s">
        <v>427</v>
      </c>
      <c r="CI48" s="982" t="s">
        <v>390</v>
      </c>
      <c r="CJ48" s="735" t="s">
        <v>427</v>
      </c>
      <c r="CK48" s="982" t="s">
        <v>390</v>
      </c>
      <c r="CL48" s="735" t="s">
        <v>427</v>
      </c>
      <c r="CM48" s="982" t="s">
        <v>390</v>
      </c>
      <c r="CN48" s="735" t="s">
        <v>427</v>
      </c>
      <c r="CO48" s="982" t="s">
        <v>390</v>
      </c>
      <c r="CP48" s="735" t="s">
        <v>427</v>
      </c>
      <c r="CQ48" s="982" t="s">
        <v>390</v>
      </c>
      <c r="CR48" s="735" t="s">
        <v>427</v>
      </c>
      <c r="CS48" s="982" t="s">
        <v>390</v>
      </c>
      <c r="CT48" s="735" t="s">
        <v>427</v>
      </c>
      <c r="CU48" s="982" t="s">
        <v>390</v>
      </c>
      <c r="CV48" s="735" t="s">
        <v>427</v>
      </c>
      <c r="CW48" s="982" t="s">
        <v>390</v>
      </c>
      <c r="CX48" s="735" t="s">
        <v>427</v>
      </c>
      <c r="CY48" s="982" t="s">
        <v>390</v>
      </c>
      <c r="CZ48" s="735" t="s">
        <v>427</v>
      </c>
      <c r="DA48" s="982" t="s">
        <v>390</v>
      </c>
      <c r="DB48" s="735" t="s">
        <v>427</v>
      </c>
      <c r="DC48" s="983" t="s">
        <v>390</v>
      </c>
      <c r="DD48" s="984" t="s">
        <v>427</v>
      </c>
      <c r="DE48" s="985" t="s">
        <v>390</v>
      </c>
      <c r="DF48" s="921"/>
      <c r="DG48" s="980" t="s">
        <v>425</v>
      </c>
      <c r="DH48" s="981" t="s">
        <v>426</v>
      </c>
      <c r="DI48" s="884"/>
      <c r="DJ48" s="814"/>
      <c r="DK48" s="814"/>
      <c r="DL48" s="815"/>
      <c r="DM48" s="733" t="s">
        <v>427</v>
      </c>
      <c r="DN48" s="660" t="s">
        <v>390</v>
      </c>
      <c r="DO48" s="735" t="s">
        <v>427</v>
      </c>
      <c r="DP48" s="982" t="s">
        <v>390</v>
      </c>
      <c r="DQ48" s="735" t="s">
        <v>427</v>
      </c>
      <c r="DR48" s="982" t="s">
        <v>390</v>
      </c>
      <c r="DS48" s="735" t="s">
        <v>427</v>
      </c>
      <c r="DT48" s="982" t="s">
        <v>390</v>
      </c>
      <c r="DU48" s="735" t="s">
        <v>427</v>
      </c>
      <c r="DV48" s="982" t="s">
        <v>390</v>
      </c>
      <c r="DW48" s="735" t="s">
        <v>427</v>
      </c>
      <c r="DX48" s="982" t="s">
        <v>390</v>
      </c>
      <c r="DY48" s="735" t="s">
        <v>427</v>
      </c>
      <c r="DZ48" s="982" t="s">
        <v>390</v>
      </c>
      <c r="EA48" s="735" t="s">
        <v>427</v>
      </c>
      <c r="EB48" s="982" t="s">
        <v>390</v>
      </c>
      <c r="EC48" s="735" t="s">
        <v>427</v>
      </c>
      <c r="ED48" s="982" t="s">
        <v>390</v>
      </c>
      <c r="EE48" s="735" t="s">
        <v>427</v>
      </c>
      <c r="EF48" s="982" t="s">
        <v>390</v>
      </c>
      <c r="EG48" s="735" t="s">
        <v>427</v>
      </c>
      <c r="EH48" s="982" t="s">
        <v>390</v>
      </c>
      <c r="EI48" s="735" t="s">
        <v>427</v>
      </c>
      <c r="EJ48" s="982" t="s">
        <v>390</v>
      </c>
      <c r="EK48" s="735" t="s">
        <v>427</v>
      </c>
      <c r="EL48" s="982" t="s">
        <v>390</v>
      </c>
      <c r="EM48" s="735" t="s">
        <v>427</v>
      </c>
      <c r="EN48" s="982" t="s">
        <v>390</v>
      </c>
      <c r="EO48" s="735" t="s">
        <v>427</v>
      </c>
      <c r="EP48" s="982" t="s">
        <v>390</v>
      </c>
      <c r="EQ48" s="735" t="s">
        <v>427</v>
      </c>
      <c r="ER48" s="982" t="s">
        <v>390</v>
      </c>
      <c r="ES48" s="735" t="s">
        <v>427</v>
      </c>
      <c r="ET48" s="982" t="s">
        <v>390</v>
      </c>
      <c r="EU48" s="735" t="s">
        <v>427</v>
      </c>
      <c r="EV48" s="982" t="s">
        <v>390</v>
      </c>
      <c r="EW48" s="735" t="s">
        <v>427</v>
      </c>
      <c r="EX48" s="982" t="s">
        <v>390</v>
      </c>
      <c r="EY48" s="735" t="s">
        <v>427</v>
      </c>
      <c r="EZ48" s="982" t="s">
        <v>390</v>
      </c>
      <c r="FA48" s="735" t="s">
        <v>427</v>
      </c>
      <c r="FB48" s="982" t="s">
        <v>390</v>
      </c>
      <c r="FC48" s="735" t="s">
        <v>427</v>
      </c>
      <c r="FD48" s="982" t="s">
        <v>390</v>
      </c>
      <c r="FE48" s="735" t="s">
        <v>427</v>
      </c>
      <c r="FF48" s="983" t="s">
        <v>390</v>
      </c>
      <c r="FG48" s="984" t="s">
        <v>427</v>
      </c>
      <c r="FH48" s="985" t="s">
        <v>390</v>
      </c>
      <c r="FI48" s="921"/>
      <c r="FJ48" s="980" t="s">
        <v>425</v>
      </c>
      <c r="FK48" s="731" t="s">
        <v>426</v>
      </c>
      <c r="FL48" s="884"/>
      <c r="FM48" s="814"/>
      <c r="FN48" s="814"/>
      <c r="FO48" s="815"/>
      <c r="FP48" s="740" t="s">
        <v>392</v>
      </c>
      <c r="FQ48" s="666" t="s">
        <v>427</v>
      </c>
      <c r="FR48" s="660" t="s">
        <v>393</v>
      </c>
      <c r="FS48" s="986" t="s">
        <v>392</v>
      </c>
      <c r="FT48" s="666" t="s">
        <v>427</v>
      </c>
      <c r="FU48" s="987" t="s">
        <v>393</v>
      </c>
      <c r="FV48" s="988"/>
      <c r="FW48" s="982" t="s">
        <v>315</v>
      </c>
      <c r="FX48" s="986"/>
      <c r="FY48" s="982" t="s">
        <v>315</v>
      </c>
      <c r="FZ48" s="986"/>
      <c r="GA48" s="982" t="s">
        <v>315</v>
      </c>
      <c r="GB48" s="986"/>
      <c r="GC48" s="982" t="s">
        <v>315</v>
      </c>
      <c r="GD48" s="986"/>
      <c r="GE48" s="989" t="s">
        <v>316</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394</v>
      </c>
      <c r="C49" s="991"/>
      <c r="D49" s="747">
        <v>53</v>
      </c>
      <c r="E49" s="748">
        <v>6</v>
      </c>
      <c r="F49" s="992" t="s">
        <v>395</v>
      </c>
      <c r="G49" s="750"/>
      <c r="H49" s="556"/>
      <c r="I49" s="751"/>
      <c r="J49" s="556"/>
      <c r="K49" s="751"/>
      <c r="L49" s="556"/>
      <c r="M49" s="751"/>
      <c r="N49" s="556"/>
      <c r="O49" s="751"/>
      <c r="P49" s="556"/>
      <c r="Q49" s="751"/>
      <c r="R49" s="556"/>
      <c r="S49" s="751"/>
      <c r="T49" s="556"/>
      <c r="U49" s="751"/>
      <c r="V49" s="556"/>
      <c r="W49" s="751">
        <v>1</v>
      </c>
      <c r="X49" s="556">
        <v>318</v>
      </c>
      <c r="Y49" s="751">
        <v>1</v>
      </c>
      <c r="Z49" s="556">
        <v>318</v>
      </c>
      <c r="AA49" s="751">
        <v>1</v>
      </c>
      <c r="AB49" s="556">
        <v>318</v>
      </c>
      <c r="AC49" s="751">
        <v>0.5</v>
      </c>
      <c r="AD49" s="556">
        <v>159</v>
      </c>
      <c r="AE49" s="751">
        <v>1</v>
      </c>
      <c r="AF49" s="556">
        <v>318</v>
      </c>
      <c r="AG49" s="751">
        <v>1</v>
      </c>
      <c r="AH49" s="556">
        <v>318</v>
      </c>
      <c r="AI49" s="751">
        <v>1</v>
      </c>
      <c r="AJ49" s="556">
        <v>318</v>
      </c>
      <c r="AK49" s="751">
        <v>1</v>
      </c>
      <c r="AL49" s="556">
        <v>318</v>
      </c>
      <c r="AM49" s="751">
        <v>1</v>
      </c>
      <c r="AN49" s="556">
        <v>318</v>
      </c>
      <c r="AO49" s="751">
        <v>1</v>
      </c>
      <c r="AP49" s="556">
        <v>318</v>
      </c>
      <c r="AQ49" s="751"/>
      <c r="AR49" s="556"/>
      <c r="AS49" s="751"/>
      <c r="AT49" s="556"/>
      <c r="AU49" s="751"/>
      <c r="AV49" s="556"/>
      <c r="AW49" s="751"/>
      <c r="AX49" s="556"/>
      <c r="AY49" s="993"/>
      <c r="AZ49" s="994"/>
      <c r="BA49" s="995"/>
      <c r="BB49" s="996"/>
      <c r="BC49" s="927"/>
      <c r="BD49" s="990"/>
      <c r="BE49" s="745" t="s">
        <v>394</v>
      </c>
      <c r="BF49" s="991"/>
      <c r="BG49" s="747"/>
      <c r="BH49" s="748">
        <v>6</v>
      </c>
      <c r="BI49" s="992" t="s">
        <v>395</v>
      </c>
      <c r="BJ49" s="750"/>
      <c r="BK49" s="556"/>
      <c r="BL49" s="751"/>
      <c r="BM49" s="556"/>
      <c r="BN49" s="751"/>
      <c r="BO49" s="556"/>
      <c r="BP49" s="751"/>
      <c r="BQ49" s="556"/>
      <c r="BR49" s="751"/>
      <c r="BS49" s="556"/>
      <c r="BT49" s="751"/>
      <c r="BU49" s="556"/>
      <c r="BV49" s="751"/>
      <c r="BW49" s="556"/>
      <c r="BX49" s="751"/>
      <c r="BY49" s="556"/>
      <c r="BZ49" s="751">
        <v>1</v>
      </c>
      <c r="CA49" s="556">
        <v>318</v>
      </c>
      <c r="CB49" s="751">
        <v>1</v>
      </c>
      <c r="CC49" s="556">
        <v>318</v>
      </c>
      <c r="CD49" s="751">
        <v>1</v>
      </c>
      <c r="CE49" s="556">
        <v>318</v>
      </c>
      <c r="CF49" s="751">
        <v>0.5</v>
      </c>
      <c r="CG49" s="556">
        <v>159</v>
      </c>
      <c r="CH49" s="751">
        <v>1</v>
      </c>
      <c r="CI49" s="556">
        <v>318</v>
      </c>
      <c r="CJ49" s="751">
        <v>1</v>
      </c>
      <c r="CK49" s="556">
        <v>318</v>
      </c>
      <c r="CL49" s="751">
        <v>1</v>
      </c>
      <c r="CM49" s="556">
        <v>318</v>
      </c>
      <c r="CN49" s="751">
        <v>1</v>
      </c>
      <c r="CO49" s="556">
        <v>318</v>
      </c>
      <c r="CP49" s="751">
        <v>1</v>
      </c>
      <c r="CQ49" s="556">
        <v>318</v>
      </c>
      <c r="CR49" s="751">
        <v>1</v>
      </c>
      <c r="CS49" s="556">
        <v>318</v>
      </c>
      <c r="CT49" s="751"/>
      <c r="CU49" s="556"/>
      <c r="CV49" s="751"/>
      <c r="CW49" s="556"/>
      <c r="CX49" s="751"/>
      <c r="CY49" s="556"/>
      <c r="CZ49" s="751"/>
      <c r="DA49" s="556"/>
      <c r="DB49" s="993"/>
      <c r="DC49" s="994"/>
      <c r="DD49" s="995"/>
      <c r="DE49" s="996"/>
      <c r="DF49" s="927"/>
      <c r="DG49" s="990"/>
      <c r="DH49" s="745" t="s">
        <v>394</v>
      </c>
      <c r="DI49" s="991"/>
      <c r="DJ49" s="747"/>
      <c r="DK49" s="748">
        <v>6</v>
      </c>
      <c r="DL49" s="992" t="s">
        <v>395</v>
      </c>
      <c r="DM49" s="750"/>
      <c r="DN49" s="556"/>
      <c r="DO49" s="751"/>
      <c r="DP49" s="556"/>
      <c r="DQ49" s="751"/>
      <c r="DR49" s="556"/>
      <c r="DS49" s="751"/>
      <c r="DT49" s="556"/>
      <c r="DU49" s="751"/>
      <c r="DV49" s="556"/>
      <c r="DW49" s="751"/>
      <c r="DX49" s="556"/>
      <c r="DY49" s="751"/>
      <c r="DZ49" s="556"/>
      <c r="EA49" s="751"/>
      <c r="EB49" s="556"/>
      <c r="EC49" s="751">
        <v>1</v>
      </c>
      <c r="ED49" s="556">
        <v>318</v>
      </c>
      <c r="EE49" s="751">
        <v>1</v>
      </c>
      <c r="EF49" s="556">
        <v>318</v>
      </c>
      <c r="EG49" s="751">
        <v>1</v>
      </c>
      <c r="EH49" s="556">
        <v>318</v>
      </c>
      <c r="EI49" s="751">
        <v>0.5</v>
      </c>
      <c r="EJ49" s="556">
        <v>159</v>
      </c>
      <c r="EK49" s="751">
        <v>1</v>
      </c>
      <c r="EL49" s="556">
        <v>318</v>
      </c>
      <c r="EM49" s="751">
        <v>1</v>
      </c>
      <c r="EN49" s="556">
        <v>318</v>
      </c>
      <c r="EO49" s="751">
        <v>1</v>
      </c>
      <c r="EP49" s="556">
        <v>318</v>
      </c>
      <c r="EQ49" s="751">
        <v>1</v>
      </c>
      <c r="ER49" s="556">
        <v>318</v>
      </c>
      <c r="ES49" s="751">
        <v>1</v>
      </c>
      <c r="ET49" s="556">
        <v>318</v>
      </c>
      <c r="EU49" s="751">
        <v>1</v>
      </c>
      <c r="EV49" s="556">
        <v>318</v>
      </c>
      <c r="EW49" s="751"/>
      <c r="EX49" s="556"/>
      <c r="EY49" s="751"/>
      <c r="EZ49" s="556"/>
      <c r="FA49" s="751"/>
      <c r="FB49" s="556"/>
      <c r="FC49" s="751"/>
      <c r="FD49" s="556"/>
      <c r="FE49" s="993"/>
      <c r="FF49" s="994"/>
      <c r="FG49" s="995"/>
      <c r="FH49" s="996"/>
      <c r="FI49" s="927"/>
      <c r="FJ49" s="990"/>
      <c r="FK49" s="745" t="s">
        <v>394</v>
      </c>
      <c r="FL49" s="991"/>
      <c r="FM49" s="752"/>
      <c r="FN49" s="748">
        <v>0</v>
      </c>
      <c r="FO49" s="992"/>
      <c r="FP49" s="678"/>
      <c r="FQ49" s="753"/>
      <c r="FR49" s="584">
        <v>0</v>
      </c>
      <c r="FS49" s="754"/>
      <c r="FT49" s="753"/>
      <c r="FU49" s="564">
        <v>0</v>
      </c>
      <c r="FV49" s="997" t="s">
        <v>324</v>
      </c>
      <c r="FW49" s="998"/>
      <c r="FX49" s="999" t="s">
        <v>325</v>
      </c>
      <c r="FY49" s="1000"/>
      <c r="FZ49" s="1001" t="s">
        <v>326</v>
      </c>
      <c r="GA49" s="1002"/>
      <c r="GB49" s="1003" t="s">
        <v>327</v>
      </c>
      <c r="GC49" s="1004"/>
      <c r="GD49" s="1003" t="s">
        <v>328</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401</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401</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401</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401</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504</v>
      </c>
      <c r="GV50" s="577"/>
      <c r="GW50" s="577"/>
      <c r="GX50" s="577"/>
      <c r="GY50" s="612"/>
      <c r="GZ50" s="576"/>
      <c r="HA50" s="612">
        <v>36.4</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392</v>
      </c>
      <c r="GM51" s="1036" t="s">
        <v>505</v>
      </c>
      <c r="GN51" s="1037" t="s">
        <v>506</v>
      </c>
      <c r="GO51" s="1038" t="s">
        <v>507</v>
      </c>
      <c r="GP51" s="1038" t="s">
        <v>486</v>
      </c>
      <c r="GQ51" s="1039" t="s">
        <v>487</v>
      </c>
      <c r="GR51" s="726"/>
      <c r="GS51" s="942"/>
      <c r="GT51" s="756"/>
      <c r="GU51" s="577" t="s">
        <v>508</v>
      </c>
      <c r="GV51" s="577"/>
      <c r="GW51" s="577"/>
      <c r="GX51" s="577"/>
      <c r="GY51" s="414"/>
      <c r="GZ51" s="1040"/>
      <c r="HA51" s="612">
        <v>36.4</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318</v>
      </c>
      <c r="Y52" s="1048"/>
      <c r="Z52" s="1047">
        <v>318</v>
      </c>
      <c r="AA52" s="1048"/>
      <c r="AB52" s="1047">
        <v>318</v>
      </c>
      <c r="AC52" s="1048"/>
      <c r="AD52" s="1047">
        <v>159</v>
      </c>
      <c r="AE52" s="1048"/>
      <c r="AF52" s="1047">
        <v>318</v>
      </c>
      <c r="AG52" s="1048"/>
      <c r="AH52" s="1047">
        <v>318</v>
      </c>
      <c r="AI52" s="1048"/>
      <c r="AJ52" s="1047">
        <v>318</v>
      </c>
      <c r="AK52" s="1048"/>
      <c r="AL52" s="1047">
        <v>318</v>
      </c>
      <c r="AM52" s="1048"/>
      <c r="AN52" s="1047">
        <v>318</v>
      </c>
      <c r="AO52" s="1048"/>
      <c r="AP52" s="1047">
        <v>318</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318</v>
      </c>
      <c r="CB52" s="1048"/>
      <c r="CC52" s="1047">
        <v>318</v>
      </c>
      <c r="CD52" s="1048"/>
      <c r="CE52" s="1047">
        <v>318</v>
      </c>
      <c r="CF52" s="1048"/>
      <c r="CG52" s="1047">
        <v>159</v>
      </c>
      <c r="CH52" s="1048"/>
      <c r="CI52" s="1047">
        <v>318</v>
      </c>
      <c r="CJ52" s="1048"/>
      <c r="CK52" s="1047">
        <v>318</v>
      </c>
      <c r="CL52" s="1048"/>
      <c r="CM52" s="1047">
        <v>318</v>
      </c>
      <c r="CN52" s="1048"/>
      <c r="CO52" s="1047">
        <v>318</v>
      </c>
      <c r="CP52" s="1048"/>
      <c r="CQ52" s="1047">
        <v>318</v>
      </c>
      <c r="CR52" s="1048"/>
      <c r="CS52" s="1047">
        <v>318</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318</v>
      </c>
      <c r="EE52" s="1048"/>
      <c r="EF52" s="1047">
        <v>318</v>
      </c>
      <c r="EG52" s="1048"/>
      <c r="EH52" s="1047">
        <v>318</v>
      </c>
      <c r="EI52" s="1048"/>
      <c r="EJ52" s="1047">
        <v>159</v>
      </c>
      <c r="EK52" s="1048"/>
      <c r="EL52" s="1047">
        <v>318</v>
      </c>
      <c r="EM52" s="1048"/>
      <c r="EN52" s="1047">
        <v>318</v>
      </c>
      <c r="EO52" s="1048"/>
      <c r="EP52" s="1047">
        <v>318</v>
      </c>
      <c r="EQ52" s="1048"/>
      <c r="ER52" s="1047">
        <v>318</v>
      </c>
      <c r="ES52" s="1048"/>
      <c r="ET52" s="1047">
        <v>318</v>
      </c>
      <c r="EU52" s="1048"/>
      <c r="EV52" s="1047">
        <v>318</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14</v>
      </c>
      <c r="FW52" s="1058">
        <v>318</v>
      </c>
      <c r="FX52" s="1059">
        <v>14</v>
      </c>
      <c r="FY52" s="1058">
        <v>318</v>
      </c>
      <c r="FZ52" s="1059">
        <v>13</v>
      </c>
      <c r="GA52" s="1058">
        <v>318</v>
      </c>
      <c r="GB52" s="1060" t="s">
        <v>350</v>
      </c>
      <c r="GC52" s="1061">
        <v>318</v>
      </c>
      <c r="GD52" s="1060" t="s">
        <v>352</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5316</v>
      </c>
      <c r="Y53" s="1075"/>
      <c r="Z53" s="1074">
        <v>4991</v>
      </c>
      <c r="AA53" s="1075"/>
      <c r="AB53" s="1074">
        <v>5256</v>
      </c>
      <c r="AC53" s="1075"/>
      <c r="AD53" s="1074">
        <v>5263</v>
      </c>
      <c r="AE53" s="1075"/>
      <c r="AF53" s="1074">
        <v>5895</v>
      </c>
      <c r="AG53" s="1075"/>
      <c r="AH53" s="1074">
        <v>5908</v>
      </c>
      <c r="AI53" s="1075"/>
      <c r="AJ53" s="1074">
        <v>5646</v>
      </c>
      <c r="AK53" s="1075"/>
      <c r="AL53" s="1074">
        <v>5264</v>
      </c>
      <c r="AM53" s="1075"/>
      <c r="AN53" s="1074">
        <v>4776</v>
      </c>
      <c r="AO53" s="1075"/>
      <c r="AP53" s="1074">
        <v>4330</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5205</v>
      </c>
      <c r="CB53" s="1075"/>
      <c r="CC53" s="1074">
        <v>4810</v>
      </c>
      <c r="CD53" s="1075"/>
      <c r="CE53" s="1074">
        <v>5168</v>
      </c>
      <c r="CF53" s="1075"/>
      <c r="CG53" s="1074">
        <v>5336</v>
      </c>
      <c r="CH53" s="1075"/>
      <c r="CI53" s="1074">
        <v>6085</v>
      </c>
      <c r="CJ53" s="1075"/>
      <c r="CK53" s="1074">
        <v>6155</v>
      </c>
      <c r="CL53" s="1075"/>
      <c r="CM53" s="1074">
        <v>5964</v>
      </c>
      <c r="CN53" s="1075"/>
      <c r="CO53" s="1074">
        <v>5550</v>
      </c>
      <c r="CP53" s="1075"/>
      <c r="CQ53" s="1074">
        <v>5026</v>
      </c>
      <c r="CR53" s="1075"/>
      <c r="CS53" s="1074">
        <v>4401</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4742</v>
      </c>
      <c r="EE53" s="1075"/>
      <c r="EF53" s="1074">
        <v>4754</v>
      </c>
      <c r="EG53" s="1075"/>
      <c r="EH53" s="1074">
        <v>5656</v>
      </c>
      <c r="EI53" s="1075"/>
      <c r="EJ53" s="1074">
        <v>5925</v>
      </c>
      <c r="EK53" s="1075"/>
      <c r="EL53" s="1074">
        <v>6581</v>
      </c>
      <c r="EM53" s="1075"/>
      <c r="EN53" s="1074">
        <v>6548</v>
      </c>
      <c r="EO53" s="1075"/>
      <c r="EP53" s="1074">
        <v>6197</v>
      </c>
      <c r="EQ53" s="1075"/>
      <c r="ER53" s="1074">
        <v>5565</v>
      </c>
      <c r="ES53" s="1075"/>
      <c r="ET53" s="1074">
        <v>4727</v>
      </c>
      <c r="EU53" s="1075"/>
      <c r="EV53" s="1074">
        <v>3927</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6209</v>
      </c>
      <c r="FS53" s="1082"/>
      <c r="FT53" s="1081"/>
      <c r="FU53" s="1083">
        <v>6289</v>
      </c>
      <c r="FV53" s="1084">
        <v>14</v>
      </c>
      <c r="FW53" s="1085">
        <v>5908</v>
      </c>
      <c r="FX53" s="1086">
        <v>14</v>
      </c>
      <c r="FY53" s="1085">
        <v>6155</v>
      </c>
      <c r="FZ53" s="1086">
        <v>13</v>
      </c>
      <c r="GA53" s="1085">
        <v>6581</v>
      </c>
      <c r="GB53" s="1087" t="s">
        <v>350</v>
      </c>
      <c r="GC53" s="1085">
        <v>6581</v>
      </c>
      <c r="GD53" s="1087" t="s">
        <v>352</v>
      </c>
      <c r="GE53" s="1088">
        <v>6289</v>
      </c>
      <c r="GF53" s="681"/>
      <c r="GG53" s="979"/>
      <c r="GH53" s="979"/>
      <c r="GI53" s="979"/>
      <c r="GJ53" s="942"/>
      <c r="GK53" s="414"/>
      <c r="GL53" s="1089">
        <v>10</v>
      </c>
      <c r="GM53" s="1090">
        <v>1</v>
      </c>
      <c r="GN53" s="1091">
        <v>0.92</v>
      </c>
      <c r="GO53" s="1092">
        <v>5.7</v>
      </c>
      <c r="GP53" s="1092">
        <v>13</v>
      </c>
      <c r="GQ53" s="1093">
        <v>18.7</v>
      </c>
      <c r="GR53" s="577"/>
      <c r="GS53" s="480"/>
      <c r="GT53" s="850"/>
      <c r="GU53" s="577" t="s">
        <v>509</v>
      </c>
      <c r="GV53" s="577"/>
      <c r="GW53" s="577"/>
      <c r="GX53" s="577"/>
      <c r="GY53" s="414"/>
      <c r="GZ53" s="410"/>
      <c r="HA53" s="612">
        <v>13.4</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91.1</v>
      </c>
      <c r="AA54" s="1102"/>
      <c r="AB54" s="1101">
        <v>95.9</v>
      </c>
      <c r="AC54" s="1102"/>
      <c r="AD54" s="1101">
        <v>96</v>
      </c>
      <c r="AE54" s="1102"/>
      <c r="AF54" s="1101">
        <v>107.6</v>
      </c>
      <c r="AG54" s="1102"/>
      <c r="AH54" s="1101">
        <v>107.8</v>
      </c>
      <c r="AI54" s="1102"/>
      <c r="AJ54" s="1101">
        <v>103</v>
      </c>
      <c r="AK54" s="1102"/>
      <c r="AL54" s="1101">
        <v>96.1</v>
      </c>
      <c r="AM54" s="1102"/>
      <c r="AN54" s="1101">
        <v>87.2</v>
      </c>
      <c r="AO54" s="1102"/>
      <c r="AP54" s="1101">
        <v>79</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95</v>
      </c>
      <c r="CB54" s="1102"/>
      <c r="CC54" s="1101">
        <v>87.8</v>
      </c>
      <c r="CD54" s="1102"/>
      <c r="CE54" s="1101">
        <v>94.3</v>
      </c>
      <c r="CF54" s="1102"/>
      <c r="CG54" s="1101">
        <v>97.4</v>
      </c>
      <c r="CH54" s="1102"/>
      <c r="CI54" s="1101">
        <v>111</v>
      </c>
      <c r="CJ54" s="1102"/>
      <c r="CK54" s="1101">
        <v>112.3</v>
      </c>
      <c r="CL54" s="1102"/>
      <c r="CM54" s="1101">
        <v>108.8</v>
      </c>
      <c r="CN54" s="1102"/>
      <c r="CO54" s="1101">
        <v>101.3</v>
      </c>
      <c r="CP54" s="1102"/>
      <c r="CQ54" s="1101">
        <v>91.7</v>
      </c>
      <c r="CR54" s="1102"/>
      <c r="CS54" s="1101">
        <v>80.3</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86.5</v>
      </c>
      <c r="EE54" s="1102"/>
      <c r="EF54" s="1101">
        <v>86.8</v>
      </c>
      <c r="EG54" s="1102"/>
      <c r="EH54" s="1101">
        <v>103.2</v>
      </c>
      <c r="EI54" s="1102"/>
      <c r="EJ54" s="1101">
        <v>108.1</v>
      </c>
      <c r="EK54" s="1102"/>
      <c r="EL54" s="1101">
        <v>120.1</v>
      </c>
      <c r="EM54" s="1102"/>
      <c r="EN54" s="1101">
        <v>119.5</v>
      </c>
      <c r="EO54" s="1102"/>
      <c r="EP54" s="1101">
        <v>113.1</v>
      </c>
      <c r="EQ54" s="1102"/>
      <c r="ER54" s="1101">
        <v>101.6</v>
      </c>
      <c r="ES54" s="1102"/>
      <c r="ET54" s="1101">
        <v>86.3</v>
      </c>
      <c r="EU54" s="1102"/>
      <c r="EV54" s="1101">
        <v>71.7</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113.3</v>
      </c>
      <c r="FS54" s="1105"/>
      <c r="FT54" s="1102"/>
      <c r="FU54" s="1106">
        <v>114.8</v>
      </c>
      <c r="FV54" s="1105"/>
      <c r="FW54" s="1101">
        <f>IF(面積=0,0,ROUND(FW53/面積,1))</f>
        <v>107.8</v>
      </c>
      <c r="FX54" s="1105"/>
      <c r="FY54" s="1101">
        <f>IF(面積=0,0,ROUND(FY53/面積,1))</f>
        <v>112.3</v>
      </c>
      <c r="FZ54" s="1105"/>
      <c r="GA54" s="1101">
        <f>IF(面積=0,0,ROUND(GA53/面積,1))</f>
        <v>120.1</v>
      </c>
      <c r="GB54" s="1105"/>
      <c r="GC54" s="1101">
        <f>IF(面積=0,0,ROUND(GC53/面積,1))</f>
        <v>120.1</v>
      </c>
      <c r="GD54" s="1105"/>
      <c r="GE54" s="1103">
        <f>IF(面積=0,0,ROUND(GE53/面積,1))</f>
        <v>114.8</v>
      </c>
      <c r="GF54" s="681"/>
      <c r="GG54" s="926"/>
      <c r="GH54" s="926"/>
      <c r="GI54" s="926"/>
      <c r="GJ54" s="577"/>
      <c r="GK54" s="576"/>
      <c r="GL54" s="1089">
        <v>11</v>
      </c>
      <c r="GM54" s="1090">
        <v>2</v>
      </c>
      <c r="GN54" s="1091">
        <v>0.85</v>
      </c>
      <c r="GO54" s="1092">
        <v>5.3</v>
      </c>
      <c r="GP54" s="1092">
        <v>13</v>
      </c>
      <c r="GQ54" s="1093">
        <v>18.3</v>
      </c>
      <c r="GR54" s="527"/>
      <c r="GS54" s="577"/>
      <c r="GT54" s="850"/>
      <c r="GU54" s="1107" t="s">
        <v>510</v>
      </c>
      <c r="GV54" s="1107"/>
      <c r="GW54" s="1107"/>
      <c r="GX54" s="1107"/>
      <c r="GY54" s="768"/>
      <c r="GZ54" s="1108"/>
      <c r="HA54" s="1109">
        <v>49.8</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4.8</v>
      </c>
      <c r="GP55" s="1092">
        <v>13</v>
      </c>
      <c r="GQ55" s="1093">
        <v>17.8</v>
      </c>
      <c r="GR55" s="527"/>
      <c r="GS55" s="527"/>
      <c r="GT55" s="1115"/>
      <c r="GU55" s="1116"/>
      <c r="GV55" s="576"/>
      <c r="GW55" s="527"/>
      <c r="GX55" s="576"/>
      <c r="GY55" s="392"/>
      <c r="GZ55" s="526"/>
      <c r="HA55" s="577"/>
      <c r="HB55" s="526"/>
      <c r="HC55" s="392"/>
      <c r="HD55" s="388"/>
    </row>
    <row r="56" spans="1:212" ht="20.100000000000001" customHeight="1">
      <c r="A56" s="1117" t="s">
        <v>329</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329</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329</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330</v>
      </c>
      <c r="FK56" s="1118"/>
      <c r="FL56" s="1118"/>
      <c r="FM56" s="1118"/>
      <c r="FN56" s="1119"/>
      <c r="FO56" s="1119"/>
      <c r="FP56" s="1125" t="s">
        <v>36</v>
      </c>
      <c r="FQ56" s="1126"/>
      <c r="FR56" s="1127"/>
      <c r="FS56" s="1128" t="s">
        <v>291</v>
      </c>
      <c r="FT56" s="1129"/>
      <c r="FU56" s="1130"/>
      <c r="FV56" s="1131" t="s">
        <v>331</v>
      </c>
      <c r="FW56" s="1132"/>
      <c r="FX56" s="1133" t="s">
        <v>332</v>
      </c>
      <c r="FY56" s="1134"/>
      <c r="FZ56" s="1135" t="s">
        <v>333</v>
      </c>
      <c r="GA56" s="1136"/>
      <c r="GB56" s="1137" t="s">
        <v>334</v>
      </c>
      <c r="GC56" s="1122"/>
      <c r="GD56" s="1137" t="s">
        <v>335</v>
      </c>
      <c r="GE56" s="1124"/>
      <c r="GF56" s="681"/>
      <c r="GG56" s="480"/>
      <c r="GH56" s="480"/>
      <c r="GI56" s="480"/>
      <c r="GJ56" s="527"/>
      <c r="GK56" s="576"/>
      <c r="GL56" s="1089">
        <v>13</v>
      </c>
      <c r="GM56" s="1090">
        <v>4</v>
      </c>
      <c r="GN56" s="1091">
        <v>0.72</v>
      </c>
      <c r="GO56" s="1092">
        <v>4.5</v>
      </c>
      <c r="GP56" s="1092">
        <v>13</v>
      </c>
      <c r="GQ56" s="1093">
        <v>17.5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336</v>
      </c>
      <c r="H57" s="1143" t="s">
        <v>315</v>
      </c>
      <c r="I57" s="1144" t="s">
        <v>336</v>
      </c>
      <c r="J57" s="1143" t="s">
        <v>315</v>
      </c>
      <c r="K57" s="1144" t="s">
        <v>336</v>
      </c>
      <c r="L57" s="1143" t="s">
        <v>315</v>
      </c>
      <c r="M57" s="1144" t="s">
        <v>336</v>
      </c>
      <c r="N57" s="1143" t="s">
        <v>315</v>
      </c>
      <c r="O57" s="1144" t="s">
        <v>336</v>
      </c>
      <c r="P57" s="1143" t="s">
        <v>315</v>
      </c>
      <c r="Q57" s="1144" t="s">
        <v>336</v>
      </c>
      <c r="R57" s="1143" t="s">
        <v>315</v>
      </c>
      <c r="S57" s="1144" t="s">
        <v>336</v>
      </c>
      <c r="T57" s="1143" t="s">
        <v>315</v>
      </c>
      <c r="U57" s="1144" t="s">
        <v>336</v>
      </c>
      <c r="V57" s="1143" t="s">
        <v>315</v>
      </c>
      <c r="W57" s="1144" t="s">
        <v>336</v>
      </c>
      <c r="X57" s="1143" t="s">
        <v>315</v>
      </c>
      <c r="Y57" s="1144" t="s">
        <v>336</v>
      </c>
      <c r="Z57" s="1143" t="s">
        <v>315</v>
      </c>
      <c r="AA57" s="1144" t="s">
        <v>336</v>
      </c>
      <c r="AB57" s="1143" t="s">
        <v>315</v>
      </c>
      <c r="AC57" s="1144" t="s">
        <v>336</v>
      </c>
      <c r="AD57" s="1143" t="s">
        <v>336</v>
      </c>
      <c r="AE57" s="1144" t="s">
        <v>336</v>
      </c>
      <c r="AF57" s="1143" t="s">
        <v>315</v>
      </c>
      <c r="AG57" s="1144" t="s">
        <v>336</v>
      </c>
      <c r="AH57" s="1143" t="s">
        <v>315</v>
      </c>
      <c r="AI57" s="1144" t="s">
        <v>336</v>
      </c>
      <c r="AJ57" s="1143" t="s">
        <v>315</v>
      </c>
      <c r="AK57" s="1144" t="s">
        <v>336</v>
      </c>
      <c r="AL57" s="1143" t="s">
        <v>315</v>
      </c>
      <c r="AM57" s="1144" t="s">
        <v>336</v>
      </c>
      <c r="AN57" s="1143" t="s">
        <v>315</v>
      </c>
      <c r="AO57" s="1144" t="s">
        <v>336</v>
      </c>
      <c r="AP57" s="1143" t="s">
        <v>315</v>
      </c>
      <c r="AQ57" s="1144" t="s">
        <v>336</v>
      </c>
      <c r="AR57" s="1143" t="s">
        <v>315</v>
      </c>
      <c r="AS57" s="1144" t="s">
        <v>336</v>
      </c>
      <c r="AT57" s="1143" t="s">
        <v>315</v>
      </c>
      <c r="AU57" s="1144" t="s">
        <v>336</v>
      </c>
      <c r="AV57" s="1143" t="s">
        <v>315</v>
      </c>
      <c r="AW57" s="1144" t="s">
        <v>336</v>
      </c>
      <c r="AX57" s="1143" t="s">
        <v>315</v>
      </c>
      <c r="AY57" s="1144" t="s">
        <v>336</v>
      </c>
      <c r="AZ57" s="1143" t="s">
        <v>315</v>
      </c>
      <c r="BA57" s="1145" t="s">
        <v>336</v>
      </c>
      <c r="BB57" s="1146" t="s">
        <v>315</v>
      </c>
      <c r="BC57" s="1041"/>
      <c r="BD57" s="1138"/>
      <c r="BE57" s="1139"/>
      <c r="BF57" s="1139"/>
      <c r="BG57" s="1139"/>
      <c r="BH57" s="1140"/>
      <c r="BI57" s="1141"/>
      <c r="BJ57" s="1142" t="s">
        <v>336</v>
      </c>
      <c r="BK57" s="1143" t="s">
        <v>315</v>
      </c>
      <c r="BL57" s="1144" t="s">
        <v>336</v>
      </c>
      <c r="BM57" s="1143" t="s">
        <v>315</v>
      </c>
      <c r="BN57" s="1144" t="s">
        <v>336</v>
      </c>
      <c r="BO57" s="1143" t="s">
        <v>315</v>
      </c>
      <c r="BP57" s="1144" t="s">
        <v>336</v>
      </c>
      <c r="BQ57" s="1143" t="s">
        <v>315</v>
      </c>
      <c r="BR57" s="1144" t="s">
        <v>336</v>
      </c>
      <c r="BS57" s="1143" t="s">
        <v>315</v>
      </c>
      <c r="BT57" s="1144" t="s">
        <v>336</v>
      </c>
      <c r="BU57" s="1143" t="s">
        <v>315</v>
      </c>
      <c r="BV57" s="1144" t="s">
        <v>336</v>
      </c>
      <c r="BW57" s="1143" t="s">
        <v>315</v>
      </c>
      <c r="BX57" s="1144" t="s">
        <v>336</v>
      </c>
      <c r="BY57" s="1143" t="s">
        <v>315</v>
      </c>
      <c r="BZ57" s="1144" t="s">
        <v>336</v>
      </c>
      <c r="CA57" s="1143" t="s">
        <v>315</v>
      </c>
      <c r="CB57" s="1144" t="s">
        <v>336</v>
      </c>
      <c r="CC57" s="1143" t="s">
        <v>315</v>
      </c>
      <c r="CD57" s="1144" t="s">
        <v>336</v>
      </c>
      <c r="CE57" s="1143" t="s">
        <v>315</v>
      </c>
      <c r="CF57" s="1144" t="s">
        <v>336</v>
      </c>
      <c r="CG57" s="1143" t="s">
        <v>336</v>
      </c>
      <c r="CH57" s="1144" t="s">
        <v>336</v>
      </c>
      <c r="CI57" s="1143" t="s">
        <v>315</v>
      </c>
      <c r="CJ57" s="1144" t="s">
        <v>336</v>
      </c>
      <c r="CK57" s="1143" t="s">
        <v>315</v>
      </c>
      <c r="CL57" s="1144" t="s">
        <v>336</v>
      </c>
      <c r="CM57" s="1143" t="s">
        <v>315</v>
      </c>
      <c r="CN57" s="1144" t="s">
        <v>336</v>
      </c>
      <c r="CO57" s="1143" t="s">
        <v>315</v>
      </c>
      <c r="CP57" s="1144" t="s">
        <v>336</v>
      </c>
      <c r="CQ57" s="1143" t="s">
        <v>315</v>
      </c>
      <c r="CR57" s="1144" t="s">
        <v>336</v>
      </c>
      <c r="CS57" s="1143" t="s">
        <v>315</v>
      </c>
      <c r="CT57" s="1144" t="s">
        <v>336</v>
      </c>
      <c r="CU57" s="1143" t="s">
        <v>315</v>
      </c>
      <c r="CV57" s="1144" t="s">
        <v>336</v>
      </c>
      <c r="CW57" s="1143" t="s">
        <v>315</v>
      </c>
      <c r="CX57" s="1144" t="s">
        <v>336</v>
      </c>
      <c r="CY57" s="1143" t="s">
        <v>315</v>
      </c>
      <c r="CZ57" s="1144" t="s">
        <v>336</v>
      </c>
      <c r="DA57" s="1143" t="s">
        <v>315</v>
      </c>
      <c r="DB57" s="1144" t="s">
        <v>336</v>
      </c>
      <c r="DC57" s="1143" t="s">
        <v>315</v>
      </c>
      <c r="DD57" s="1145" t="s">
        <v>336</v>
      </c>
      <c r="DE57" s="1146" t="s">
        <v>315</v>
      </c>
      <c r="DF57" s="1041"/>
      <c r="DG57" s="1138"/>
      <c r="DH57" s="1139"/>
      <c r="DI57" s="1139"/>
      <c r="DJ57" s="1139"/>
      <c r="DK57" s="1140"/>
      <c r="DL57" s="1141"/>
      <c r="DM57" s="1142" t="s">
        <v>336</v>
      </c>
      <c r="DN57" s="1143" t="s">
        <v>315</v>
      </c>
      <c r="DO57" s="1144" t="s">
        <v>336</v>
      </c>
      <c r="DP57" s="1143" t="s">
        <v>315</v>
      </c>
      <c r="DQ57" s="1144" t="s">
        <v>336</v>
      </c>
      <c r="DR57" s="1143" t="s">
        <v>315</v>
      </c>
      <c r="DS57" s="1144" t="s">
        <v>336</v>
      </c>
      <c r="DT57" s="1143" t="s">
        <v>315</v>
      </c>
      <c r="DU57" s="1144" t="s">
        <v>336</v>
      </c>
      <c r="DV57" s="1143" t="s">
        <v>315</v>
      </c>
      <c r="DW57" s="1144" t="s">
        <v>336</v>
      </c>
      <c r="DX57" s="1143" t="s">
        <v>315</v>
      </c>
      <c r="DY57" s="1144" t="s">
        <v>336</v>
      </c>
      <c r="DZ57" s="1143" t="s">
        <v>315</v>
      </c>
      <c r="EA57" s="1144" t="s">
        <v>336</v>
      </c>
      <c r="EB57" s="1143" t="s">
        <v>315</v>
      </c>
      <c r="EC57" s="1144" t="s">
        <v>336</v>
      </c>
      <c r="ED57" s="1143" t="s">
        <v>315</v>
      </c>
      <c r="EE57" s="1144" t="s">
        <v>336</v>
      </c>
      <c r="EF57" s="1143" t="s">
        <v>315</v>
      </c>
      <c r="EG57" s="1144" t="s">
        <v>336</v>
      </c>
      <c r="EH57" s="1143" t="s">
        <v>315</v>
      </c>
      <c r="EI57" s="1144" t="s">
        <v>336</v>
      </c>
      <c r="EJ57" s="1143" t="s">
        <v>336</v>
      </c>
      <c r="EK57" s="1144" t="s">
        <v>336</v>
      </c>
      <c r="EL57" s="1143" t="s">
        <v>315</v>
      </c>
      <c r="EM57" s="1144" t="s">
        <v>336</v>
      </c>
      <c r="EN57" s="1143" t="s">
        <v>315</v>
      </c>
      <c r="EO57" s="1144" t="s">
        <v>336</v>
      </c>
      <c r="EP57" s="1143" t="s">
        <v>315</v>
      </c>
      <c r="EQ57" s="1144" t="s">
        <v>336</v>
      </c>
      <c r="ER57" s="1143" t="s">
        <v>315</v>
      </c>
      <c r="ES57" s="1144" t="s">
        <v>336</v>
      </c>
      <c r="ET57" s="1143" t="s">
        <v>315</v>
      </c>
      <c r="EU57" s="1144" t="s">
        <v>336</v>
      </c>
      <c r="EV57" s="1143" t="s">
        <v>315</v>
      </c>
      <c r="EW57" s="1144" t="s">
        <v>336</v>
      </c>
      <c r="EX57" s="1143" t="s">
        <v>315</v>
      </c>
      <c r="EY57" s="1144" t="s">
        <v>336</v>
      </c>
      <c r="EZ57" s="1143" t="s">
        <v>315</v>
      </c>
      <c r="FA57" s="1144" t="s">
        <v>336</v>
      </c>
      <c r="FB57" s="1143" t="s">
        <v>315</v>
      </c>
      <c r="FC57" s="1144" t="s">
        <v>336</v>
      </c>
      <c r="FD57" s="1143" t="s">
        <v>315</v>
      </c>
      <c r="FE57" s="1144" t="s">
        <v>336</v>
      </c>
      <c r="FF57" s="1143" t="s">
        <v>315</v>
      </c>
      <c r="FG57" s="1145" t="s">
        <v>336</v>
      </c>
      <c r="FH57" s="1146" t="s">
        <v>315</v>
      </c>
      <c r="FI57" s="1041"/>
      <c r="FJ57" s="1138"/>
      <c r="FK57" s="1139"/>
      <c r="FL57" s="1139"/>
      <c r="FM57" s="1139"/>
      <c r="FN57" s="1140"/>
      <c r="FO57" s="1141"/>
      <c r="FP57" s="1147" t="s">
        <v>46</v>
      </c>
      <c r="FQ57" s="1145" t="s">
        <v>336</v>
      </c>
      <c r="FR57" s="1143" t="s">
        <v>316</v>
      </c>
      <c r="FS57" s="1148" t="s">
        <v>46</v>
      </c>
      <c r="FT57" s="1145" t="s">
        <v>336</v>
      </c>
      <c r="FU57" s="1149" t="s">
        <v>316</v>
      </c>
      <c r="FV57" s="1150" t="s">
        <v>46</v>
      </c>
      <c r="FW57" s="1143" t="s">
        <v>315</v>
      </c>
      <c r="FX57" s="1148" t="s">
        <v>46</v>
      </c>
      <c r="FY57" s="1143" t="s">
        <v>315</v>
      </c>
      <c r="FZ57" s="1148" t="s">
        <v>46</v>
      </c>
      <c r="GA57" s="1143" t="s">
        <v>315</v>
      </c>
      <c r="GB57" s="1148" t="s">
        <v>46</v>
      </c>
      <c r="GC57" s="1143" t="s">
        <v>315</v>
      </c>
      <c r="GD57" s="1148" t="s">
        <v>46</v>
      </c>
      <c r="GE57" s="1146" t="s">
        <v>316</v>
      </c>
      <c r="GF57" s="681"/>
      <c r="GG57" s="652"/>
      <c r="GH57" s="652"/>
      <c r="GI57" s="652"/>
      <c r="GJ57" s="942"/>
      <c r="GK57" s="410"/>
      <c r="GL57" s="1113">
        <v>14</v>
      </c>
      <c r="GM57" s="1114">
        <v>5</v>
      </c>
      <c r="GN57" s="1091">
        <v>0.66</v>
      </c>
      <c r="GO57" s="1092">
        <v>4.0999999999999996</v>
      </c>
      <c r="GP57" s="1092">
        <v>13</v>
      </c>
      <c r="GQ57" s="1093">
        <v>17.100000000000001</v>
      </c>
      <c r="GR57" s="942"/>
      <c r="GS57" s="526"/>
      <c r="GT57" s="1253"/>
      <c r="GU57" s="575"/>
      <c r="GV57" s="575"/>
      <c r="GW57" s="497"/>
      <c r="GX57" s="1256"/>
      <c r="GY57" s="576"/>
      <c r="GZ57" s="497"/>
      <c r="HA57" s="575"/>
      <c r="HB57" s="497"/>
      <c r="HC57" s="1041"/>
    </row>
    <row r="58" spans="1:212" ht="20.100000000000001" customHeight="1">
      <c r="A58" s="1151" t="s">
        <v>659</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180</v>
      </c>
      <c r="Y58" s="1157"/>
      <c r="Z58" s="1156">
        <v>180</v>
      </c>
      <c r="AA58" s="1157"/>
      <c r="AB58" s="1156">
        <v>180</v>
      </c>
      <c r="AC58" s="1157"/>
      <c r="AD58" s="1156">
        <v>180</v>
      </c>
      <c r="AE58" s="1157"/>
      <c r="AF58" s="1156">
        <v>180</v>
      </c>
      <c r="AG58" s="1157"/>
      <c r="AH58" s="1156">
        <v>180</v>
      </c>
      <c r="AI58" s="1157"/>
      <c r="AJ58" s="1156">
        <v>180</v>
      </c>
      <c r="AK58" s="1157"/>
      <c r="AL58" s="1156">
        <v>180</v>
      </c>
      <c r="AM58" s="1157"/>
      <c r="AN58" s="1156">
        <v>180</v>
      </c>
      <c r="AO58" s="1157"/>
      <c r="AP58" s="1156">
        <v>180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180</v>
      </c>
      <c r="CB58" s="1157"/>
      <c r="CC58" s="1156">
        <v>180</v>
      </c>
      <c r="CD58" s="1157"/>
      <c r="CE58" s="1156">
        <v>180</v>
      </c>
      <c r="CF58" s="1157"/>
      <c r="CG58" s="1156">
        <v>180</v>
      </c>
      <c r="CH58" s="1157"/>
      <c r="CI58" s="1156">
        <v>180</v>
      </c>
      <c r="CJ58" s="1157"/>
      <c r="CK58" s="1156">
        <v>180</v>
      </c>
      <c r="CL58" s="1157"/>
      <c r="CM58" s="1156">
        <v>180</v>
      </c>
      <c r="CN58" s="1157"/>
      <c r="CO58" s="1156">
        <v>180</v>
      </c>
      <c r="CP58" s="1157"/>
      <c r="CQ58" s="1156">
        <v>180</v>
      </c>
      <c r="CR58" s="1157"/>
      <c r="CS58" s="1156">
        <v>180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180</v>
      </c>
      <c r="EE58" s="1157"/>
      <c r="EF58" s="1156">
        <v>180</v>
      </c>
      <c r="EG58" s="1157"/>
      <c r="EH58" s="1156">
        <v>180</v>
      </c>
      <c r="EI58" s="1157"/>
      <c r="EJ58" s="1156">
        <v>180</v>
      </c>
      <c r="EK58" s="1157"/>
      <c r="EL58" s="1156">
        <v>180</v>
      </c>
      <c r="EM58" s="1157"/>
      <c r="EN58" s="1156">
        <v>180</v>
      </c>
      <c r="EO58" s="1157"/>
      <c r="EP58" s="1156">
        <v>180</v>
      </c>
      <c r="EQ58" s="1157"/>
      <c r="ER58" s="1156">
        <v>180</v>
      </c>
      <c r="ES58" s="1157"/>
      <c r="ET58" s="1156">
        <v>180</v>
      </c>
      <c r="EU58" s="1157"/>
      <c r="EV58" s="1156">
        <v>180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180</v>
      </c>
      <c r="FS58" s="1160"/>
      <c r="FT58" s="1159"/>
      <c r="FU58" s="1161">
        <v>180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3.8</v>
      </c>
      <c r="GP58" s="1092">
        <v>13</v>
      </c>
      <c r="GQ58" s="1093">
        <v>16.8</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26.5</v>
      </c>
      <c r="X59" s="584">
        <v>1590</v>
      </c>
      <c r="Y59" s="1173">
        <v>27.4</v>
      </c>
      <c r="Z59" s="584">
        <v>1644</v>
      </c>
      <c r="AA59" s="1173">
        <v>27.7</v>
      </c>
      <c r="AB59" s="584">
        <v>1662</v>
      </c>
      <c r="AC59" s="1173">
        <v>29</v>
      </c>
      <c r="AD59" s="584">
        <v>1740</v>
      </c>
      <c r="AE59" s="1173">
        <v>28.6</v>
      </c>
      <c r="AF59" s="584">
        <v>1716</v>
      </c>
      <c r="AG59" s="1173">
        <v>27.9</v>
      </c>
      <c r="AH59" s="584">
        <v>1674</v>
      </c>
      <c r="AI59" s="1173">
        <v>27.9</v>
      </c>
      <c r="AJ59" s="584">
        <v>1674</v>
      </c>
      <c r="AK59" s="1173">
        <v>27.6</v>
      </c>
      <c r="AL59" s="584">
        <v>1656</v>
      </c>
      <c r="AM59" s="1173">
        <v>26.9</v>
      </c>
      <c r="AN59" s="584">
        <v>1614</v>
      </c>
      <c r="AO59" s="1173">
        <v>26.2</v>
      </c>
      <c r="AP59" s="584">
        <v>1572</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21.4</v>
      </c>
      <c r="CA59" s="584">
        <v>1284</v>
      </c>
      <c r="CB59" s="1173">
        <v>22.2</v>
      </c>
      <c r="CC59" s="584">
        <v>1332</v>
      </c>
      <c r="CD59" s="1173">
        <v>23.1</v>
      </c>
      <c r="CE59" s="584">
        <v>1386</v>
      </c>
      <c r="CF59" s="1173">
        <v>23.8</v>
      </c>
      <c r="CG59" s="584">
        <v>1428</v>
      </c>
      <c r="CH59" s="1173">
        <v>24.2</v>
      </c>
      <c r="CI59" s="584">
        <v>1452</v>
      </c>
      <c r="CJ59" s="1173">
        <v>23.5</v>
      </c>
      <c r="CK59" s="584">
        <v>1410</v>
      </c>
      <c r="CL59" s="1173">
        <v>23.3</v>
      </c>
      <c r="CM59" s="584">
        <v>1398</v>
      </c>
      <c r="CN59" s="1173">
        <v>23.1</v>
      </c>
      <c r="CO59" s="584">
        <v>1386</v>
      </c>
      <c r="CP59" s="1173">
        <v>23.1</v>
      </c>
      <c r="CQ59" s="584">
        <v>1386</v>
      </c>
      <c r="CR59" s="1173">
        <v>22.4</v>
      </c>
      <c r="CS59" s="584">
        <v>1344</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12.6</v>
      </c>
      <c r="ED59" s="584">
        <v>756</v>
      </c>
      <c r="EE59" s="1173">
        <v>13.7</v>
      </c>
      <c r="EF59" s="584">
        <v>822</v>
      </c>
      <c r="EG59" s="1173">
        <v>13.8</v>
      </c>
      <c r="EH59" s="584">
        <v>828</v>
      </c>
      <c r="EI59" s="1173">
        <v>14.2</v>
      </c>
      <c r="EJ59" s="584">
        <v>852</v>
      </c>
      <c r="EK59" s="1173">
        <v>13.9</v>
      </c>
      <c r="EL59" s="584">
        <v>834</v>
      </c>
      <c r="EM59" s="1173">
        <v>13.4</v>
      </c>
      <c r="EN59" s="584">
        <v>804</v>
      </c>
      <c r="EO59" s="1173">
        <v>13.2</v>
      </c>
      <c r="EP59" s="584">
        <v>792</v>
      </c>
      <c r="EQ59" s="1173">
        <v>13.3</v>
      </c>
      <c r="ER59" s="584">
        <v>798</v>
      </c>
      <c r="ES59" s="1173">
        <v>12.8</v>
      </c>
      <c r="ET59" s="584">
        <v>768</v>
      </c>
      <c r="EU59" s="1173">
        <v>13.3</v>
      </c>
      <c r="EV59" s="584">
        <v>798</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33.1</v>
      </c>
      <c r="FR59" s="1175">
        <v>1986</v>
      </c>
      <c r="FS59" s="1176">
        <v>9</v>
      </c>
      <c r="FT59" s="1174">
        <v>29.4</v>
      </c>
      <c r="FU59" s="1177">
        <v>1764</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3.5</v>
      </c>
      <c r="GP59" s="1092">
        <v>13</v>
      </c>
      <c r="GQ59" s="1093">
        <v>16.5</v>
      </c>
      <c r="GR59" s="882"/>
      <c r="GS59" s="392"/>
      <c r="GT59" s="1255"/>
      <c r="GU59" s="576"/>
      <c r="GV59" s="497"/>
      <c r="GW59" s="497"/>
      <c r="GX59" s="1256"/>
      <c r="GY59" s="1254"/>
      <c r="GZ59" s="576"/>
      <c r="HA59" s="575"/>
      <c r="HB59" s="497"/>
      <c r="HC59" s="1167"/>
      <c r="HD59" s="1183"/>
    </row>
    <row r="60" spans="1:212" ht="20.100000000000001" customHeight="1">
      <c r="A60" s="1168" t="s">
        <v>664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1265</v>
      </c>
      <c r="Y60" s="585"/>
      <c r="Z60" s="584">
        <v>1590</v>
      </c>
      <c r="AA60" s="585"/>
      <c r="AB60" s="584">
        <v>1325</v>
      </c>
      <c r="AC60" s="585"/>
      <c r="AD60" s="584">
        <v>1159</v>
      </c>
      <c r="AE60" s="585"/>
      <c r="AF60" s="584">
        <v>686</v>
      </c>
      <c r="AG60" s="585"/>
      <c r="AH60" s="584">
        <v>673</v>
      </c>
      <c r="AI60" s="585"/>
      <c r="AJ60" s="584">
        <v>935</v>
      </c>
      <c r="AK60" s="585"/>
      <c r="AL60" s="584">
        <v>1317</v>
      </c>
      <c r="AM60" s="585"/>
      <c r="AN60" s="584">
        <v>1805</v>
      </c>
      <c r="AO60" s="585"/>
      <c r="AP60" s="584">
        <v>2251</v>
      </c>
      <c r="AQ60" s="585"/>
      <c r="AR60" s="584"/>
      <c r="AS60" s="585"/>
      <c r="AT60" s="584"/>
      <c r="AU60" s="585"/>
      <c r="AV60" s="584"/>
      <c r="AW60" s="585"/>
      <c r="AX60" s="584"/>
      <c r="AY60" s="585"/>
      <c r="AZ60" s="584"/>
      <c r="BA60" s="585"/>
      <c r="BB60" s="586"/>
      <c r="BC60" s="560"/>
      <c r="BD60" s="1168" t="s">
        <v>665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1376</v>
      </c>
      <c r="CB60" s="585"/>
      <c r="CC60" s="584">
        <v>1771</v>
      </c>
      <c r="CD60" s="585"/>
      <c r="CE60" s="584">
        <v>1413</v>
      </c>
      <c r="CF60" s="585"/>
      <c r="CG60" s="584">
        <v>1086</v>
      </c>
      <c r="CH60" s="585"/>
      <c r="CI60" s="584">
        <v>496</v>
      </c>
      <c r="CJ60" s="585"/>
      <c r="CK60" s="584">
        <v>426</v>
      </c>
      <c r="CL60" s="585"/>
      <c r="CM60" s="584">
        <v>617</v>
      </c>
      <c r="CN60" s="585"/>
      <c r="CO60" s="584">
        <v>1031</v>
      </c>
      <c r="CP60" s="585"/>
      <c r="CQ60" s="584">
        <v>1555</v>
      </c>
      <c r="CR60" s="585"/>
      <c r="CS60" s="584">
        <v>2180</v>
      </c>
      <c r="CT60" s="585"/>
      <c r="CU60" s="584"/>
      <c r="CV60" s="585"/>
      <c r="CW60" s="584"/>
      <c r="CX60" s="585"/>
      <c r="CY60" s="584"/>
      <c r="CZ60" s="585"/>
      <c r="DA60" s="584"/>
      <c r="DB60" s="585"/>
      <c r="DC60" s="584"/>
      <c r="DD60" s="585"/>
      <c r="DE60" s="586"/>
      <c r="DF60" s="559"/>
      <c r="DG60" s="1168" t="s">
        <v>665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1839</v>
      </c>
      <c r="EE60" s="585"/>
      <c r="EF60" s="584">
        <v>1827</v>
      </c>
      <c r="EG60" s="585"/>
      <c r="EH60" s="584">
        <v>925</v>
      </c>
      <c r="EI60" s="585"/>
      <c r="EJ60" s="584">
        <v>497</v>
      </c>
      <c r="EK60" s="585"/>
      <c r="EL60" s="584">
        <v>0</v>
      </c>
      <c r="EM60" s="585"/>
      <c r="EN60" s="584">
        <v>33</v>
      </c>
      <c r="EO60" s="585"/>
      <c r="EP60" s="584">
        <v>384</v>
      </c>
      <c r="EQ60" s="585"/>
      <c r="ER60" s="584">
        <v>1016</v>
      </c>
      <c r="ES60" s="585"/>
      <c r="ET60" s="584">
        <v>1854</v>
      </c>
      <c r="EU60" s="585"/>
      <c r="EV60" s="584">
        <v>2654</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3.2</v>
      </c>
      <c r="GP60" s="1092">
        <v>13</v>
      </c>
      <c r="GQ60" s="1093">
        <v>16.2</v>
      </c>
      <c r="GR60" s="392"/>
      <c r="GS60" s="480"/>
      <c r="GT60" s="1255"/>
      <c r="GU60" s="497"/>
      <c r="GV60" s="576"/>
      <c r="GW60" s="497"/>
      <c r="GX60" s="576"/>
      <c r="GY60" s="497"/>
      <c r="GZ60" s="497"/>
      <c r="HA60" s="575"/>
      <c r="HB60" s="497"/>
      <c r="HC60" s="1188"/>
      <c r="HD60" s="1027"/>
    </row>
    <row r="61" spans="1:212" ht="20.100000000000001" customHeight="1">
      <c r="A61" s="1189" t="s">
        <v>666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8171</v>
      </c>
      <c r="Y61" s="1194"/>
      <c r="Z61" s="1195">
        <v>8225</v>
      </c>
      <c r="AA61" s="1194"/>
      <c r="AB61" s="1195">
        <v>8243</v>
      </c>
      <c r="AC61" s="1194"/>
      <c r="AD61" s="1195">
        <v>8162</v>
      </c>
      <c r="AE61" s="1194"/>
      <c r="AF61" s="1195">
        <v>8297</v>
      </c>
      <c r="AG61" s="1194"/>
      <c r="AH61" s="1195">
        <v>8255</v>
      </c>
      <c r="AI61" s="1194"/>
      <c r="AJ61" s="1195">
        <v>8255</v>
      </c>
      <c r="AK61" s="1194"/>
      <c r="AL61" s="1195">
        <v>8237</v>
      </c>
      <c r="AM61" s="1194"/>
      <c r="AN61" s="1195">
        <v>8195</v>
      </c>
      <c r="AO61" s="1194"/>
      <c r="AP61" s="1195">
        <v>8153</v>
      </c>
      <c r="AQ61" s="1194"/>
      <c r="AR61" s="1195">
        <v>0</v>
      </c>
      <c r="AS61" s="1194"/>
      <c r="AT61" s="1195">
        <v>0</v>
      </c>
      <c r="AU61" s="1194"/>
      <c r="AV61" s="1195">
        <v>0</v>
      </c>
      <c r="AW61" s="1194"/>
      <c r="AX61" s="1195">
        <v>0</v>
      </c>
      <c r="AY61" s="1194"/>
      <c r="AZ61" s="1195">
        <v>0</v>
      </c>
      <c r="BA61" s="1194"/>
      <c r="BB61" s="1196">
        <v>0</v>
      </c>
      <c r="BC61" s="560"/>
      <c r="BD61" s="1189" t="s">
        <v>666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7865</v>
      </c>
      <c r="CB61" s="1194"/>
      <c r="CC61" s="1195">
        <v>7913</v>
      </c>
      <c r="CD61" s="1194"/>
      <c r="CE61" s="1195">
        <v>7967</v>
      </c>
      <c r="CF61" s="1194"/>
      <c r="CG61" s="1195">
        <v>7850</v>
      </c>
      <c r="CH61" s="1194"/>
      <c r="CI61" s="1195">
        <v>8033</v>
      </c>
      <c r="CJ61" s="1194"/>
      <c r="CK61" s="1195">
        <v>7991</v>
      </c>
      <c r="CL61" s="1194"/>
      <c r="CM61" s="1195">
        <v>7979</v>
      </c>
      <c r="CN61" s="1194"/>
      <c r="CO61" s="1195">
        <v>7967</v>
      </c>
      <c r="CP61" s="1194"/>
      <c r="CQ61" s="1195">
        <v>7967</v>
      </c>
      <c r="CR61" s="1194"/>
      <c r="CS61" s="1195">
        <v>7925</v>
      </c>
      <c r="CT61" s="1194"/>
      <c r="CU61" s="1195">
        <v>0</v>
      </c>
      <c r="CV61" s="1194"/>
      <c r="CW61" s="1195">
        <v>0</v>
      </c>
      <c r="CX61" s="1194"/>
      <c r="CY61" s="1195">
        <v>0</v>
      </c>
      <c r="CZ61" s="1194"/>
      <c r="DA61" s="1195">
        <v>0</v>
      </c>
      <c r="DB61" s="1194"/>
      <c r="DC61" s="1195">
        <v>0</v>
      </c>
      <c r="DD61" s="1194"/>
      <c r="DE61" s="1196">
        <v>0</v>
      </c>
      <c r="DF61" s="559"/>
      <c r="DG61" s="1189" t="s">
        <v>666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7337</v>
      </c>
      <c r="EE61" s="1194"/>
      <c r="EF61" s="1195">
        <v>7403</v>
      </c>
      <c r="EG61" s="1194"/>
      <c r="EH61" s="1195">
        <v>7409</v>
      </c>
      <c r="EI61" s="1194"/>
      <c r="EJ61" s="1195">
        <v>7274</v>
      </c>
      <c r="EK61" s="1194"/>
      <c r="EL61" s="1195">
        <v>7415</v>
      </c>
      <c r="EM61" s="1194"/>
      <c r="EN61" s="1195">
        <v>7385</v>
      </c>
      <c r="EO61" s="1194"/>
      <c r="EP61" s="1195">
        <v>7373</v>
      </c>
      <c r="EQ61" s="1194"/>
      <c r="ER61" s="1195">
        <v>7379</v>
      </c>
      <c r="ES61" s="1194"/>
      <c r="ET61" s="1195">
        <v>7349</v>
      </c>
      <c r="EU61" s="1194"/>
      <c r="EV61" s="1195">
        <v>7379</v>
      </c>
      <c r="EW61" s="1194"/>
      <c r="EX61" s="1195">
        <v>0</v>
      </c>
      <c r="EY61" s="1194"/>
      <c r="EZ61" s="1195">
        <v>0</v>
      </c>
      <c r="FA61" s="1194"/>
      <c r="FB61" s="1195">
        <v>0</v>
      </c>
      <c r="FC61" s="1194"/>
      <c r="FD61" s="1195">
        <v>0</v>
      </c>
      <c r="FE61" s="1194"/>
      <c r="FF61" s="1195">
        <v>0</v>
      </c>
      <c r="FG61" s="1194"/>
      <c r="FH61" s="1196">
        <v>0</v>
      </c>
      <c r="FI61" s="560"/>
      <c r="FJ61" s="1189" t="s">
        <v>666</v>
      </c>
      <c r="FK61" s="1190"/>
      <c r="FL61" s="1190"/>
      <c r="FM61" s="1190"/>
      <c r="FN61" s="1190"/>
      <c r="FO61" s="1190"/>
      <c r="FP61" s="1197"/>
      <c r="FQ61" s="1198"/>
      <c r="FR61" s="1199">
        <v>8195</v>
      </c>
      <c r="FS61" s="1200"/>
      <c r="FT61" s="1198"/>
      <c r="FU61" s="1201">
        <v>8053</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2.9</v>
      </c>
      <c r="GP61" s="1092">
        <v>13</v>
      </c>
      <c r="GQ61" s="1093">
        <v>15.9</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337</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338</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337</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337</v>
      </c>
      <c r="FK63" s="1119"/>
      <c r="FL63" s="1119"/>
      <c r="FM63" s="1119"/>
      <c r="FN63" s="1119"/>
      <c r="FO63" s="1120"/>
      <c r="FP63" s="1125" t="s">
        <v>339</v>
      </c>
      <c r="FQ63" s="1126"/>
      <c r="FR63" s="1127"/>
      <c r="FS63" s="1128" t="s">
        <v>291</v>
      </c>
      <c r="FT63" s="1129"/>
      <c r="FU63" s="1130"/>
      <c r="FV63" s="1131" t="s">
        <v>331</v>
      </c>
      <c r="FW63" s="1132"/>
      <c r="FX63" s="1133" t="s">
        <v>332</v>
      </c>
      <c r="FY63" s="1134"/>
      <c r="FZ63" s="1135" t="s">
        <v>333</v>
      </c>
      <c r="GA63" s="1136"/>
      <c r="GB63" s="1137" t="s">
        <v>334</v>
      </c>
      <c r="GC63" s="1122"/>
      <c r="GD63" s="1137" t="s">
        <v>335</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340</v>
      </c>
      <c r="I64" s="1144"/>
      <c r="J64" s="1143" t="s">
        <v>340</v>
      </c>
      <c r="K64" s="1144"/>
      <c r="L64" s="1143" t="s">
        <v>340</v>
      </c>
      <c r="M64" s="1144"/>
      <c r="N64" s="1143" t="s">
        <v>340</v>
      </c>
      <c r="O64" s="1144"/>
      <c r="P64" s="1143" t="s">
        <v>340</v>
      </c>
      <c r="Q64" s="1144"/>
      <c r="R64" s="1143" t="s">
        <v>340</v>
      </c>
      <c r="S64" s="1144"/>
      <c r="T64" s="1143" t="s">
        <v>340</v>
      </c>
      <c r="U64" s="1144"/>
      <c r="V64" s="1143" t="s">
        <v>340</v>
      </c>
      <c r="W64" s="1144"/>
      <c r="X64" s="1143" t="s">
        <v>340</v>
      </c>
      <c r="Y64" s="1144"/>
      <c r="Z64" s="1143" t="s">
        <v>340</v>
      </c>
      <c r="AA64" s="1144"/>
      <c r="AB64" s="1143" t="s">
        <v>340</v>
      </c>
      <c r="AC64" s="1144"/>
      <c r="AD64" s="1143" t="s">
        <v>340</v>
      </c>
      <c r="AE64" s="1144"/>
      <c r="AF64" s="1143" t="s">
        <v>340</v>
      </c>
      <c r="AG64" s="1144"/>
      <c r="AH64" s="1143" t="s">
        <v>340</v>
      </c>
      <c r="AI64" s="1144"/>
      <c r="AJ64" s="1143" t="s">
        <v>340</v>
      </c>
      <c r="AK64" s="1144"/>
      <c r="AL64" s="1143" t="s">
        <v>340</v>
      </c>
      <c r="AM64" s="1144"/>
      <c r="AN64" s="1143" t="s">
        <v>340</v>
      </c>
      <c r="AO64" s="1144"/>
      <c r="AP64" s="1143" t="s">
        <v>340</v>
      </c>
      <c r="AQ64" s="1144"/>
      <c r="AR64" s="1143" t="s">
        <v>340</v>
      </c>
      <c r="AS64" s="1144"/>
      <c r="AT64" s="1143" t="s">
        <v>340</v>
      </c>
      <c r="AU64" s="1144"/>
      <c r="AV64" s="1143" t="s">
        <v>340</v>
      </c>
      <c r="AW64" s="1144"/>
      <c r="AX64" s="1143" t="s">
        <v>340</v>
      </c>
      <c r="AY64" s="1144"/>
      <c r="AZ64" s="1143" t="s">
        <v>340</v>
      </c>
      <c r="BA64" s="1144"/>
      <c r="BB64" s="1146" t="s">
        <v>340</v>
      </c>
      <c r="BC64" s="1041"/>
      <c r="BD64" s="1210"/>
      <c r="BE64" s="1211"/>
      <c r="BF64" s="1211"/>
      <c r="BG64" s="1211"/>
      <c r="BH64" s="1140"/>
      <c r="BI64" s="1141"/>
      <c r="BJ64" s="1142"/>
      <c r="BK64" s="1143" t="s">
        <v>340</v>
      </c>
      <c r="BL64" s="1144"/>
      <c r="BM64" s="1143" t="s">
        <v>340</v>
      </c>
      <c r="BN64" s="1144"/>
      <c r="BO64" s="1143" t="s">
        <v>340</v>
      </c>
      <c r="BP64" s="1144"/>
      <c r="BQ64" s="1143" t="s">
        <v>340</v>
      </c>
      <c r="BR64" s="1144"/>
      <c r="BS64" s="1143" t="s">
        <v>340</v>
      </c>
      <c r="BT64" s="1144"/>
      <c r="BU64" s="1143" t="s">
        <v>340</v>
      </c>
      <c r="BV64" s="1144"/>
      <c r="BW64" s="1143" t="s">
        <v>340</v>
      </c>
      <c r="BX64" s="1144"/>
      <c r="BY64" s="1143" t="s">
        <v>340</v>
      </c>
      <c r="BZ64" s="1144"/>
      <c r="CA64" s="1143" t="s">
        <v>340</v>
      </c>
      <c r="CB64" s="1144"/>
      <c r="CC64" s="1143" t="s">
        <v>340</v>
      </c>
      <c r="CD64" s="1144"/>
      <c r="CE64" s="1143" t="s">
        <v>340</v>
      </c>
      <c r="CF64" s="1144"/>
      <c r="CG64" s="1143" t="s">
        <v>340</v>
      </c>
      <c r="CH64" s="1144"/>
      <c r="CI64" s="1143" t="s">
        <v>340</v>
      </c>
      <c r="CJ64" s="1144"/>
      <c r="CK64" s="1143" t="s">
        <v>340</v>
      </c>
      <c r="CL64" s="1144"/>
      <c r="CM64" s="1143" t="s">
        <v>340</v>
      </c>
      <c r="CN64" s="1144"/>
      <c r="CO64" s="1143" t="s">
        <v>340</v>
      </c>
      <c r="CP64" s="1144"/>
      <c r="CQ64" s="1143" t="s">
        <v>340</v>
      </c>
      <c r="CR64" s="1144"/>
      <c r="CS64" s="1143" t="s">
        <v>340</v>
      </c>
      <c r="CT64" s="1144"/>
      <c r="CU64" s="1143" t="s">
        <v>340</v>
      </c>
      <c r="CV64" s="1144"/>
      <c r="CW64" s="1143" t="s">
        <v>340</v>
      </c>
      <c r="CX64" s="1144"/>
      <c r="CY64" s="1143" t="s">
        <v>340</v>
      </c>
      <c r="CZ64" s="1144"/>
      <c r="DA64" s="1143" t="s">
        <v>340</v>
      </c>
      <c r="DB64" s="1144"/>
      <c r="DC64" s="1143" t="s">
        <v>340</v>
      </c>
      <c r="DD64" s="1144"/>
      <c r="DE64" s="1146" t="s">
        <v>340</v>
      </c>
      <c r="DF64" s="1041"/>
      <c r="DG64" s="1209"/>
      <c r="DH64" s="1140"/>
      <c r="DI64" s="1140"/>
      <c r="DJ64" s="1140"/>
      <c r="DK64" s="1140"/>
      <c r="DL64" s="1141"/>
      <c r="DM64" s="1142"/>
      <c r="DN64" s="1143" t="s">
        <v>340</v>
      </c>
      <c r="DO64" s="1144"/>
      <c r="DP64" s="1143" t="s">
        <v>340</v>
      </c>
      <c r="DQ64" s="1144"/>
      <c r="DR64" s="1143" t="s">
        <v>340</v>
      </c>
      <c r="DS64" s="1144"/>
      <c r="DT64" s="1143" t="s">
        <v>340</v>
      </c>
      <c r="DU64" s="1144"/>
      <c r="DV64" s="1143" t="s">
        <v>340</v>
      </c>
      <c r="DW64" s="1144"/>
      <c r="DX64" s="1143" t="s">
        <v>340</v>
      </c>
      <c r="DY64" s="1144"/>
      <c r="DZ64" s="1143" t="s">
        <v>340</v>
      </c>
      <c r="EA64" s="1144"/>
      <c r="EB64" s="1143" t="s">
        <v>340</v>
      </c>
      <c r="EC64" s="1144"/>
      <c r="ED64" s="1143" t="s">
        <v>340</v>
      </c>
      <c r="EE64" s="1144"/>
      <c r="EF64" s="1143" t="s">
        <v>340</v>
      </c>
      <c r="EG64" s="1144"/>
      <c r="EH64" s="1143" t="s">
        <v>340</v>
      </c>
      <c r="EI64" s="1144"/>
      <c r="EJ64" s="1143" t="s">
        <v>340</v>
      </c>
      <c r="EK64" s="1144"/>
      <c r="EL64" s="1143" t="s">
        <v>340</v>
      </c>
      <c r="EM64" s="1144"/>
      <c r="EN64" s="1143" t="s">
        <v>340</v>
      </c>
      <c r="EO64" s="1144"/>
      <c r="EP64" s="1143" t="s">
        <v>340</v>
      </c>
      <c r="EQ64" s="1144"/>
      <c r="ER64" s="1143" t="s">
        <v>340</v>
      </c>
      <c r="ES64" s="1144"/>
      <c r="ET64" s="1143" t="s">
        <v>340</v>
      </c>
      <c r="EU64" s="1144"/>
      <c r="EV64" s="1143" t="s">
        <v>340</v>
      </c>
      <c r="EW64" s="1144"/>
      <c r="EX64" s="1143" t="s">
        <v>340</v>
      </c>
      <c r="EY64" s="1144"/>
      <c r="EZ64" s="1143" t="s">
        <v>340</v>
      </c>
      <c r="FA64" s="1144"/>
      <c r="FB64" s="1143" t="s">
        <v>340</v>
      </c>
      <c r="FC64" s="1144"/>
      <c r="FD64" s="1143" t="s">
        <v>340</v>
      </c>
      <c r="FE64" s="1144"/>
      <c r="FF64" s="1143" t="s">
        <v>340</v>
      </c>
      <c r="FG64" s="1144"/>
      <c r="FH64" s="1146" t="s">
        <v>340</v>
      </c>
      <c r="FI64" s="1041"/>
      <c r="FJ64" s="1209"/>
      <c r="FK64" s="1140"/>
      <c r="FL64" s="1140"/>
      <c r="FM64" s="1140"/>
      <c r="FN64" s="1140"/>
      <c r="FO64" s="1141"/>
      <c r="FP64" s="1147" t="s">
        <v>46</v>
      </c>
      <c r="FQ64" s="1145" t="s">
        <v>341</v>
      </c>
      <c r="FR64" s="1143" t="s">
        <v>340</v>
      </c>
      <c r="FS64" s="1148" t="s">
        <v>46</v>
      </c>
      <c r="FT64" s="1145" t="s">
        <v>341</v>
      </c>
      <c r="FU64" s="1149" t="s">
        <v>340</v>
      </c>
      <c r="FV64" s="1150" t="s">
        <v>46</v>
      </c>
      <c r="FW64" s="1143" t="s">
        <v>340</v>
      </c>
      <c r="FX64" s="1148" t="s">
        <v>46</v>
      </c>
      <c r="FY64" s="1143" t="s">
        <v>340</v>
      </c>
      <c r="FZ64" s="1148" t="s">
        <v>46</v>
      </c>
      <c r="GA64" s="1143" t="s">
        <v>340</v>
      </c>
      <c r="GB64" s="1148" t="s">
        <v>46</v>
      </c>
      <c r="GC64" s="1143" t="s">
        <v>340</v>
      </c>
      <c r="GD64" s="1148" t="s">
        <v>46</v>
      </c>
      <c r="GE64" s="1146" t="s">
        <v>340</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667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4533</v>
      </c>
      <c r="Y65" s="1218"/>
      <c r="Z65" s="1217">
        <v>4533</v>
      </c>
      <c r="AA65" s="1218"/>
      <c r="AB65" s="1217">
        <v>4533</v>
      </c>
      <c r="AC65" s="1218"/>
      <c r="AD65" s="1217">
        <v>4740</v>
      </c>
      <c r="AE65" s="1218"/>
      <c r="AF65" s="1217">
        <v>4533</v>
      </c>
      <c r="AG65" s="1218"/>
      <c r="AH65" s="1217">
        <v>4533</v>
      </c>
      <c r="AI65" s="1218"/>
      <c r="AJ65" s="1217">
        <v>4533</v>
      </c>
      <c r="AK65" s="1218"/>
      <c r="AL65" s="1217">
        <v>4533</v>
      </c>
      <c r="AM65" s="1218"/>
      <c r="AN65" s="1217">
        <v>4533</v>
      </c>
      <c r="AO65" s="1218"/>
      <c r="AP65" s="1217">
        <v>4533</v>
      </c>
      <c r="AQ65" s="1218"/>
      <c r="AR65" s="1217"/>
      <c r="AS65" s="1218"/>
      <c r="AT65" s="1217"/>
      <c r="AU65" s="1218"/>
      <c r="AV65" s="1217"/>
      <c r="AW65" s="1218"/>
      <c r="AX65" s="1217"/>
      <c r="AY65" s="1218"/>
      <c r="AZ65" s="1217"/>
      <c r="BA65" s="1218"/>
      <c r="BB65" s="558"/>
      <c r="BC65" s="560"/>
      <c r="BD65" s="1151" t="s">
        <v>668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4533</v>
      </c>
      <c r="CB65" s="1218"/>
      <c r="CC65" s="1217">
        <v>4533</v>
      </c>
      <c r="CD65" s="1218"/>
      <c r="CE65" s="1217">
        <v>4533</v>
      </c>
      <c r="CF65" s="1218"/>
      <c r="CG65" s="1217">
        <v>4740</v>
      </c>
      <c r="CH65" s="1218"/>
      <c r="CI65" s="1217">
        <v>4533</v>
      </c>
      <c r="CJ65" s="1218"/>
      <c r="CK65" s="1217">
        <v>4533</v>
      </c>
      <c r="CL65" s="1218"/>
      <c r="CM65" s="1217">
        <v>4533</v>
      </c>
      <c r="CN65" s="1218"/>
      <c r="CO65" s="1217">
        <v>4533</v>
      </c>
      <c r="CP65" s="1218"/>
      <c r="CQ65" s="1217">
        <v>4533</v>
      </c>
      <c r="CR65" s="1218"/>
      <c r="CS65" s="1217">
        <v>4533</v>
      </c>
      <c r="CT65" s="1218"/>
      <c r="CU65" s="1217"/>
      <c r="CV65" s="1218"/>
      <c r="CW65" s="1217"/>
      <c r="CX65" s="1218"/>
      <c r="CY65" s="1217"/>
      <c r="CZ65" s="1218"/>
      <c r="DA65" s="1217"/>
      <c r="DB65" s="1218"/>
      <c r="DC65" s="1217"/>
      <c r="DD65" s="1218"/>
      <c r="DE65" s="558"/>
      <c r="DF65" s="559"/>
      <c r="DG65" s="1151" t="s">
        <v>668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4533</v>
      </c>
      <c r="EE65" s="1218"/>
      <c r="EF65" s="1217">
        <v>4533</v>
      </c>
      <c r="EG65" s="1218"/>
      <c r="EH65" s="1217">
        <v>4533</v>
      </c>
      <c r="EI65" s="1218"/>
      <c r="EJ65" s="1217">
        <v>4740</v>
      </c>
      <c r="EK65" s="1218"/>
      <c r="EL65" s="1217">
        <v>4533</v>
      </c>
      <c r="EM65" s="1218"/>
      <c r="EN65" s="1217">
        <v>4533</v>
      </c>
      <c r="EO65" s="1218"/>
      <c r="EP65" s="1217">
        <v>4533</v>
      </c>
      <c r="EQ65" s="1218"/>
      <c r="ER65" s="1217">
        <v>4533</v>
      </c>
      <c r="ES65" s="1218"/>
      <c r="ET65" s="1217">
        <v>4533</v>
      </c>
      <c r="EU65" s="1218"/>
      <c r="EV65" s="1217">
        <v>4533</v>
      </c>
      <c r="EW65" s="1218"/>
      <c r="EX65" s="1217"/>
      <c r="EY65" s="1218"/>
      <c r="EZ65" s="1217"/>
      <c r="FA65" s="1218"/>
      <c r="FB65" s="1217"/>
      <c r="FC65" s="1218"/>
      <c r="FD65" s="1217"/>
      <c r="FE65" s="1218"/>
      <c r="FF65" s="1217"/>
      <c r="FG65" s="1218"/>
      <c r="FH65" s="558"/>
      <c r="FI65" s="560"/>
      <c r="FJ65" s="1151" t="s">
        <v>668</v>
      </c>
      <c r="FK65" s="1152"/>
      <c r="FL65" s="1219"/>
      <c r="FM65" s="1219"/>
      <c r="FN65" s="1219"/>
      <c r="FO65" s="1214"/>
      <c r="FP65" s="1158"/>
      <c r="FQ65" s="1216"/>
      <c r="FR65" s="1156">
        <v>0</v>
      </c>
      <c r="FS65" s="1220"/>
      <c r="FT65" s="1216"/>
      <c r="FU65" s="1161">
        <v>0</v>
      </c>
      <c r="FV65" s="1220"/>
      <c r="FW65" s="1221">
        <v>4740</v>
      </c>
      <c r="FX65" s="1160"/>
      <c r="FY65" s="1221">
        <v>4740</v>
      </c>
      <c r="FZ65" s="1160"/>
      <c r="GA65" s="1221">
        <v>4740</v>
      </c>
      <c r="GB65" s="1160"/>
      <c r="GC65" s="1221">
        <v>4740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669</v>
      </c>
      <c r="FK66" s="1190"/>
      <c r="FL66" s="1229"/>
      <c r="FM66" s="1230" t="s">
        <v>670</v>
      </c>
      <c r="FN66" s="1231"/>
      <c r="FO66" s="1191"/>
      <c r="FP66" s="1197">
        <v>9</v>
      </c>
      <c r="FQ66" s="1232">
        <v>5.2</v>
      </c>
      <c r="FR66" s="1233">
        <v>1.1000000000000001</v>
      </c>
      <c r="FS66" s="1200">
        <v>9</v>
      </c>
      <c r="FT66" s="1232">
        <v>3.5</v>
      </c>
      <c r="FU66" s="1234">
        <v>0.8</v>
      </c>
      <c r="FV66" s="1235"/>
      <c r="FW66" s="1236"/>
      <c r="FX66" s="1236"/>
      <c r="FY66" s="1236"/>
      <c r="FZ66" s="1236"/>
      <c r="GA66" s="1236"/>
      <c r="GB66" s="1236"/>
      <c r="GC66" s="1237"/>
      <c r="GD66" s="1200"/>
      <c r="GE66" s="1238">
        <v>1.1000000000000001</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342</v>
      </c>
      <c r="B68" s="1241"/>
      <c r="C68" s="1241"/>
      <c r="D68" s="1241"/>
      <c r="E68" s="814"/>
      <c r="F68" s="814"/>
      <c r="G68" s="1242" t="s">
        <v>347</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342</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342</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342</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539</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348</v>
      </c>
      <c r="HA1" s="376"/>
      <c r="HB1" s="379"/>
      <c r="HC1" s="1451" t="s">
        <v>433</v>
      </c>
      <c r="HD1" s="382"/>
      <c r="HE1" s="383"/>
      <c r="HF1" s="382"/>
      <c r="HG1" s="1449"/>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355</v>
      </c>
      <c r="B3" s="395">
        <v>204</v>
      </c>
      <c r="C3" s="396" t="s">
        <v>543</v>
      </c>
      <c r="D3" s="397" t="s">
        <v>544</v>
      </c>
      <c r="E3" s="397"/>
      <c r="F3" s="397"/>
      <c r="G3" s="397"/>
      <c r="H3" s="397"/>
      <c r="I3" s="397"/>
      <c r="J3" s="398"/>
      <c r="K3" s="399" t="s">
        <v>359</v>
      </c>
      <c r="L3" s="400"/>
      <c r="M3" s="399" t="s">
        <v>360</v>
      </c>
      <c r="N3" s="400"/>
      <c r="O3" s="401" t="s">
        <v>647</v>
      </c>
      <c r="P3" s="402"/>
      <c r="Q3" s="402"/>
      <c r="R3" s="402"/>
      <c r="S3" s="402"/>
      <c r="T3" s="402"/>
      <c r="U3" s="402"/>
      <c r="V3" s="403"/>
      <c r="W3" s="404" t="s">
        <v>361</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362</v>
      </c>
      <c r="BE3" s="395">
        <v>204</v>
      </c>
      <c r="BF3" s="396" t="s">
        <v>356</v>
      </c>
      <c r="BG3" s="408" t="s">
        <v>538</v>
      </c>
      <c r="BH3" s="408"/>
      <c r="BI3" s="408"/>
      <c r="BJ3" s="408"/>
      <c r="BK3" s="408"/>
      <c r="BL3" s="408"/>
      <c r="BM3" s="409"/>
      <c r="BN3" s="399" t="s">
        <v>359</v>
      </c>
      <c r="BO3" s="400"/>
      <c r="BP3" s="399" t="s">
        <v>545</v>
      </c>
      <c r="BQ3" s="400"/>
      <c r="BR3" s="401" t="s">
        <v>647</v>
      </c>
      <c r="BS3" s="402"/>
      <c r="BT3" s="402"/>
      <c r="BU3" s="402"/>
      <c r="BV3" s="402"/>
      <c r="BW3" s="402"/>
      <c r="BX3" s="402"/>
      <c r="BY3" s="403"/>
      <c r="BZ3" s="404" t="s">
        <v>361</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362</v>
      </c>
      <c r="DH3" s="395">
        <v>204</v>
      </c>
      <c r="DI3" s="396" t="s">
        <v>356</v>
      </c>
      <c r="DJ3" s="408" t="s">
        <v>538</v>
      </c>
      <c r="DK3" s="408"/>
      <c r="DL3" s="408"/>
      <c r="DM3" s="408"/>
      <c r="DN3" s="408"/>
      <c r="DO3" s="408"/>
      <c r="DP3" s="409"/>
      <c r="DQ3" s="399" t="s">
        <v>359</v>
      </c>
      <c r="DR3" s="400"/>
      <c r="DS3" s="399" t="s">
        <v>360</v>
      </c>
      <c r="DT3" s="400"/>
      <c r="DU3" s="401" t="s">
        <v>647</v>
      </c>
      <c r="DV3" s="402"/>
      <c r="DW3" s="402"/>
      <c r="DX3" s="402"/>
      <c r="DY3" s="402"/>
      <c r="DZ3" s="402"/>
      <c r="EA3" s="402"/>
      <c r="EB3" s="403"/>
      <c r="EC3" s="404" t="s">
        <v>361</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362</v>
      </c>
      <c r="FK3" s="395">
        <v>204</v>
      </c>
      <c r="FL3" s="396" t="s">
        <v>356</v>
      </c>
      <c r="FM3" s="408" t="s">
        <v>538</v>
      </c>
      <c r="FN3" s="408"/>
      <c r="FO3" s="408"/>
      <c r="FP3" s="408"/>
      <c r="FQ3" s="408"/>
      <c r="FR3" s="408"/>
      <c r="FS3" s="409"/>
      <c r="FT3" s="399" t="s">
        <v>359</v>
      </c>
      <c r="FU3" s="400"/>
      <c r="FV3" s="399" t="s">
        <v>360</v>
      </c>
      <c r="FW3" s="400"/>
      <c r="FX3" s="401" t="s">
        <v>658</v>
      </c>
      <c r="FY3" s="402"/>
      <c r="FZ3" s="402"/>
      <c r="GA3" s="402"/>
      <c r="GB3" s="402"/>
      <c r="GC3" s="402"/>
      <c r="GD3" s="402"/>
      <c r="GE3" s="403"/>
      <c r="GF3" s="404" t="s">
        <v>361</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363</v>
      </c>
      <c r="P4" s="426"/>
      <c r="Q4" s="427" t="s">
        <v>364</v>
      </c>
      <c r="R4" s="426"/>
      <c r="S4" s="428" t="s">
        <v>365</v>
      </c>
      <c r="T4" s="429"/>
      <c r="U4" s="430" t="s">
        <v>366</v>
      </c>
      <c r="V4" s="431"/>
      <c r="W4" s="432" t="s">
        <v>367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363</v>
      </c>
      <c r="BS4" s="426"/>
      <c r="BT4" s="427" t="s">
        <v>364</v>
      </c>
      <c r="BU4" s="426"/>
      <c r="BV4" s="428" t="s">
        <v>365</v>
      </c>
      <c r="BW4" s="429"/>
      <c r="BX4" s="430" t="s">
        <v>366</v>
      </c>
      <c r="BY4" s="431"/>
      <c r="BZ4" s="432" t="s">
        <v>367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363</v>
      </c>
      <c r="DV4" s="426"/>
      <c r="DW4" s="427" t="s">
        <v>364</v>
      </c>
      <c r="DX4" s="426"/>
      <c r="DY4" s="428" t="s">
        <v>365</v>
      </c>
      <c r="DZ4" s="429"/>
      <c r="EA4" s="430" t="s">
        <v>366</v>
      </c>
      <c r="EB4" s="431"/>
      <c r="EC4" s="432" t="s">
        <v>367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363</v>
      </c>
      <c r="FY4" s="426"/>
      <c r="FZ4" s="427" t="s">
        <v>364</v>
      </c>
      <c r="GA4" s="426"/>
      <c r="GB4" s="428" t="s">
        <v>365</v>
      </c>
      <c r="GC4" s="429"/>
      <c r="GD4" s="430" t="s">
        <v>366</v>
      </c>
      <c r="GE4" s="431"/>
      <c r="GF4" s="432" t="s">
        <v>344</v>
      </c>
      <c r="GG4" s="433"/>
      <c r="GH4" s="434"/>
      <c r="GI4" s="410"/>
      <c r="GJ4" s="437"/>
      <c r="GK4" s="437"/>
      <c r="GL4" s="437"/>
      <c r="GM4" s="437"/>
      <c r="GN4" s="437"/>
      <c r="GO4" s="437"/>
      <c r="GP4" s="437"/>
      <c r="GQ4" s="437"/>
      <c r="GR4" s="437"/>
      <c r="GS4" s="414"/>
      <c r="GT4" s="437"/>
      <c r="GU4" s="437"/>
      <c r="GV4" s="437"/>
      <c r="GW4" s="437"/>
      <c r="GX4" s="437"/>
      <c r="GY4" s="437"/>
      <c r="GZ4" s="437"/>
      <c r="HA4" s="437"/>
      <c r="HB4" s="437"/>
      <c r="HC4" s="1452"/>
      <c r="HD4" s="438"/>
      <c r="HE4" s="438"/>
      <c r="HF4" s="501"/>
      <c r="HG4" s="387"/>
      <c r="MO4" s="393" t="s">
        <v>344</v>
      </c>
    </row>
    <row r="5" spans="1:353" ht="24.95" customHeight="1" thickBot="1">
      <c r="A5" s="439" t="s">
        <v>369</v>
      </c>
      <c r="B5" s="440">
        <v>2</v>
      </c>
      <c r="C5" s="441" t="s">
        <v>370</v>
      </c>
      <c r="D5" s="442">
        <v>13.2</v>
      </c>
      <c r="E5" s="443" t="s">
        <v>371</v>
      </c>
      <c r="F5" s="444">
        <v>2.8</v>
      </c>
      <c r="G5" s="445" t="s">
        <v>373</v>
      </c>
      <c r="H5" s="446"/>
      <c r="I5" s="447">
        <v>37</v>
      </c>
      <c r="J5" s="448"/>
      <c r="K5" s="449">
        <v>120</v>
      </c>
      <c r="L5" s="450"/>
      <c r="M5" s="449">
        <v>20</v>
      </c>
      <c r="N5" s="450"/>
      <c r="O5" s="1445" t="s">
        <v>671</v>
      </c>
      <c r="P5" s="451"/>
      <c r="Q5" s="1446" t="s">
        <v>672</v>
      </c>
      <c r="R5" s="452"/>
      <c r="S5" s="1447" t="s">
        <v>673</v>
      </c>
      <c r="T5" s="453"/>
      <c r="U5" s="1448" t="s">
        <v>674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369</v>
      </c>
      <c r="BE5" s="440">
        <v>2</v>
      </c>
      <c r="BF5" s="441" t="s">
        <v>281</v>
      </c>
      <c r="BG5" s="442">
        <v>13.2</v>
      </c>
      <c r="BH5" s="443" t="s">
        <v>371</v>
      </c>
      <c r="BI5" s="444">
        <v>2.8</v>
      </c>
      <c r="BJ5" s="445" t="s">
        <v>373</v>
      </c>
      <c r="BK5" s="446"/>
      <c r="BL5" s="447">
        <v>37</v>
      </c>
      <c r="BM5" s="448"/>
      <c r="BN5" s="449">
        <v>120</v>
      </c>
      <c r="BO5" s="450"/>
      <c r="BP5" s="449">
        <v>20</v>
      </c>
      <c r="BQ5" s="450"/>
      <c r="BR5" s="1445" t="s">
        <v>675</v>
      </c>
      <c r="BS5" s="451"/>
      <c r="BT5" s="1446" t="s">
        <v>676</v>
      </c>
      <c r="BU5" s="452"/>
      <c r="BV5" s="1447" t="s">
        <v>677</v>
      </c>
      <c r="BW5" s="453"/>
      <c r="BX5" s="1448" t="s">
        <v>678</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369</v>
      </c>
      <c r="DH5" s="440">
        <v>2</v>
      </c>
      <c r="DI5" s="441" t="s">
        <v>281</v>
      </c>
      <c r="DJ5" s="442">
        <v>13.2</v>
      </c>
      <c r="DK5" s="443" t="s">
        <v>371</v>
      </c>
      <c r="DL5" s="444">
        <v>2.8</v>
      </c>
      <c r="DM5" s="445" t="s">
        <v>373</v>
      </c>
      <c r="DN5" s="446"/>
      <c r="DO5" s="447">
        <v>37</v>
      </c>
      <c r="DP5" s="448"/>
      <c r="DQ5" s="449">
        <v>120</v>
      </c>
      <c r="DR5" s="450"/>
      <c r="DS5" s="449">
        <v>20</v>
      </c>
      <c r="DT5" s="450"/>
      <c r="DU5" s="1445" t="s">
        <v>679</v>
      </c>
      <c r="DV5" s="451"/>
      <c r="DW5" s="1446" t="s">
        <v>676</v>
      </c>
      <c r="DX5" s="452"/>
      <c r="DY5" s="1447" t="s">
        <v>677</v>
      </c>
      <c r="DZ5" s="453"/>
      <c r="EA5" s="1448" t="s">
        <v>678</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369</v>
      </c>
      <c r="FK5" s="440">
        <v>2</v>
      </c>
      <c r="FL5" s="441" t="s">
        <v>281</v>
      </c>
      <c r="FM5" s="442">
        <v>13.2</v>
      </c>
      <c r="FN5" s="443" t="s">
        <v>371</v>
      </c>
      <c r="FO5" s="444">
        <v>2.8</v>
      </c>
      <c r="FP5" s="445" t="s">
        <v>373</v>
      </c>
      <c r="FQ5" s="446"/>
      <c r="FR5" s="447">
        <v>37</v>
      </c>
      <c r="FS5" s="448"/>
      <c r="FT5" s="449">
        <v>120</v>
      </c>
      <c r="FU5" s="450"/>
      <c r="FV5" s="449">
        <v>20</v>
      </c>
      <c r="FW5" s="450"/>
      <c r="FX5" s="1445" t="s">
        <v>680</v>
      </c>
      <c r="FY5" s="451"/>
      <c r="FZ5" s="1446" t="s">
        <v>681</v>
      </c>
      <c r="GA5" s="452"/>
      <c r="GB5" s="1447" t="s">
        <v>682</v>
      </c>
      <c r="GC5" s="453"/>
      <c r="GD5" s="1448"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374</v>
      </c>
      <c r="B6" s="464"/>
      <c r="C6" s="465" t="s">
        <v>375</v>
      </c>
      <c r="D6" s="465"/>
      <c r="E6" s="465"/>
      <c r="F6" s="466">
        <v>0</v>
      </c>
      <c r="G6" s="466"/>
      <c r="H6" s="465" t="s">
        <v>376</v>
      </c>
      <c r="I6" s="465"/>
      <c r="J6" s="465"/>
      <c r="K6" s="465"/>
      <c r="L6" s="465"/>
      <c r="M6" s="467">
        <v>0</v>
      </c>
      <c r="N6" s="467"/>
      <c r="O6" s="468"/>
      <c r="P6" s="469"/>
      <c r="Q6" s="469" t="s">
        <v>377</v>
      </c>
      <c r="R6" s="470">
        <v>0</v>
      </c>
      <c r="S6" s="470"/>
      <c r="T6" s="471"/>
      <c r="U6" s="472" t="s">
        <v>378</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380</v>
      </c>
      <c r="BC6" s="476"/>
      <c r="BD6" s="463" t="s">
        <v>374</v>
      </c>
      <c r="BE6" s="464"/>
      <c r="BF6" s="465" t="s">
        <v>375</v>
      </c>
      <c r="BG6" s="465"/>
      <c r="BH6" s="465"/>
      <c r="BI6" s="466">
        <v>0</v>
      </c>
      <c r="BJ6" s="466"/>
      <c r="BK6" s="465" t="s">
        <v>376</v>
      </c>
      <c r="BL6" s="465"/>
      <c r="BM6" s="465"/>
      <c r="BN6" s="465"/>
      <c r="BO6" s="465"/>
      <c r="BP6" s="467">
        <v>0</v>
      </c>
      <c r="BQ6" s="467"/>
      <c r="BR6" s="468"/>
      <c r="BS6" s="469"/>
      <c r="BT6" s="469" t="s">
        <v>282</v>
      </c>
      <c r="BU6" s="470">
        <v>0</v>
      </c>
      <c r="BV6" s="470"/>
      <c r="BW6" s="471"/>
      <c r="BX6" s="472" t="s">
        <v>283</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382</v>
      </c>
      <c r="DF6" s="478"/>
      <c r="DG6" s="463" t="s">
        <v>374</v>
      </c>
      <c r="DH6" s="464"/>
      <c r="DI6" s="465" t="s">
        <v>375</v>
      </c>
      <c r="DJ6" s="465"/>
      <c r="DK6" s="465"/>
      <c r="DL6" s="466">
        <v>0</v>
      </c>
      <c r="DM6" s="466"/>
      <c r="DN6" s="465" t="s">
        <v>376</v>
      </c>
      <c r="DO6" s="465"/>
      <c r="DP6" s="465"/>
      <c r="DQ6" s="465"/>
      <c r="DR6" s="465"/>
      <c r="DS6" s="467">
        <v>0</v>
      </c>
      <c r="DT6" s="467"/>
      <c r="DU6" s="468"/>
      <c r="DV6" s="469"/>
      <c r="DW6" s="469" t="s">
        <v>282</v>
      </c>
      <c r="DX6" s="470">
        <v>0</v>
      </c>
      <c r="DY6" s="470"/>
      <c r="DZ6" s="471"/>
      <c r="EA6" s="472" t="s">
        <v>283</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384</v>
      </c>
      <c r="FI6" s="478"/>
      <c r="FJ6" s="463" t="s">
        <v>385</v>
      </c>
      <c r="FK6" s="464"/>
      <c r="FL6" s="465" t="s">
        <v>375</v>
      </c>
      <c r="FM6" s="465"/>
      <c r="FN6" s="465"/>
      <c r="FO6" s="466">
        <v>0</v>
      </c>
      <c r="FP6" s="466"/>
      <c r="FQ6" s="465" t="s">
        <v>376</v>
      </c>
      <c r="FR6" s="465"/>
      <c r="FS6" s="465"/>
      <c r="FT6" s="465"/>
      <c r="FU6" s="465"/>
      <c r="FV6" s="467">
        <v>0</v>
      </c>
      <c r="FW6" s="467"/>
      <c r="FX6" s="468"/>
      <c r="FY6" s="469"/>
      <c r="FZ6" s="469" t="s">
        <v>386</v>
      </c>
      <c r="GA6" s="470">
        <v>0</v>
      </c>
      <c r="GB6" s="470"/>
      <c r="GC6" s="471"/>
      <c r="GD6" s="472" t="s">
        <v>387</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284</v>
      </c>
      <c r="B7" s="486"/>
      <c r="C7" s="486"/>
      <c r="D7" s="486"/>
      <c r="E7" s="486"/>
      <c r="F7" s="487"/>
      <c r="G7" s="488" t="s">
        <v>285</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284</v>
      </c>
      <c r="BE7" s="486"/>
      <c r="BF7" s="486"/>
      <c r="BG7" s="486"/>
      <c r="BH7" s="486"/>
      <c r="BI7" s="487"/>
      <c r="BJ7" s="488" t="s">
        <v>286</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284</v>
      </c>
      <c r="DH7" s="486"/>
      <c r="DI7" s="486"/>
      <c r="DJ7" s="486"/>
      <c r="DK7" s="486"/>
      <c r="DL7" s="487"/>
      <c r="DM7" s="488" t="s">
        <v>287</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284</v>
      </c>
      <c r="FK7" s="486"/>
      <c r="FL7" s="486"/>
      <c r="FM7" s="486"/>
      <c r="FN7" s="486"/>
      <c r="FO7" s="487"/>
      <c r="FP7" s="491" t="s">
        <v>288</v>
      </c>
      <c r="FQ7" s="492"/>
      <c r="FR7" s="492"/>
      <c r="FS7" s="492"/>
      <c r="FT7" s="492"/>
      <c r="FU7" s="492"/>
      <c r="FV7" s="493" t="s">
        <v>289</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290</v>
      </c>
      <c r="FQ8" s="518"/>
      <c r="FR8" s="519"/>
      <c r="FS8" s="520" t="s">
        <v>291</v>
      </c>
      <c r="FT8" s="520"/>
      <c r="FU8" s="521"/>
      <c r="FV8" s="522"/>
      <c r="FW8" s="523"/>
      <c r="FX8" s="523"/>
      <c r="FY8" s="523"/>
      <c r="FZ8" s="523"/>
      <c r="GA8" s="523"/>
      <c r="GB8" s="523"/>
      <c r="GC8" s="523"/>
      <c r="GD8" s="523"/>
      <c r="GE8" s="524"/>
      <c r="GF8" s="496"/>
      <c r="GG8" s="480"/>
      <c r="GH8" s="480"/>
      <c r="GI8" s="480"/>
      <c r="GJ8" s="525" t="s">
        <v>416</v>
      </c>
      <c r="GK8" s="525"/>
      <c r="GL8" s="526"/>
      <c r="GM8" s="527"/>
      <c r="GN8" s="526"/>
      <c r="GO8" s="527"/>
      <c r="GP8" s="526"/>
      <c r="GQ8" s="526"/>
      <c r="GR8" s="526"/>
      <c r="GS8" s="526"/>
      <c r="GT8" s="525" t="s">
        <v>416</v>
      </c>
      <c r="GU8" s="525"/>
      <c r="GV8" s="414"/>
      <c r="GW8" s="480"/>
      <c r="GX8" s="483"/>
      <c r="GY8" s="480"/>
      <c r="GZ8" s="483"/>
      <c r="HA8" s="527"/>
      <c r="HB8" s="527"/>
      <c r="HC8" s="527"/>
      <c r="HD8" s="438"/>
      <c r="HE8" s="438"/>
      <c r="HF8" s="1450"/>
      <c r="HG8" s="1450"/>
    </row>
    <row r="9" spans="1:353" ht="22.5" customHeight="1">
      <c r="A9" s="529" t="s">
        <v>292</v>
      </c>
      <c r="B9" s="530" t="s">
        <v>293</v>
      </c>
      <c r="C9" s="531" t="s">
        <v>294</v>
      </c>
      <c r="D9" s="531" t="s">
        <v>513</v>
      </c>
      <c r="E9" s="532" t="s">
        <v>514</v>
      </c>
      <c r="F9" s="533" t="s">
        <v>297</v>
      </c>
      <c r="G9" s="534" t="s">
        <v>515</v>
      </c>
      <c r="H9" s="535" t="s">
        <v>516</v>
      </c>
      <c r="I9" s="536" t="s">
        <v>300</v>
      </c>
      <c r="J9" s="535" t="s">
        <v>516</v>
      </c>
      <c r="K9" s="536" t="s">
        <v>300</v>
      </c>
      <c r="L9" s="535" t="s">
        <v>517</v>
      </c>
      <c r="M9" s="536" t="s">
        <v>300</v>
      </c>
      <c r="N9" s="535" t="s">
        <v>516</v>
      </c>
      <c r="O9" s="536" t="s">
        <v>300</v>
      </c>
      <c r="P9" s="535" t="s">
        <v>517</v>
      </c>
      <c r="Q9" s="536" t="s">
        <v>300</v>
      </c>
      <c r="R9" s="535" t="s">
        <v>517</v>
      </c>
      <c r="S9" s="536" t="s">
        <v>300</v>
      </c>
      <c r="T9" s="535" t="s">
        <v>517</v>
      </c>
      <c r="U9" s="536" t="s">
        <v>300</v>
      </c>
      <c r="V9" s="535" t="s">
        <v>516</v>
      </c>
      <c r="W9" s="536" t="s">
        <v>300</v>
      </c>
      <c r="X9" s="535" t="s">
        <v>516</v>
      </c>
      <c r="Y9" s="536" t="s">
        <v>300</v>
      </c>
      <c r="Z9" s="535" t="s">
        <v>517</v>
      </c>
      <c r="AA9" s="536" t="s">
        <v>300</v>
      </c>
      <c r="AB9" s="535" t="s">
        <v>516</v>
      </c>
      <c r="AC9" s="536" t="s">
        <v>300</v>
      </c>
      <c r="AD9" s="535" t="s">
        <v>518</v>
      </c>
      <c r="AE9" s="536" t="s">
        <v>300</v>
      </c>
      <c r="AF9" s="535" t="s">
        <v>517</v>
      </c>
      <c r="AG9" s="536" t="s">
        <v>300</v>
      </c>
      <c r="AH9" s="535" t="s">
        <v>516</v>
      </c>
      <c r="AI9" s="536" t="s">
        <v>300</v>
      </c>
      <c r="AJ9" s="535" t="s">
        <v>516</v>
      </c>
      <c r="AK9" s="536" t="s">
        <v>300</v>
      </c>
      <c r="AL9" s="535" t="s">
        <v>517</v>
      </c>
      <c r="AM9" s="536" t="s">
        <v>300</v>
      </c>
      <c r="AN9" s="535" t="s">
        <v>517</v>
      </c>
      <c r="AO9" s="536" t="s">
        <v>300</v>
      </c>
      <c r="AP9" s="535" t="s">
        <v>517</v>
      </c>
      <c r="AQ9" s="536" t="s">
        <v>300</v>
      </c>
      <c r="AR9" s="535" t="s">
        <v>517</v>
      </c>
      <c r="AS9" s="536" t="s">
        <v>300</v>
      </c>
      <c r="AT9" s="535" t="s">
        <v>516</v>
      </c>
      <c r="AU9" s="536" t="s">
        <v>300</v>
      </c>
      <c r="AV9" s="535" t="s">
        <v>517</v>
      </c>
      <c r="AW9" s="536" t="s">
        <v>300</v>
      </c>
      <c r="AX9" s="535" t="s">
        <v>517</v>
      </c>
      <c r="AY9" s="536" t="s">
        <v>300</v>
      </c>
      <c r="AZ9" s="535" t="s">
        <v>517</v>
      </c>
      <c r="BA9" s="536" t="s">
        <v>300</v>
      </c>
      <c r="BB9" s="537" t="s">
        <v>301</v>
      </c>
      <c r="BC9" s="500"/>
      <c r="BD9" s="529" t="s">
        <v>292</v>
      </c>
      <c r="BE9" s="530" t="s">
        <v>293</v>
      </c>
      <c r="BF9" s="531" t="s">
        <v>294</v>
      </c>
      <c r="BG9" s="531" t="s">
        <v>513</v>
      </c>
      <c r="BH9" s="532" t="s">
        <v>519</v>
      </c>
      <c r="BI9" s="533" t="s">
        <v>297</v>
      </c>
      <c r="BJ9" s="534" t="s">
        <v>520</v>
      </c>
      <c r="BK9" s="535" t="s">
        <v>516</v>
      </c>
      <c r="BL9" s="536" t="s">
        <v>300</v>
      </c>
      <c r="BM9" s="535" t="s">
        <v>516</v>
      </c>
      <c r="BN9" s="536" t="s">
        <v>300</v>
      </c>
      <c r="BO9" s="535" t="s">
        <v>516</v>
      </c>
      <c r="BP9" s="536" t="s">
        <v>300</v>
      </c>
      <c r="BQ9" s="535" t="s">
        <v>516</v>
      </c>
      <c r="BR9" s="536" t="s">
        <v>300</v>
      </c>
      <c r="BS9" s="535" t="s">
        <v>516</v>
      </c>
      <c r="BT9" s="536" t="s">
        <v>300</v>
      </c>
      <c r="BU9" s="535" t="s">
        <v>516</v>
      </c>
      <c r="BV9" s="536" t="s">
        <v>300</v>
      </c>
      <c r="BW9" s="535" t="s">
        <v>517</v>
      </c>
      <c r="BX9" s="536" t="s">
        <v>300</v>
      </c>
      <c r="BY9" s="535" t="s">
        <v>516</v>
      </c>
      <c r="BZ9" s="536" t="s">
        <v>300</v>
      </c>
      <c r="CA9" s="535" t="s">
        <v>516</v>
      </c>
      <c r="CB9" s="536" t="s">
        <v>300</v>
      </c>
      <c r="CC9" s="535" t="s">
        <v>517</v>
      </c>
      <c r="CD9" s="536" t="s">
        <v>300</v>
      </c>
      <c r="CE9" s="535" t="s">
        <v>518</v>
      </c>
      <c r="CF9" s="536" t="s">
        <v>300</v>
      </c>
      <c r="CG9" s="535" t="s">
        <v>517</v>
      </c>
      <c r="CH9" s="536" t="s">
        <v>300</v>
      </c>
      <c r="CI9" s="535" t="s">
        <v>516</v>
      </c>
      <c r="CJ9" s="536" t="s">
        <v>300</v>
      </c>
      <c r="CK9" s="535" t="s">
        <v>517</v>
      </c>
      <c r="CL9" s="536" t="s">
        <v>300</v>
      </c>
      <c r="CM9" s="535" t="s">
        <v>517</v>
      </c>
      <c r="CN9" s="536" t="s">
        <v>300</v>
      </c>
      <c r="CO9" s="535" t="s">
        <v>517</v>
      </c>
      <c r="CP9" s="536" t="s">
        <v>300</v>
      </c>
      <c r="CQ9" s="535" t="s">
        <v>517</v>
      </c>
      <c r="CR9" s="536" t="s">
        <v>300</v>
      </c>
      <c r="CS9" s="535" t="s">
        <v>517</v>
      </c>
      <c r="CT9" s="536" t="s">
        <v>300</v>
      </c>
      <c r="CU9" s="535" t="s">
        <v>517</v>
      </c>
      <c r="CV9" s="536" t="s">
        <v>300</v>
      </c>
      <c r="CW9" s="535" t="s">
        <v>517</v>
      </c>
      <c r="CX9" s="536" t="s">
        <v>300</v>
      </c>
      <c r="CY9" s="535" t="s">
        <v>516</v>
      </c>
      <c r="CZ9" s="536" t="s">
        <v>300</v>
      </c>
      <c r="DA9" s="535" t="s">
        <v>517</v>
      </c>
      <c r="DB9" s="536" t="s">
        <v>300</v>
      </c>
      <c r="DC9" s="535" t="s">
        <v>516</v>
      </c>
      <c r="DD9" s="536" t="s">
        <v>300</v>
      </c>
      <c r="DE9" s="537" t="s">
        <v>301</v>
      </c>
      <c r="DF9" s="500"/>
      <c r="DG9" s="529" t="s">
        <v>292</v>
      </c>
      <c r="DH9" s="530" t="s">
        <v>293</v>
      </c>
      <c r="DI9" s="531" t="s">
        <v>294</v>
      </c>
      <c r="DJ9" s="531" t="s">
        <v>513</v>
      </c>
      <c r="DK9" s="532" t="s">
        <v>519</v>
      </c>
      <c r="DL9" s="533" t="s">
        <v>297</v>
      </c>
      <c r="DM9" s="534" t="s">
        <v>515</v>
      </c>
      <c r="DN9" s="535" t="s">
        <v>516</v>
      </c>
      <c r="DO9" s="536" t="s">
        <v>300</v>
      </c>
      <c r="DP9" s="535" t="s">
        <v>517</v>
      </c>
      <c r="DQ9" s="536" t="s">
        <v>300</v>
      </c>
      <c r="DR9" s="535" t="s">
        <v>516</v>
      </c>
      <c r="DS9" s="536" t="s">
        <v>300</v>
      </c>
      <c r="DT9" s="535" t="s">
        <v>518</v>
      </c>
      <c r="DU9" s="536" t="s">
        <v>300</v>
      </c>
      <c r="DV9" s="535" t="s">
        <v>517</v>
      </c>
      <c r="DW9" s="536" t="s">
        <v>300</v>
      </c>
      <c r="DX9" s="535" t="s">
        <v>517</v>
      </c>
      <c r="DY9" s="536" t="s">
        <v>300</v>
      </c>
      <c r="DZ9" s="535" t="s">
        <v>517</v>
      </c>
      <c r="EA9" s="536" t="s">
        <v>300</v>
      </c>
      <c r="EB9" s="535" t="s">
        <v>516</v>
      </c>
      <c r="EC9" s="536" t="s">
        <v>300</v>
      </c>
      <c r="ED9" s="535" t="s">
        <v>518</v>
      </c>
      <c r="EE9" s="536" t="s">
        <v>300</v>
      </c>
      <c r="EF9" s="535" t="s">
        <v>516</v>
      </c>
      <c r="EG9" s="536" t="s">
        <v>300</v>
      </c>
      <c r="EH9" s="535" t="s">
        <v>516</v>
      </c>
      <c r="EI9" s="536" t="s">
        <v>300</v>
      </c>
      <c r="EJ9" s="535" t="s">
        <v>517</v>
      </c>
      <c r="EK9" s="536" t="s">
        <v>300</v>
      </c>
      <c r="EL9" s="535" t="s">
        <v>517</v>
      </c>
      <c r="EM9" s="536" t="s">
        <v>300</v>
      </c>
      <c r="EN9" s="535" t="s">
        <v>516</v>
      </c>
      <c r="EO9" s="536" t="s">
        <v>300</v>
      </c>
      <c r="EP9" s="535" t="s">
        <v>518</v>
      </c>
      <c r="EQ9" s="536" t="s">
        <v>300</v>
      </c>
      <c r="ER9" s="535" t="s">
        <v>516</v>
      </c>
      <c r="ES9" s="536" t="s">
        <v>300</v>
      </c>
      <c r="ET9" s="535" t="s">
        <v>518</v>
      </c>
      <c r="EU9" s="536" t="s">
        <v>300</v>
      </c>
      <c r="EV9" s="535" t="s">
        <v>517</v>
      </c>
      <c r="EW9" s="536" t="s">
        <v>300</v>
      </c>
      <c r="EX9" s="535" t="s">
        <v>517</v>
      </c>
      <c r="EY9" s="536" t="s">
        <v>300</v>
      </c>
      <c r="EZ9" s="535" t="s">
        <v>518</v>
      </c>
      <c r="FA9" s="536" t="s">
        <v>300</v>
      </c>
      <c r="FB9" s="535" t="s">
        <v>516</v>
      </c>
      <c r="FC9" s="536" t="s">
        <v>300</v>
      </c>
      <c r="FD9" s="535" t="s">
        <v>517</v>
      </c>
      <c r="FE9" s="536" t="s">
        <v>300</v>
      </c>
      <c r="FF9" s="535" t="s">
        <v>518</v>
      </c>
      <c r="FG9" s="536" t="s">
        <v>300</v>
      </c>
      <c r="FH9" s="537" t="s">
        <v>301</v>
      </c>
      <c r="FI9" s="538"/>
      <c r="FJ9" s="539" t="s">
        <v>292</v>
      </c>
      <c r="FK9" s="530" t="s">
        <v>293</v>
      </c>
      <c r="FL9" s="531" t="s">
        <v>294</v>
      </c>
      <c r="FM9" s="531" t="s">
        <v>513</v>
      </c>
      <c r="FN9" s="532" t="s">
        <v>514</v>
      </c>
      <c r="FO9" s="533" t="s">
        <v>297</v>
      </c>
      <c r="FP9" s="540" t="s">
        <v>46</v>
      </c>
      <c r="FQ9" s="541" t="s">
        <v>300</v>
      </c>
      <c r="FR9" s="535" t="s">
        <v>301</v>
      </c>
      <c r="FS9" s="542" t="s">
        <v>46</v>
      </c>
      <c r="FT9" s="541" t="s">
        <v>300</v>
      </c>
      <c r="FU9" s="535" t="s">
        <v>301</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4"/>
      <c r="HG9" s="1454"/>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521</v>
      </c>
      <c r="FS10" s="563"/>
      <c r="FT10" s="555"/>
      <c r="FU10" s="564" t="s">
        <v>522</v>
      </c>
      <c r="FV10" s="565" t="s">
        <v>303</v>
      </c>
      <c r="FW10" s="1265"/>
      <c r="FX10" s="1266" t="s">
        <v>304</v>
      </c>
      <c r="FY10" s="1267"/>
      <c r="FZ10" s="1268" t="s">
        <v>305</v>
      </c>
      <c r="GA10" s="1269"/>
      <c r="GB10" s="1270" t="s">
        <v>541</v>
      </c>
      <c r="GC10" s="1271"/>
      <c r="GD10" s="573" t="s">
        <v>542</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4"/>
      <c r="HG10" s="1454"/>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522</v>
      </c>
      <c r="FS11" s="588"/>
      <c r="FT11" s="583"/>
      <c r="FU11" s="589" t="s">
        <v>521</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4"/>
      <c r="HG11" s="1454"/>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523</v>
      </c>
      <c r="FS12" s="588"/>
      <c r="FT12" s="583"/>
      <c r="FU12" s="589" t="s">
        <v>522</v>
      </c>
      <c r="FV12" s="590"/>
      <c r="FW12" s="591"/>
      <c r="FX12" s="592"/>
      <c r="FY12" s="593"/>
      <c r="FZ12" s="594"/>
      <c r="GA12" s="595"/>
      <c r="GB12" s="596"/>
      <c r="GC12" s="597"/>
      <c r="GD12" s="596"/>
      <c r="GE12" s="598"/>
      <c r="GF12" s="496"/>
      <c r="GG12" s="599"/>
      <c r="GH12" s="599"/>
      <c r="GI12" s="599"/>
      <c r="GJ12" s="414"/>
      <c r="GK12" s="600" t="s">
        <v>362</v>
      </c>
      <c r="GL12" s="601"/>
      <c r="GM12" s="602" t="s">
        <v>445</v>
      </c>
      <c r="GN12" s="603" t="s">
        <v>446</v>
      </c>
      <c r="GO12" s="604" t="s">
        <v>447</v>
      </c>
      <c r="GP12" s="605" t="s">
        <v>448</v>
      </c>
      <c r="GQ12" s="604" t="s">
        <v>449</v>
      </c>
      <c r="GR12" s="604" t="s">
        <v>450</v>
      </c>
      <c r="GS12" s="606"/>
      <c r="GT12" s="545"/>
      <c r="GU12" s="600" t="s">
        <v>362</v>
      </c>
      <c r="GV12" s="601"/>
      <c r="GW12" s="602" t="s">
        <v>445</v>
      </c>
      <c r="GX12" s="607" t="s">
        <v>451</v>
      </c>
      <c r="GY12" s="608"/>
      <c r="GZ12" s="609" t="s">
        <v>447</v>
      </c>
      <c r="HA12" s="610" t="s">
        <v>452</v>
      </c>
      <c r="HB12" s="611"/>
      <c r="HC12" s="612"/>
      <c r="HD12" s="792"/>
      <c r="HE12" s="438"/>
      <c r="HF12" s="1454"/>
      <c r="HG12" s="1454"/>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523</v>
      </c>
      <c r="FS13" s="623"/>
      <c r="FT13" s="618"/>
      <c r="FU13" s="624" t="s">
        <v>522</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524</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524</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525</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526</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3"/>
      <c r="HE14" s="416"/>
      <c r="HF14" s="416"/>
      <c r="HG14" s="416"/>
    </row>
    <row r="15" spans="1:353" ht="24" customHeight="1">
      <c r="A15" s="529" t="s">
        <v>307</v>
      </c>
      <c r="B15" s="655" t="s">
        <v>293</v>
      </c>
      <c r="C15" s="656" t="s">
        <v>294</v>
      </c>
      <c r="D15" s="657" t="s">
        <v>527</v>
      </c>
      <c r="E15" s="657" t="s">
        <v>308</v>
      </c>
      <c r="F15" s="658" t="s">
        <v>112</v>
      </c>
      <c r="G15" s="659" t="s">
        <v>318</v>
      </c>
      <c r="H15" s="660" t="s">
        <v>528</v>
      </c>
      <c r="I15" s="661" t="s">
        <v>311</v>
      </c>
      <c r="J15" s="660" t="s">
        <v>529</v>
      </c>
      <c r="K15" s="661" t="s">
        <v>311</v>
      </c>
      <c r="L15" s="660" t="s">
        <v>530</v>
      </c>
      <c r="M15" s="661" t="s">
        <v>311</v>
      </c>
      <c r="N15" s="660" t="s">
        <v>531</v>
      </c>
      <c r="O15" s="661" t="s">
        <v>311</v>
      </c>
      <c r="P15" s="660" t="s">
        <v>530</v>
      </c>
      <c r="Q15" s="661" t="s">
        <v>311</v>
      </c>
      <c r="R15" s="660" t="s">
        <v>532</v>
      </c>
      <c r="S15" s="661" t="s">
        <v>311</v>
      </c>
      <c r="T15" s="660" t="s">
        <v>531</v>
      </c>
      <c r="U15" s="661" t="s">
        <v>311</v>
      </c>
      <c r="V15" s="660" t="s">
        <v>532</v>
      </c>
      <c r="W15" s="661" t="s">
        <v>311</v>
      </c>
      <c r="X15" s="660" t="s">
        <v>529</v>
      </c>
      <c r="Y15" s="661" t="s">
        <v>311</v>
      </c>
      <c r="Z15" s="660" t="s">
        <v>530</v>
      </c>
      <c r="AA15" s="661" t="s">
        <v>311</v>
      </c>
      <c r="AB15" s="660" t="s">
        <v>530</v>
      </c>
      <c r="AC15" s="661" t="s">
        <v>311</v>
      </c>
      <c r="AD15" s="660" t="s">
        <v>532</v>
      </c>
      <c r="AE15" s="661" t="s">
        <v>311</v>
      </c>
      <c r="AF15" s="660" t="s">
        <v>529</v>
      </c>
      <c r="AG15" s="661" t="s">
        <v>311</v>
      </c>
      <c r="AH15" s="660" t="s">
        <v>530</v>
      </c>
      <c r="AI15" s="661" t="s">
        <v>311</v>
      </c>
      <c r="AJ15" s="660" t="s">
        <v>532</v>
      </c>
      <c r="AK15" s="661" t="s">
        <v>311</v>
      </c>
      <c r="AL15" s="660" t="s">
        <v>528</v>
      </c>
      <c r="AM15" s="661" t="s">
        <v>311</v>
      </c>
      <c r="AN15" s="660" t="s">
        <v>528</v>
      </c>
      <c r="AO15" s="661" t="s">
        <v>311</v>
      </c>
      <c r="AP15" s="660" t="s">
        <v>528</v>
      </c>
      <c r="AQ15" s="661" t="s">
        <v>311</v>
      </c>
      <c r="AR15" s="660" t="s">
        <v>531</v>
      </c>
      <c r="AS15" s="661" t="s">
        <v>311</v>
      </c>
      <c r="AT15" s="660" t="s">
        <v>532</v>
      </c>
      <c r="AU15" s="661" t="s">
        <v>311</v>
      </c>
      <c r="AV15" s="660" t="s">
        <v>528</v>
      </c>
      <c r="AW15" s="661" t="s">
        <v>311</v>
      </c>
      <c r="AX15" s="660" t="s">
        <v>530</v>
      </c>
      <c r="AY15" s="661" t="s">
        <v>311</v>
      </c>
      <c r="AZ15" s="660" t="s">
        <v>530</v>
      </c>
      <c r="BA15" s="661" t="s">
        <v>311</v>
      </c>
      <c r="BB15" s="662" t="s">
        <v>313</v>
      </c>
      <c r="BC15" s="663"/>
      <c r="BD15" s="529" t="s">
        <v>307</v>
      </c>
      <c r="BE15" s="655" t="s">
        <v>293</v>
      </c>
      <c r="BF15" s="656" t="s">
        <v>294</v>
      </c>
      <c r="BG15" s="657" t="s">
        <v>533</v>
      </c>
      <c r="BH15" s="657" t="s">
        <v>308</v>
      </c>
      <c r="BI15" s="658" t="s">
        <v>112</v>
      </c>
      <c r="BJ15" s="659" t="s">
        <v>534</v>
      </c>
      <c r="BK15" s="660" t="s">
        <v>529</v>
      </c>
      <c r="BL15" s="661" t="s">
        <v>311</v>
      </c>
      <c r="BM15" s="660" t="s">
        <v>528</v>
      </c>
      <c r="BN15" s="661" t="s">
        <v>311</v>
      </c>
      <c r="BO15" s="660" t="s">
        <v>530</v>
      </c>
      <c r="BP15" s="661" t="s">
        <v>311</v>
      </c>
      <c r="BQ15" s="660" t="s">
        <v>528</v>
      </c>
      <c r="BR15" s="661" t="s">
        <v>311</v>
      </c>
      <c r="BS15" s="660" t="s">
        <v>532</v>
      </c>
      <c r="BT15" s="661" t="s">
        <v>311</v>
      </c>
      <c r="BU15" s="660" t="s">
        <v>532</v>
      </c>
      <c r="BV15" s="661" t="s">
        <v>311</v>
      </c>
      <c r="BW15" s="660" t="s">
        <v>531</v>
      </c>
      <c r="BX15" s="661" t="s">
        <v>311</v>
      </c>
      <c r="BY15" s="660" t="s">
        <v>532</v>
      </c>
      <c r="BZ15" s="661" t="s">
        <v>311</v>
      </c>
      <c r="CA15" s="660" t="s">
        <v>532</v>
      </c>
      <c r="CB15" s="661" t="s">
        <v>311</v>
      </c>
      <c r="CC15" s="660" t="s">
        <v>532</v>
      </c>
      <c r="CD15" s="661" t="s">
        <v>311</v>
      </c>
      <c r="CE15" s="660" t="s">
        <v>528</v>
      </c>
      <c r="CF15" s="661" t="s">
        <v>311</v>
      </c>
      <c r="CG15" s="660" t="s">
        <v>528</v>
      </c>
      <c r="CH15" s="661" t="s">
        <v>311</v>
      </c>
      <c r="CI15" s="660" t="s">
        <v>528</v>
      </c>
      <c r="CJ15" s="661" t="s">
        <v>311</v>
      </c>
      <c r="CK15" s="660" t="s">
        <v>530</v>
      </c>
      <c r="CL15" s="661" t="s">
        <v>311</v>
      </c>
      <c r="CM15" s="660" t="s">
        <v>532</v>
      </c>
      <c r="CN15" s="661" t="s">
        <v>311</v>
      </c>
      <c r="CO15" s="660" t="s">
        <v>531</v>
      </c>
      <c r="CP15" s="661" t="s">
        <v>311</v>
      </c>
      <c r="CQ15" s="660" t="s">
        <v>530</v>
      </c>
      <c r="CR15" s="661" t="s">
        <v>311</v>
      </c>
      <c r="CS15" s="660" t="s">
        <v>528</v>
      </c>
      <c r="CT15" s="661" t="s">
        <v>311</v>
      </c>
      <c r="CU15" s="660" t="s">
        <v>532</v>
      </c>
      <c r="CV15" s="661" t="s">
        <v>311</v>
      </c>
      <c r="CW15" s="660" t="s">
        <v>530</v>
      </c>
      <c r="CX15" s="661" t="s">
        <v>311</v>
      </c>
      <c r="CY15" s="660" t="s">
        <v>532</v>
      </c>
      <c r="CZ15" s="661" t="s">
        <v>311</v>
      </c>
      <c r="DA15" s="660" t="s">
        <v>530</v>
      </c>
      <c r="DB15" s="661" t="s">
        <v>311</v>
      </c>
      <c r="DC15" s="660" t="s">
        <v>528</v>
      </c>
      <c r="DD15" s="661" t="s">
        <v>311</v>
      </c>
      <c r="DE15" s="662" t="s">
        <v>313</v>
      </c>
      <c r="DF15" s="663"/>
      <c r="DG15" s="529" t="s">
        <v>307</v>
      </c>
      <c r="DH15" s="655" t="s">
        <v>293</v>
      </c>
      <c r="DI15" s="656" t="s">
        <v>294</v>
      </c>
      <c r="DJ15" s="657" t="s">
        <v>513</v>
      </c>
      <c r="DK15" s="657" t="s">
        <v>308</v>
      </c>
      <c r="DL15" s="658" t="s">
        <v>112</v>
      </c>
      <c r="DM15" s="659" t="s">
        <v>535</v>
      </c>
      <c r="DN15" s="660" t="s">
        <v>528</v>
      </c>
      <c r="DO15" s="661" t="s">
        <v>311</v>
      </c>
      <c r="DP15" s="660" t="s">
        <v>528</v>
      </c>
      <c r="DQ15" s="661" t="s">
        <v>311</v>
      </c>
      <c r="DR15" s="660" t="s">
        <v>529</v>
      </c>
      <c r="DS15" s="661" t="s">
        <v>311</v>
      </c>
      <c r="DT15" s="660" t="s">
        <v>531</v>
      </c>
      <c r="DU15" s="661" t="s">
        <v>311</v>
      </c>
      <c r="DV15" s="660" t="s">
        <v>530</v>
      </c>
      <c r="DW15" s="661" t="s">
        <v>311</v>
      </c>
      <c r="DX15" s="660" t="s">
        <v>531</v>
      </c>
      <c r="DY15" s="661" t="s">
        <v>311</v>
      </c>
      <c r="DZ15" s="660" t="s">
        <v>528</v>
      </c>
      <c r="EA15" s="661" t="s">
        <v>311</v>
      </c>
      <c r="EB15" s="660" t="s">
        <v>532</v>
      </c>
      <c r="EC15" s="661" t="s">
        <v>311</v>
      </c>
      <c r="ED15" s="660" t="s">
        <v>531</v>
      </c>
      <c r="EE15" s="661" t="s">
        <v>311</v>
      </c>
      <c r="EF15" s="660" t="s">
        <v>532</v>
      </c>
      <c r="EG15" s="661" t="s">
        <v>311</v>
      </c>
      <c r="EH15" s="660" t="s">
        <v>529</v>
      </c>
      <c r="EI15" s="661" t="s">
        <v>311</v>
      </c>
      <c r="EJ15" s="660" t="s">
        <v>531</v>
      </c>
      <c r="EK15" s="661" t="s">
        <v>311</v>
      </c>
      <c r="EL15" s="660" t="s">
        <v>531</v>
      </c>
      <c r="EM15" s="661" t="s">
        <v>311</v>
      </c>
      <c r="EN15" s="660" t="s">
        <v>529</v>
      </c>
      <c r="EO15" s="661" t="s">
        <v>311</v>
      </c>
      <c r="EP15" s="660" t="s">
        <v>530</v>
      </c>
      <c r="EQ15" s="661" t="s">
        <v>311</v>
      </c>
      <c r="ER15" s="660" t="s">
        <v>532</v>
      </c>
      <c r="ES15" s="661" t="s">
        <v>311</v>
      </c>
      <c r="ET15" s="660" t="s">
        <v>532</v>
      </c>
      <c r="EU15" s="661" t="s">
        <v>311</v>
      </c>
      <c r="EV15" s="660" t="s">
        <v>530</v>
      </c>
      <c r="EW15" s="661" t="s">
        <v>311</v>
      </c>
      <c r="EX15" s="660" t="s">
        <v>532</v>
      </c>
      <c r="EY15" s="661" t="s">
        <v>311</v>
      </c>
      <c r="EZ15" s="660" t="s">
        <v>528</v>
      </c>
      <c r="FA15" s="661" t="s">
        <v>311</v>
      </c>
      <c r="FB15" s="660" t="s">
        <v>530</v>
      </c>
      <c r="FC15" s="661" t="s">
        <v>311</v>
      </c>
      <c r="FD15" s="660" t="s">
        <v>530</v>
      </c>
      <c r="FE15" s="661" t="s">
        <v>311</v>
      </c>
      <c r="FF15" s="660" t="s">
        <v>531</v>
      </c>
      <c r="FG15" s="661" t="s">
        <v>311</v>
      </c>
      <c r="FH15" s="662" t="s">
        <v>313</v>
      </c>
      <c r="FI15" s="664"/>
      <c r="FJ15" s="539" t="s">
        <v>307</v>
      </c>
      <c r="FK15" s="655" t="s">
        <v>293</v>
      </c>
      <c r="FL15" s="656" t="s">
        <v>294</v>
      </c>
      <c r="FM15" s="657" t="s">
        <v>513</v>
      </c>
      <c r="FN15" s="657" t="s">
        <v>308</v>
      </c>
      <c r="FO15" s="658" t="s">
        <v>112</v>
      </c>
      <c r="FP15" s="665" t="s">
        <v>46</v>
      </c>
      <c r="FQ15" s="666" t="s">
        <v>311</v>
      </c>
      <c r="FR15" s="660" t="s">
        <v>313</v>
      </c>
      <c r="FS15" s="667" t="s">
        <v>46</v>
      </c>
      <c r="FT15" s="666" t="s">
        <v>311</v>
      </c>
      <c r="FU15" s="668" t="s">
        <v>313</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253</v>
      </c>
      <c r="C16" s="672"/>
      <c r="D16" s="552">
        <v>20.72</v>
      </c>
      <c r="E16" s="673">
        <v>2.5</v>
      </c>
      <c r="F16" s="674"/>
      <c r="G16" s="675">
        <v>0</v>
      </c>
      <c r="H16" s="556">
        <f>ROUND(20.72*2.5*0,0)</f>
        <v>0</v>
      </c>
      <c r="I16" s="676">
        <v>0</v>
      </c>
      <c r="J16" s="556">
        <f>ROUND(20.72*2.5*0,0)</f>
        <v>0</v>
      </c>
      <c r="K16" s="676">
        <v>0</v>
      </c>
      <c r="L16" s="556">
        <f>ROUND(20.72*2.5*0,0)</f>
        <v>0</v>
      </c>
      <c r="M16" s="676">
        <v>0</v>
      </c>
      <c r="N16" s="556">
        <f>ROUND(20.72*2.5*0,0)</f>
        <v>0</v>
      </c>
      <c r="O16" s="676">
        <v>0</v>
      </c>
      <c r="P16" s="556">
        <f>ROUND(20.72*2.5*0,0)</f>
        <v>0</v>
      </c>
      <c r="Q16" s="676">
        <v>0</v>
      </c>
      <c r="R16" s="556">
        <f>ROUND(20.72*2.5*0,0)</f>
        <v>0</v>
      </c>
      <c r="S16" s="676">
        <v>0</v>
      </c>
      <c r="T16" s="556">
        <f>ROUND(20.72*2.5*0,0)</f>
        <v>0</v>
      </c>
      <c r="U16" s="676">
        <v>0</v>
      </c>
      <c r="V16" s="556">
        <f>ROUND(20.72*2.5*0,0)</f>
        <v>0</v>
      </c>
      <c r="W16" s="676">
        <v>1.6</v>
      </c>
      <c r="X16" s="556">
        <f>ROUND(20.72*2.5*1.6,0)</f>
        <v>83</v>
      </c>
      <c r="Y16" s="676">
        <v>2</v>
      </c>
      <c r="Z16" s="556">
        <f>ROUND(20.72*2.5*2,0)</f>
        <v>104</v>
      </c>
      <c r="AA16" s="676">
        <v>2.2000000000000002</v>
      </c>
      <c r="AB16" s="556">
        <f>ROUND(20.72*2.5*2.2,0)</f>
        <v>114</v>
      </c>
      <c r="AC16" s="676">
        <v>2.2999999999999998</v>
      </c>
      <c r="AD16" s="556">
        <f>ROUND(20.72*2.5*2.3,0)</f>
        <v>119</v>
      </c>
      <c r="AE16" s="676">
        <v>2.4</v>
      </c>
      <c r="AF16" s="556">
        <f>ROUND(20.72*2.5*2.4,0)</f>
        <v>124</v>
      </c>
      <c r="AG16" s="676">
        <v>2.4</v>
      </c>
      <c r="AH16" s="556">
        <f>ROUND(20.72*2.5*2.4,0)</f>
        <v>124</v>
      </c>
      <c r="AI16" s="676">
        <v>2.2000000000000002</v>
      </c>
      <c r="AJ16" s="556">
        <f>ROUND(20.72*2.5*2.2,0)</f>
        <v>114</v>
      </c>
      <c r="AK16" s="676">
        <v>2.1</v>
      </c>
      <c r="AL16" s="556">
        <f>ROUND(20.72*2.5*2.1,0)</f>
        <v>109</v>
      </c>
      <c r="AM16" s="676">
        <v>1.8</v>
      </c>
      <c r="AN16" s="556">
        <f>ROUND(20.72*2.5*1.8,0)</f>
        <v>93</v>
      </c>
      <c r="AO16" s="676">
        <v>1.6</v>
      </c>
      <c r="AP16" s="556">
        <f>ROUND(20.72*2.5*1.6,0)</f>
        <v>83</v>
      </c>
      <c r="AQ16" s="676">
        <v>0</v>
      </c>
      <c r="AR16" s="556">
        <f>ROUND(20.72*2.5*0,0)</f>
        <v>0</v>
      </c>
      <c r="AS16" s="676">
        <v>0</v>
      </c>
      <c r="AT16" s="556">
        <f>ROUND(20.72*2.5*0,0)</f>
        <v>0</v>
      </c>
      <c r="AU16" s="676">
        <v>0</v>
      </c>
      <c r="AV16" s="556">
        <f>ROUND(20.72*2.5*0,0)</f>
        <v>0</v>
      </c>
      <c r="AW16" s="676">
        <v>0</v>
      </c>
      <c r="AX16" s="556">
        <f>ROUND(20.72*2.5*0,0)</f>
        <v>0</v>
      </c>
      <c r="AY16" s="676">
        <v>0</v>
      </c>
      <c r="AZ16" s="556">
        <f>ROUND(20.72*2.5*0,0)</f>
        <v>0</v>
      </c>
      <c r="BA16" s="676">
        <v>0</v>
      </c>
      <c r="BB16" s="677">
        <f>ROUND(20.72*2.5*0,0)</f>
        <v>0</v>
      </c>
      <c r="BC16" s="559"/>
      <c r="BD16" s="549"/>
      <c r="BE16" s="551" t="s">
        <v>253</v>
      </c>
      <c r="BF16" s="672"/>
      <c r="BG16" s="552">
        <v>20.72</v>
      </c>
      <c r="BH16" s="673">
        <v>2.5</v>
      </c>
      <c r="BI16" s="674"/>
      <c r="BJ16" s="675">
        <v>0</v>
      </c>
      <c r="BK16" s="556">
        <f>ROUND(20.72*2.5*0,0)</f>
        <v>0</v>
      </c>
      <c r="BL16" s="676">
        <v>0</v>
      </c>
      <c r="BM16" s="556">
        <f>ROUND(20.72*2.5*0,0)</f>
        <v>0</v>
      </c>
      <c r="BN16" s="676">
        <v>0</v>
      </c>
      <c r="BO16" s="556">
        <f>ROUND(20.72*2.5*0,0)</f>
        <v>0</v>
      </c>
      <c r="BP16" s="676">
        <v>0</v>
      </c>
      <c r="BQ16" s="556">
        <f>ROUND(20.72*2.5*0,0)</f>
        <v>0</v>
      </c>
      <c r="BR16" s="676">
        <v>0</v>
      </c>
      <c r="BS16" s="556">
        <f>ROUND(20.72*2.5*0,0)</f>
        <v>0</v>
      </c>
      <c r="BT16" s="676">
        <v>0</v>
      </c>
      <c r="BU16" s="556">
        <f>ROUND(20.72*2.5*0,0)</f>
        <v>0</v>
      </c>
      <c r="BV16" s="676">
        <v>0</v>
      </c>
      <c r="BW16" s="556">
        <f>ROUND(20.72*2.5*0,0)</f>
        <v>0</v>
      </c>
      <c r="BX16" s="676">
        <v>0</v>
      </c>
      <c r="BY16" s="556">
        <f>ROUND(20.72*2.5*0,0)</f>
        <v>0</v>
      </c>
      <c r="BZ16" s="676">
        <v>1.5</v>
      </c>
      <c r="CA16" s="556">
        <f>ROUND(20.72*2.5*1.5,0)</f>
        <v>78</v>
      </c>
      <c r="CB16" s="676">
        <v>1.8</v>
      </c>
      <c r="CC16" s="556">
        <f>ROUND(20.72*2.5*1.8,0)</f>
        <v>93</v>
      </c>
      <c r="CD16" s="676">
        <v>2.1</v>
      </c>
      <c r="CE16" s="556">
        <f>ROUND(20.72*2.5*2.1,0)</f>
        <v>109</v>
      </c>
      <c r="CF16" s="676">
        <v>2.2000000000000002</v>
      </c>
      <c r="CG16" s="556">
        <f>ROUND(20.72*2.5*2.2,0)</f>
        <v>114</v>
      </c>
      <c r="CH16" s="676">
        <v>2.2999999999999998</v>
      </c>
      <c r="CI16" s="556">
        <f>ROUND(20.72*2.5*2.3,0)</f>
        <v>119</v>
      </c>
      <c r="CJ16" s="676">
        <v>2.2000000000000002</v>
      </c>
      <c r="CK16" s="556">
        <f>ROUND(20.72*2.5*2.2,0)</f>
        <v>114</v>
      </c>
      <c r="CL16" s="676">
        <v>2.1</v>
      </c>
      <c r="CM16" s="556">
        <f>ROUND(20.72*2.5*2.1,0)</f>
        <v>109</v>
      </c>
      <c r="CN16" s="676">
        <v>2</v>
      </c>
      <c r="CO16" s="556">
        <f>ROUND(20.72*2.5*2,0)</f>
        <v>104</v>
      </c>
      <c r="CP16" s="676">
        <v>1.8</v>
      </c>
      <c r="CQ16" s="556">
        <f>ROUND(20.72*2.5*1.8,0)</f>
        <v>93</v>
      </c>
      <c r="CR16" s="676">
        <v>1.5</v>
      </c>
      <c r="CS16" s="556">
        <f>ROUND(20.72*2.5*1.5,0)</f>
        <v>78</v>
      </c>
      <c r="CT16" s="676">
        <v>0</v>
      </c>
      <c r="CU16" s="556">
        <f>ROUND(20.72*2.5*0,0)</f>
        <v>0</v>
      </c>
      <c r="CV16" s="676">
        <v>0</v>
      </c>
      <c r="CW16" s="556">
        <f>ROUND(20.72*2.5*0,0)</f>
        <v>0</v>
      </c>
      <c r="CX16" s="676">
        <v>0</v>
      </c>
      <c r="CY16" s="556">
        <f>ROUND(20.72*2.5*0,0)</f>
        <v>0</v>
      </c>
      <c r="CZ16" s="676">
        <v>0</v>
      </c>
      <c r="DA16" s="556">
        <f>ROUND(20.72*2.5*0,0)</f>
        <v>0</v>
      </c>
      <c r="DB16" s="676">
        <v>0</v>
      </c>
      <c r="DC16" s="556">
        <f>ROUND(20.72*2.5*0,0)</f>
        <v>0</v>
      </c>
      <c r="DD16" s="676">
        <v>0</v>
      </c>
      <c r="DE16" s="677">
        <f>ROUND(20.72*2.5*0,0)</f>
        <v>0</v>
      </c>
      <c r="DF16" s="559"/>
      <c r="DG16" s="549"/>
      <c r="DH16" s="551" t="s">
        <v>253</v>
      </c>
      <c r="DI16" s="672"/>
      <c r="DJ16" s="552">
        <v>20.72</v>
      </c>
      <c r="DK16" s="673">
        <v>2.5</v>
      </c>
      <c r="DL16" s="674"/>
      <c r="DM16" s="675">
        <v>0</v>
      </c>
      <c r="DN16" s="556">
        <f>ROUND(20.72*2.5*0,0)</f>
        <v>0</v>
      </c>
      <c r="DO16" s="676">
        <v>0</v>
      </c>
      <c r="DP16" s="556">
        <f>ROUND(20.72*2.5*0,0)</f>
        <v>0</v>
      </c>
      <c r="DQ16" s="676">
        <v>0</v>
      </c>
      <c r="DR16" s="556">
        <f>ROUND(20.72*2.5*0,0)</f>
        <v>0</v>
      </c>
      <c r="DS16" s="676">
        <v>0</v>
      </c>
      <c r="DT16" s="556">
        <f>ROUND(20.72*2.5*0,0)</f>
        <v>0</v>
      </c>
      <c r="DU16" s="676">
        <v>0</v>
      </c>
      <c r="DV16" s="556">
        <f>ROUND(20.72*2.5*0,0)</f>
        <v>0</v>
      </c>
      <c r="DW16" s="676">
        <v>0</v>
      </c>
      <c r="DX16" s="556">
        <f>ROUND(20.72*2.5*0,0)</f>
        <v>0</v>
      </c>
      <c r="DY16" s="676">
        <v>0</v>
      </c>
      <c r="DZ16" s="556">
        <f>ROUND(20.72*2.5*0,0)</f>
        <v>0</v>
      </c>
      <c r="EA16" s="676">
        <v>0</v>
      </c>
      <c r="EB16" s="556">
        <f>ROUND(20.72*2.5*0,0)</f>
        <v>0</v>
      </c>
      <c r="EC16" s="676">
        <v>0.8</v>
      </c>
      <c r="ED16" s="556">
        <f>ROUND(20.72*2.5*0.8,0)</f>
        <v>41</v>
      </c>
      <c r="EE16" s="676">
        <v>1.2</v>
      </c>
      <c r="EF16" s="556">
        <f>ROUND(20.72*2.5*1.2,0)</f>
        <v>62</v>
      </c>
      <c r="EG16" s="676">
        <v>1.5</v>
      </c>
      <c r="EH16" s="556">
        <f>ROUND(20.72*2.5*1.5,0)</f>
        <v>78</v>
      </c>
      <c r="EI16" s="676">
        <v>1.7</v>
      </c>
      <c r="EJ16" s="556">
        <f>ROUND(20.72*2.5*1.7,0)</f>
        <v>88</v>
      </c>
      <c r="EK16" s="676">
        <v>1.7</v>
      </c>
      <c r="EL16" s="556">
        <f>ROUND(20.72*2.5*1.7,0)</f>
        <v>88</v>
      </c>
      <c r="EM16" s="676">
        <v>1.6</v>
      </c>
      <c r="EN16" s="556">
        <f>ROUND(20.72*2.5*1.6,0)</f>
        <v>83</v>
      </c>
      <c r="EO16" s="676">
        <v>1.5</v>
      </c>
      <c r="EP16" s="556">
        <f>ROUND(20.72*2.5*1.5,0)</f>
        <v>78</v>
      </c>
      <c r="EQ16" s="676">
        <v>1.4</v>
      </c>
      <c r="ER16" s="556">
        <f>ROUND(20.72*2.5*1.4,0)</f>
        <v>73</v>
      </c>
      <c r="ES16" s="676">
        <v>1.1000000000000001</v>
      </c>
      <c r="ET16" s="556">
        <f>ROUND(20.72*2.5*1.1,0)</f>
        <v>57</v>
      </c>
      <c r="EU16" s="676">
        <v>0.8</v>
      </c>
      <c r="EV16" s="556">
        <f>ROUND(20.72*2.5*0.8,0)</f>
        <v>41</v>
      </c>
      <c r="EW16" s="676">
        <v>0</v>
      </c>
      <c r="EX16" s="556">
        <f>ROUND(20.72*2.5*0,0)</f>
        <v>0</v>
      </c>
      <c r="EY16" s="676">
        <v>0</v>
      </c>
      <c r="EZ16" s="556">
        <f>ROUND(20.72*2.5*0,0)</f>
        <v>0</v>
      </c>
      <c r="FA16" s="676">
        <v>0</v>
      </c>
      <c r="FB16" s="556">
        <f>ROUND(20.72*2.5*0,0)</f>
        <v>0</v>
      </c>
      <c r="FC16" s="676">
        <v>0</v>
      </c>
      <c r="FD16" s="556">
        <f>ROUND(20.72*2.5*0,0)</f>
        <v>0</v>
      </c>
      <c r="FE16" s="676">
        <v>0</v>
      </c>
      <c r="FF16" s="556">
        <f>ROUND(20.72*2.5*0,0)</f>
        <v>0</v>
      </c>
      <c r="FG16" s="676">
        <v>0</v>
      </c>
      <c r="FH16" s="677">
        <f>ROUND(20.72*2.5*0,0)</f>
        <v>0</v>
      </c>
      <c r="FI16" s="560"/>
      <c r="FJ16" s="561"/>
      <c r="FK16" s="551" t="s">
        <v>253</v>
      </c>
      <c r="FL16" s="672"/>
      <c r="FM16" s="552">
        <v>20.72</v>
      </c>
      <c r="FN16" s="673">
        <v>2.5</v>
      </c>
      <c r="FO16" s="674"/>
      <c r="FP16" s="678">
        <v>9</v>
      </c>
      <c r="FQ16" s="679">
        <v>6</v>
      </c>
      <c r="FR16" s="556">
        <f>ROUND(20.72*2.5*6,0)</f>
        <v>311</v>
      </c>
      <c r="FS16" s="680">
        <v>9</v>
      </c>
      <c r="FT16" s="679">
        <v>6.1</v>
      </c>
      <c r="FU16" s="564">
        <f>ROUND(20.72*2.5*6.1,0)</f>
        <v>316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253</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2.1</v>
      </c>
      <c r="X17" s="584">
        <f>ROUND(8.96*2.5*2.1,0)</f>
        <v>47</v>
      </c>
      <c r="Y17" s="688">
        <v>2.6</v>
      </c>
      <c r="Z17" s="584">
        <f>ROUND(8.96*2.5*2.6,0)</f>
        <v>58</v>
      </c>
      <c r="AA17" s="688">
        <v>2.9</v>
      </c>
      <c r="AB17" s="584">
        <f>ROUND(8.96*2.5*2.9,0)</f>
        <v>65</v>
      </c>
      <c r="AC17" s="688">
        <v>3.1</v>
      </c>
      <c r="AD17" s="584">
        <f>ROUND(8.96*2.5*3.1,0)</f>
        <v>69</v>
      </c>
      <c r="AE17" s="688">
        <v>3.2</v>
      </c>
      <c r="AF17" s="584">
        <f>ROUND(8.96*2.5*3.2,0)</f>
        <v>72</v>
      </c>
      <c r="AG17" s="688">
        <v>3.2</v>
      </c>
      <c r="AH17" s="584">
        <f>ROUND(8.96*2.5*3.2,0)</f>
        <v>72</v>
      </c>
      <c r="AI17" s="688">
        <v>3</v>
      </c>
      <c r="AJ17" s="584">
        <f>ROUND(8.96*2.5*3,0)</f>
        <v>67</v>
      </c>
      <c r="AK17" s="688">
        <v>2.8</v>
      </c>
      <c r="AL17" s="584">
        <f>ROUND(8.96*2.5*2.8,0)</f>
        <v>63</v>
      </c>
      <c r="AM17" s="688">
        <v>2.4</v>
      </c>
      <c r="AN17" s="584">
        <f>ROUND(8.96*2.5*2.4,0)</f>
        <v>54</v>
      </c>
      <c r="AO17" s="688">
        <v>2.1</v>
      </c>
      <c r="AP17" s="584">
        <f>ROUND(8.96*2.5*2.1,0)</f>
        <v>47</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253</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2</v>
      </c>
      <c r="CA17" s="584">
        <f>ROUND(8.96*2.5*2,0)</f>
        <v>45</v>
      </c>
      <c r="CB17" s="688">
        <v>2.4</v>
      </c>
      <c r="CC17" s="584">
        <f>ROUND(8.96*2.5*2.4,0)</f>
        <v>54</v>
      </c>
      <c r="CD17" s="688">
        <v>2.8</v>
      </c>
      <c r="CE17" s="584">
        <f>ROUND(8.96*2.5*2.8,0)</f>
        <v>63</v>
      </c>
      <c r="CF17" s="688">
        <v>3</v>
      </c>
      <c r="CG17" s="584">
        <f>ROUND(8.96*2.5*3,0)</f>
        <v>67</v>
      </c>
      <c r="CH17" s="688">
        <v>3</v>
      </c>
      <c r="CI17" s="584">
        <f>ROUND(8.96*2.5*3,0)</f>
        <v>67</v>
      </c>
      <c r="CJ17" s="688">
        <v>3</v>
      </c>
      <c r="CK17" s="584">
        <f>ROUND(8.96*2.5*3,0)</f>
        <v>67</v>
      </c>
      <c r="CL17" s="688">
        <v>2.8</v>
      </c>
      <c r="CM17" s="584">
        <f>ROUND(8.96*2.5*2.8,0)</f>
        <v>63</v>
      </c>
      <c r="CN17" s="688">
        <v>2.6</v>
      </c>
      <c r="CO17" s="584">
        <f>ROUND(8.96*2.5*2.6,0)</f>
        <v>58</v>
      </c>
      <c r="CP17" s="688">
        <v>2.4</v>
      </c>
      <c r="CQ17" s="584">
        <f>ROUND(8.96*2.5*2.4,0)</f>
        <v>54</v>
      </c>
      <c r="CR17" s="688">
        <v>2</v>
      </c>
      <c r="CS17" s="584">
        <f>ROUND(8.96*2.5*2,0)</f>
        <v>45</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253</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1.1000000000000001</v>
      </c>
      <c r="ED17" s="584">
        <f>ROUND(8.96*2.5*1.1,0)</f>
        <v>25</v>
      </c>
      <c r="EE17" s="688">
        <v>1.6</v>
      </c>
      <c r="EF17" s="584">
        <f>ROUND(8.96*2.5*1.6,0)</f>
        <v>36</v>
      </c>
      <c r="EG17" s="688">
        <v>2</v>
      </c>
      <c r="EH17" s="584">
        <f>ROUND(8.96*2.5*2,0)</f>
        <v>45</v>
      </c>
      <c r="EI17" s="688">
        <v>2.2000000000000002</v>
      </c>
      <c r="EJ17" s="584">
        <f>ROUND(8.96*2.5*2.2,0)</f>
        <v>49</v>
      </c>
      <c r="EK17" s="688">
        <v>2.2999999999999998</v>
      </c>
      <c r="EL17" s="584">
        <f>ROUND(8.96*2.5*2.3,0)</f>
        <v>52</v>
      </c>
      <c r="EM17" s="688">
        <v>2.2000000000000002</v>
      </c>
      <c r="EN17" s="584">
        <f>ROUND(8.96*2.5*2.2,0)</f>
        <v>49</v>
      </c>
      <c r="EO17" s="688">
        <v>2</v>
      </c>
      <c r="EP17" s="584">
        <f>ROUND(8.96*2.5*2,0)</f>
        <v>45</v>
      </c>
      <c r="EQ17" s="688">
        <v>1.9</v>
      </c>
      <c r="ER17" s="584">
        <f>ROUND(8.96*2.5*1.9,0)</f>
        <v>43</v>
      </c>
      <c r="ES17" s="688">
        <v>1.5</v>
      </c>
      <c r="ET17" s="584">
        <f>ROUND(8.96*2.5*1.5,0)</f>
        <v>34</v>
      </c>
      <c r="EU17" s="688">
        <v>1.1000000000000001</v>
      </c>
      <c r="EV17" s="584">
        <f>ROUND(8.96*2.5*1.1,0)</f>
        <v>25</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253</v>
      </c>
      <c r="FL17" s="684"/>
      <c r="FM17" s="580">
        <v>8.9600000000000009</v>
      </c>
      <c r="FN17" s="685">
        <v>2.5</v>
      </c>
      <c r="FO17" s="686"/>
      <c r="FP17" s="689">
        <v>9</v>
      </c>
      <c r="FQ17" s="690">
        <v>8</v>
      </c>
      <c r="FR17" s="584">
        <f>ROUND(8.96*2.5*8,0)</f>
        <v>179</v>
      </c>
      <c r="FS17" s="691">
        <v>9</v>
      </c>
      <c r="FT17" s="690">
        <v>8.1999999999999993</v>
      </c>
      <c r="FU17" s="589">
        <f>ROUND(8.96*2.5*8.2,0)</f>
        <v>184</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241</v>
      </c>
      <c r="C18" s="684"/>
      <c r="D18" s="580">
        <v>13.2</v>
      </c>
      <c r="E18" s="685">
        <v>0.5</v>
      </c>
      <c r="F18" s="686"/>
      <c r="G18" s="687">
        <v>0</v>
      </c>
      <c r="H18" s="584">
        <f>ROUND(13.2*0.5*0,0)</f>
        <v>0</v>
      </c>
      <c r="I18" s="688">
        <v>0</v>
      </c>
      <c r="J18" s="584">
        <f>ROUND(13.2*0.5*0,0)</f>
        <v>0</v>
      </c>
      <c r="K18" s="688">
        <v>0</v>
      </c>
      <c r="L18" s="584">
        <f>ROUND(13.2*0.5*0,0)</f>
        <v>0</v>
      </c>
      <c r="M18" s="688">
        <v>0</v>
      </c>
      <c r="N18" s="584">
        <f>ROUND(13.2*0.5*0,0)</f>
        <v>0</v>
      </c>
      <c r="O18" s="688">
        <v>0</v>
      </c>
      <c r="P18" s="584">
        <f>ROUND(13.2*0.5*0,0)</f>
        <v>0</v>
      </c>
      <c r="Q18" s="688">
        <v>0</v>
      </c>
      <c r="R18" s="584">
        <f>ROUND(13.2*0.5*0,0)</f>
        <v>0</v>
      </c>
      <c r="S18" s="688">
        <v>0</v>
      </c>
      <c r="T18" s="584">
        <f>ROUND(13.2*0.5*0,0)</f>
        <v>0</v>
      </c>
      <c r="U18" s="688">
        <v>0</v>
      </c>
      <c r="V18" s="584">
        <f>ROUND(13.2*0.5*0,0)</f>
        <v>0</v>
      </c>
      <c r="W18" s="688">
        <v>5.3</v>
      </c>
      <c r="X18" s="584">
        <f>ROUND(13.2*0.5*5.3,0)</f>
        <v>35</v>
      </c>
      <c r="Y18" s="688">
        <v>5.2</v>
      </c>
      <c r="Z18" s="584">
        <f>ROUND(13.2*0.5*5.2,0)</f>
        <v>34</v>
      </c>
      <c r="AA18" s="688">
        <v>5.2</v>
      </c>
      <c r="AB18" s="584">
        <f>ROUND(13.2*0.5*5.2,0)</f>
        <v>34</v>
      </c>
      <c r="AC18" s="688">
        <v>5.3</v>
      </c>
      <c r="AD18" s="584">
        <f>ROUND(13.2*0.5*5.3,0)</f>
        <v>35</v>
      </c>
      <c r="AE18" s="688">
        <v>5.7</v>
      </c>
      <c r="AF18" s="584">
        <f>ROUND(13.2*0.5*5.7,0)</f>
        <v>38</v>
      </c>
      <c r="AG18" s="688">
        <v>6.3</v>
      </c>
      <c r="AH18" s="584">
        <f>ROUND(13.2*0.5*6.3,0)</f>
        <v>42</v>
      </c>
      <c r="AI18" s="688">
        <v>7</v>
      </c>
      <c r="AJ18" s="584">
        <f>ROUND(13.2*0.5*7,0)</f>
        <v>46</v>
      </c>
      <c r="AK18" s="688">
        <v>7.8</v>
      </c>
      <c r="AL18" s="584">
        <f>ROUND(13.2*0.5*7.8,0)</f>
        <v>51</v>
      </c>
      <c r="AM18" s="688">
        <v>8.6</v>
      </c>
      <c r="AN18" s="584">
        <f>ROUND(13.2*0.5*8.6,0)</f>
        <v>57</v>
      </c>
      <c r="AO18" s="688">
        <v>9.4</v>
      </c>
      <c r="AP18" s="584">
        <f>ROUND(13.2*0.5*9.4,0)</f>
        <v>62</v>
      </c>
      <c r="AQ18" s="688">
        <v>0</v>
      </c>
      <c r="AR18" s="584">
        <f>ROUND(13.2*0.5*0,0)</f>
        <v>0</v>
      </c>
      <c r="AS18" s="688">
        <v>0</v>
      </c>
      <c r="AT18" s="584">
        <f>ROUND(13.2*0.5*0,0)</f>
        <v>0</v>
      </c>
      <c r="AU18" s="688">
        <v>0</v>
      </c>
      <c r="AV18" s="584">
        <f>ROUND(13.2*0.5*0,0)</f>
        <v>0</v>
      </c>
      <c r="AW18" s="688">
        <v>0</v>
      </c>
      <c r="AX18" s="584">
        <f>ROUND(13.2*0.5*0,0)</f>
        <v>0</v>
      </c>
      <c r="AY18" s="688">
        <v>0</v>
      </c>
      <c r="AZ18" s="584">
        <f>ROUND(13.2*0.5*0,0)</f>
        <v>0</v>
      </c>
      <c r="BA18" s="688">
        <v>0</v>
      </c>
      <c r="BB18" s="586">
        <f>ROUND(13.2*0.5*0,0)</f>
        <v>0</v>
      </c>
      <c r="BC18" s="559"/>
      <c r="BD18" s="549"/>
      <c r="BE18" s="693" t="s">
        <v>241</v>
      </c>
      <c r="BF18" s="684"/>
      <c r="BG18" s="580">
        <v>13.2</v>
      </c>
      <c r="BH18" s="685">
        <v>0.5</v>
      </c>
      <c r="BI18" s="686"/>
      <c r="BJ18" s="687">
        <v>0</v>
      </c>
      <c r="BK18" s="584">
        <f>ROUND(13.2*0.5*0,0)</f>
        <v>0</v>
      </c>
      <c r="BL18" s="688">
        <v>0</v>
      </c>
      <c r="BM18" s="584">
        <f>ROUND(13.2*0.5*0,0)</f>
        <v>0</v>
      </c>
      <c r="BN18" s="688">
        <v>0</v>
      </c>
      <c r="BO18" s="584">
        <f>ROUND(13.2*0.5*0,0)</f>
        <v>0</v>
      </c>
      <c r="BP18" s="688">
        <v>0</v>
      </c>
      <c r="BQ18" s="584">
        <f>ROUND(13.2*0.5*0,0)</f>
        <v>0</v>
      </c>
      <c r="BR18" s="688">
        <v>0</v>
      </c>
      <c r="BS18" s="584">
        <f>ROUND(13.2*0.5*0,0)</f>
        <v>0</v>
      </c>
      <c r="BT18" s="688">
        <v>0</v>
      </c>
      <c r="BU18" s="584">
        <f>ROUND(13.2*0.5*0,0)</f>
        <v>0</v>
      </c>
      <c r="BV18" s="688">
        <v>0</v>
      </c>
      <c r="BW18" s="584">
        <f>ROUND(13.2*0.5*0,0)</f>
        <v>0</v>
      </c>
      <c r="BX18" s="688">
        <v>0</v>
      </c>
      <c r="BY18" s="584">
        <f>ROUND(13.2*0.5*0,0)</f>
        <v>0</v>
      </c>
      <c r="BZ18" s="688">
        <v>5.2</v>
      </c>
      <c r="CA18" s="584">
        <f>ROUND(13.2*0.5*5.2,0)</f>
        <v>34</v>
      </c>
      <c r="CB18" s="688">
        <v>5</v>
      </c>
      <c r="CC18" s="584">
        <f>ROUND(13.2*0.5*5,0)</f>
        <v>33</v>
      </c>
      <c r="CD18" s="688">
        <v>5</v>
      </c>
      <c r="CE18" s="584">
        <f>ROUND(13.2*0.5*5,0)</f>
        <v>33</v>
      </c>
      <c r="CF18" s="688">
        <v>5.0999999999999996</v>
      </c>
      <c r="CG18" s="584">
        <f>ROUND(13.2*0.5*5.1,0)</f>
        <v>34</v>
      </c>
      <c r="CH18" s="688">
        <v>5.4</v>
      </c>
      <c r="CI18" s="584">
        <f>ROUND(13.2*0.5*5.4,0)</f>
        <v>36</v>
      </c>
      <c r="CJ18" s="688">
        <v>6</v>
      </c>
      <c r="CK18" s="584">
        <f>ROUND(13.2*0.5*6,0)</f>
        <v>40</v>
      </c>
      <c r="CL18" s="688">
        <v>6.8</v>
      </c>
      <c r="CM18" s="584">
        <f>ROUND(13.2*0.5*6.8,0)</f>
        <v>45</v>
      </c>
      <c r="CN18" s="688">
        <v>7.8</v>
      </c>
      <c r="CO18" s="584">
        <f>ROUND(13.2*0.5*7.8,0)</f>
        <v>51</v>
      </c>
      <c r="CP18" s="688">
        <v>8.6999999999999993</v>
      </c>
      <c r="CQ18" s="584">
        <f>ROUND(13.2*0.5*8.7,0)</f>
        <v>57</v>
      </c>
      <c r="CR18" s="688">
        <v>9.6</v>
      </c>
      <c r="CS18" s="584">
        <f>ROUND(13.2*0.5*9.6,0)</f>
        <v>63</v>
      </c>
      <c r="CT18" s="688">
        <v>0</v>
      </c>
      <c r="CU18" s="584">
        <f>ROUND(13.2*0.5*0,0)</f>
        <v>0</v>
      </c>
      <c r="CV18" s="688">
        <v>0</v>
      </c>
      <c r="CW18" s="584">
        <f>ROUND(13.2*0.5*0,0)</f>
        <v>0</v>
      </c>
      <c r="CX18" s="688">
        <v>0</v>
      </c>
      <c r="CY18" s="584">
        <f>ROUND(13.2*0.5*0,0)</f>
        <v>0</v>
      </c>
      <c r="CZ18" s="688">
        <v>0</v>
      </c>
      <c r="DA18" s="584">
        <f>ROUND(13.2*0.5*0,0)</f>
        <v>0</v>
      </c>
      <c r="DB18" s="688">
        <v>0</v>
      </c>
      <c r="DC18" s="584">
        <f>ROUND(13.2*0.5*0,0)</f>
        <v>0</v>
      </c>
      <c r="DD18" s="688">
        <v>0</v>
      </c>
      <c r="DE18" s="586">
        <f>ROUND(13.2*0.5*0,0)</f>
        <v>0</v>
      </c>
      <c r="DF18" s="559"/>
      <c r="DG18" s="549"/>
      <c r="DH18" s="693" t="s">
        <v>241</v>
      </c>
      <c r="DI18" s="684"/>
      <c r="DJ18" s="580">
        <v>13.2</v>
      </c>
      <c r="DK18" s="685">
        <v>0.5</v>
      </c>
      <c r="DL18" s="686"/>
      <c r="DM18" s="687">
        <v>0</v>
      </c>
      <c r="DN18" s="584">
        <f>ROUND(13.2*0.5*0,0)</f>
        <v>0</v>
      </c>
      <c r="DO18" s="688">
        <v>0</v>
      </c>
      <c r="DP18" s="584">
        <f>ROUND(13.2*0.5*0,0)</f>
        <v>0</v>
      </c>
      <c r="DQ18" s="688">
        <v>0</v>
      </c>
      <c r="DR18" s="584">
        <f>ROUND(13.2*0.5*0,0)</f>
        <v>0</v>
      </c>
      <c r="DS18" s="688">
        <v>0</v>
      </c>
      <c r="DT18" s="584">
        <f>ROUND(13.2*0.5*0,0)</f>
        <v>0</v>
      </c>
      <c r="DU18" s="688">
        <v>0</v>
      </c>
      <c r="DV18" s="584">
        <f>ROUND(13.2*0.5*0,0)</f>
        <v>0</v>
      </c>
      <c r="DW18" s="688">
        <v>0</v>
      </c>
      <c r="DX18" s="584">
        <f>ROUND(13.2*0.5*0,0)</f>
        <v>0</v>
      </c>
      <c r="DY18" s="688">
        <v>0</v>
      </c>
      <c r="DZ18" s="584">
        <f>ROUND(13.2*0.5*0,0)</f>
        <v>0</v>
      </c>
      <c r="EA18" s="688">
        <v>0</v>
      </c>
      <c r="EB18" s="584">
        <f>ROUND(13.2*0.5*0,0)</f>
        <v>0</v>
      </c>
      <c r="EC18" s="688">
        <v>3.8</v>
      </c>
      <c r="ED18" s="584">
        <f>ROUND(13.2*0.5*3.8,0)</f>
        <v>25</v>
      </c>
      <c r="EE18" s="688">
        <v>3.5</v>
      </c>
      <c r="EF18" s="584">
        <f>ROUND(13.2*0.5*3.5,0)</f>
        <v>23</v>
      </c>
      <c r="EG18" s="688">
        <v>3.4</v>
      </c>
      <c r="EH18" s="584">
        <f>ROUND(13.2*0.5*3.4,0)</f>
        <v>22</v>
      </c>
      <c r="EI18" s="688">
        <v>3.6</v>
      </c>
      <c r="EJ18" s="584">
        <f>ROUND(13.2*0.5*3.6,0)</f>
        <v>24</v>
      </c>
      <c r="EK18" s="688">
        <v>4.0999999999999996</v>
      </c>
      <c r="EL18" s="584">
        <f>ROUND(13.2*0.5*4.1,0)</f>
        <v>27</v>
      </c>
      <c r="EM18" s="688">
        <v>4.9000000000000004</v>
      </c>
      <c r="EN18" s="584">
        <f>ROUND(13.2*0.5*4.9,0)</f>
        <v>32</v>
      </c>
      <c r="EO18" s="688">
        <v>6</v>
      </c>
      <c r="EP18" s="584">
        <f>ROUND(13.2*0.5*6,0)</f>
        <v>40</v>
      </c>
      <c r="EQ18" s="688">
        <v>7.3</v>
      </c>
      <c r="ER18" s="584">
        <f>ROUND(13.2*0.5*7.3,0)</f>
        <v>48</v>
      </c>
      <c r="ES18" s="688">
        <v>8.5</v>
      </c>
      <c r="ET18" s="584">
        <f>ROUND(13.2*0.5*8.5,0)</f>
        <v>56</v>
      </c>
      <c r="EU18" s="688">
        <v>9.6</v>
      </c>
      <c r="EV18" s="584">
        <f>ROUND(13.2*0.5*9.6,0)</f>
        <v>63</v>
      </c>
      <c r="EW18" s="688">
        <v>0</v>
      </c>
      <c r="EX18" s="584">
        <f>ROUND(13.2*0.5*0,0)</f>
        <v>0</v>
      </c>
      <c r="EY18" s="688">
        <v>0</v>
      </c>
      <c r="EZ18" s="584">
        <f>ROUND(13.2*0.5*0,0)</f>
        <v>0</v>
      </c>
      <c r="FA18" s="688">
        <v>0</v>
      </c>
      <c r="FB18" s="584">
        <f>ROUND(13.2*0.5*0,0)</f>
        <v>0</v>
      </c>
      <c r="FC18" s="688">
        <v>0</v>
      </c>
      <c r="FD18" s="584">
        <f>ROUND(13.2*0.5*0,0)</f>
        <v>0</v>
      </c>
      <c r="FE18" s="688">
        <v>0</v>
      </c>
      <c r="FF18" s="584">
        <f>ROUND(13.2*0.5*0,0)</f>
        <v>0</v>
      </c>
      <c r="FG18" s="688">
        <v>0</v>
      </c>
      <c r="FH18" s="586">
        <f>ROUND(13.2*0.5*0,0)</f>
        <v>0</v>
      </c>
      <c r="FI18" s="560"/>
      <c r="FJ18" s="561"/>
      <c r="FK18" s="693" t="s">
        <v>241</v>
      </c>
      <c r="FL18" s="684"/>
      <c r="FM18" s="580">
        <v>13.2</v>
      </c>
      <c r="FN18" s="685">
        <v>0.5</v>
      </c>
      <c r="FO18" s="686"/>
      <c r="FP18" s="689">
        <v>9</v>
      </c>
      <c r="FQ18" s="690">
        <v>20</v>
      </c>
      <c r="FR18" s="584">
        <f>ROUND(13.2*0.5*20,0)</f>
        <v>132</v>
      </c>
      <c r="FS18" s="691">
        <v>9</v>
      </c>
      <c r="FT18" s="690">
        <v>20.5</v>
      </c>
      <c r="FU18" s="589">
        <f>ROUND(13.2*0.5*20.5,0)</f>
        <v>135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264</v>
      </c>
      <c r="C19" s="684"/>
      <c r="D19" s="580">
        <v>13.2</v>
      </c>
      <c r="E19" s="685">
        <v>2.8</v>
      </c>
      <c r="F19" s="686"/>
      <c r="G19" s="687">
        <v>0</v>
      </c>
      <c r="H19" s="584">
        <f>ROUND(13.2*2.8*0,0)</f>
        <v>0</v>
      </c>
      <c r="I19" s="688">
        <v>0</v>
      </c>
      <c r="J19" s="584">
        <f>ROUND(13.2*2.8*0,0)</f>
        <v>0</v>
      </c>
      <c r="K19" s="688">
        <v>0</v>
      </c>
      <c r="L19" s="584">
        <f>ROUND(13.2*2.8*0,0)</f>
        <v>0</v>
      </c>
      <c r="M19" s="688">
        <v>0</v>
      </c>
      <c r="N19" s="584">
        <f>ROUND(13.2*2.8*0,0)</f>
        <v>0</v>
      </c>
      <c r="O19" s="688">
        <v>0</v>
      </c>
      <c r="P19" s="584">
        <f>ROUND(13.2*2.8*0,0)</f>
        <v>0</v>
      </c>
      <c r="Q19" s="688">
        <v>0</v>
      </c>
      <c r="R19" s="584">
        <f>ROUND(13.2*2.8*0,0)</f>
        <v>0</v>
      </c>
      <c r="S19" s="688">
        <v>0</v>
      </c>
      <c r="T19" s="584">
        <f>ROUND(13.2*2.8*0,0)</f>
        <v>0</v>
      </c>
      <c r="U19" s="688">
        <v>0</v>
      </c>
      <c r="V19" s="584">
        <f>ROUND(13.2*2.8*0,0)</f>
        <v>0</v>
      </c>
      <c r="W19" s="688">
        <v>1.6</v>
      </c>
      <c r="X19" s="584">
        <f>ROUND(13.2*2.8*1.6,0)</f>
        <v>59</v>
      </c>
      <c r="Y19" s="688">
        <v>2</v>
      </c>
      <c r="Z19" s="584">
        <f>ROUND(13.2*2.8*2,0)</f>
        <v>74</v>
      </c>
      <c r="AA19" s="688">
        <v>2.2000000000000002</v>
      </c>
      <c r="AB19" s="584">
        <f>ROUND(13.2*2.8*2.2,0)</f>
        <v>81</v>
      </c>
      <c r="AC19" s="688">
        <v>2.2999999999999998</v>
      </c>
      <c r="AD19" s="584">
        <f>ROUND(13.2*2.8*2.3,0)</f>
        <v>85</v>
      </c>
      <c r="AE19" s="688">
        <v>2.4</v>
      </c>
      <c r="AF19" s="584">
        <f>ROUND(13.2*2.8*2.4,0)</f>
        <v>89</v>
      </c>
      <c r="AG19" s="688">
        <v>2.4</v>
      </c>
      <c r="AH19" s="584">
        <f>ROUND(13.2*2.8*2.4,0)</f>
        <v>89</v>
      </c>
      <c r="AI19" s="688">
        <v>2.2000000000000002</v>
      </c>
      <c r="AJ19" s="584">
        <f>ROUND(13.2*2.8*2.2,0)</f>
        <v>81</v>
      </c>
      <c r="AK19" s="688">
        <v>2.1</v>
      </c>
      <c r="AL19" s="584">
        <f>ROUND(13.2*2.8*2.1,0)</f>
        <v>78</v>
      </c>
      <c r="AM19" s="688">
        <v>1.8</v>
      </c>
      <c r="AN19" s="584">
        <f>ROUND(13.2*2.8*1.8,0)</f>
        <v>67</v>
      </c>
      <c r="AO19" s="688">
        <v>1.6</v>
      </c>
      <c r="AP19" s="584">
        <f>ROUND(13.2*2.8*1.6,0)</f>
        <v>59</v>
      </c>
      <c r="AQ19" s="688">
        <v>0</v>
      </c>
      <c r="AR19" s="584">
        <f>ROUND(13.2*2.8*0,0)</f>
        <v>0</v>
      </c>
      <c r="AS19" s="688">
        <v>0</v>
      </c>
      <c r="AT19" s="584">
        <f>ROUND(13.2*2.8*0,0)</f>
        <v>0</v>
      </c>
      <c r="AU19" s="688">
        <v>0</v>
      </c>
      <c r="AV19" s="584">
        <f>ROUND(13.2*2.8*0,0)</f>
        <v>0</v>
      </c>
      <c r="AW19" s="688">
        <v>0</v>
      </c>
      <c r="AX19" s="584">
        <f>ROUND(13.2*2.8*0,0)</f>
        <v>0</v>
      </c>
      <c r="AY19" s="688">
        <v>0</v>
      </c>
      <c r="AZ19" s="584">
        <f>ROUND(13.2*2.8*0,0)</f>
        <v>0</v>
      </c>
      <c r="BA19" s="688">
        <v>0</v>
      </c>
      <c r="BB19" s="586">
        <f>ROUND(13.2*2.8*0,0)</f>
        <v>0</v>
      </c>
      <c r="BC19" s="559"/>
      <c r="BD19" s="549"/>
      <c r="BE19" s="693" t="s">
        <v>264</v>
      </c>
      <c r="BF19" s="684"/>
      <c r="BG19" s="580">
        <v>13.2</v>
      </c>
      <c r="BH19" s="685">
        <v>2.8</v>
      </c>
      <c r="BI19" s="686"/>
      <c r="BJ19" s="687">
        <v>0</v>
      </c>
      <c r="BK19" s="584">
        <f>ROUND(13.2*2.8*0,0)</f>
        <v>0</v>
      </c>
      <c r="BL19" s="688">
        <v>0</v>
      </c>
      <c r="BM19" s="584">
        <f>ROUND(13.2*2.8*0,0)</f>
        <v>0</v>
      </c>
      <c r="BN19" s="688">
        <v>0</v>
      </c>
      <c r="BO19" s="584">
        <f>ROUND(13.2*2.8*0,0)</f>
        <v>0</v>
      </c>
      <c r="BP19" s="688">
        <v>0</v>
      </c>
      <c r="BQ19" s="584">
        <f>ROUND(13.2*2.8*0,0)</f>
        <v>0</v>
      </c>
      <c r="BR19" s="688">
        <v>0</v>
      </c>
      <c r="BS19" s="584">
        <f>ROUND(13.2*2.8*0,0)</f>
        <v>0</v>
      </c>
      <c r="BT19" s="688">
        <v>0</v>
      </c>
      <c r="BU19" s="584">
        <f>ROUND(13.2*2.8*0,0)</f>
        <v>0</v>
      </c>
      <c r="BV19" s="688">
        <v>0</v>
      </c>
      <c r="BW19" s="584">
        <f>ROUND(13.2*2.8*0,0)</f>
        <v>0</v>
      </c>
      <c r="BX19" s="688">
        <v>0</v>
      </c>
      <c r="BY19" s="584">
        <f>ROUND(13.2*2.8*0,0)</f>
        <v>0</v>
      </c>
      <c r="BZ19" s="688">
        <v>1.5</v>
      </c>
      <c r="CA19" s="584">
        <f>ROUND(13.2*2.8*1.5,0)</f>
        <v>55</v>
      </c>
      <c r="CB19" s="688">
        <v>1.8</v>
      </c>
      <c r="CC19" s="584">
        <f>ROUND(13.2*2.8*1.8,0)</f>
        <v>67</v>
      </c>
      <c r="CD19" s="688">
        <v>2.1</v>
      </c>
      <c r="CE19" s="584">
        <f>ROUND(13.2*2.8*2.1,0)</f>
        <v>78</v>
      </c>
      <c r="CF19" s="688">
        <v>2.2000000000000002</v>
      </c>
      <c r="CG19" s="584">
        <f>ROUND(13.2*2.8*2.2,0)</f>
        <v>81</v>
      </c>
      <c r="CH19" s="688">
        <v>2.2999999999999998</v>
      </c>
      <c r="CI19" s="584">
        <f>ROUND(13.2*2.8*2.3,0)</f>
        <v>85</v>
      </c>
      <c r="CJ19" s="688">
        <v>2.2000000000000002</v>
      </c>
      <c r="CK19" s="584">
        <f>ROUND(13.2*2.8*2.2,0)</f>
        <v>81</v>
      </c>
      <c r="CL19" s="688">
        <v>2.1</v>
      </c>
      <c r="CM19" s="584">
        <f>ROUND(13.2*2.8*2.1,0)</f>
        <v>78</v>
      </c>
      <c r="CN19" s="688">
        <v>2</v>
      </c>
      <c r="CO19" s="584">
        <f>ROUND(13.2*2.8*2,0)</f>
        <v>74</v>
      </c>
      <c r="CP19" s="688">
        <v>1.8</v>
      </c>
      <c r="CQ19" s="584">
        <f>ROUND(13.2*2.8*1.8,0)</f>
        <v>67</v>
      </c>
      <c r="CR19" s="688">
        <v>1.5</v>
      </c>
      <c r="CS19" s="584">
        <f>ROUND(13.2*2.8*1.5,0)</f>
        <v>55</v>
      </c>
      <c r="CT19" s="688">
        <v>0</v>
      </c>
      <c r="CU19" s="584">
        <f>ROUND(13.2*2.8*0,0)</f>
        <v>0</v>
      </c>
      <c r="CV19" s="688">
        <v>0</v>
      </c>
      <c r="CW19" s="584">
        <f>ROUND(13.2*2.8*0,0)</f>
        <v>0</v>
      </c>
      <c r="CX19" s="688">
        <v>0</v>
      </c>
      <c r="CY19" s="584">
        <f>ROUND(13.2*2.8*0,0)</f>
        <v>0</v>
      </c>
      <c r="CZ19" s="688">
        <v>0</v>
      </c>
      <c r="DA19" s="584">
        <f>ROUND(13.2*2.8*0,0)</f>
        <v>0</v>
      </c>
      <c r="DB19" s="688">
        <v>0</v>
      </c>
      <c r="DC19" s="584">
        <f>ROUND(13.2*2.8*0,0)</f>
        <v>0</v>
      </c>
      <c r="DD19" s="688">
        <v>0</v>
      </c>
      <c r="DE19" s="586">
        <f>ROUND(13.2*2.8*0,0)</f>
        <v>0</v>
      </c>
      <c r="DF19" s="559"/>
      <c r="DG19" s="549"/>
      <c r="DH19" s="693" t="s">
        <v>264</v>
      </c>
      <c r="DI19" s="684"/>
      <c r="DJ19" s="580">
        <v>13.2</v>
      </c>
      <c r="DK19" s="685">
        <v>2.8</v>
      </c>
      <c r="DL19" s="686"/>
      <c r="DM19" s="687">
        <v>0</v>
      </c>
      <c r="DN19" s="584">
        <f>ROUND(13.2*2.8*0,0)</f>
        <v>0</v>
      </c>
      <c r="DO19" s="688">
        <v>0</v>
      </c>
      <c r="DP19" s="584">
        <f>ROUND(13.2*2.8*0,0)</f>
        <v>0</v>
      </c>
      <c r="DQ19" s="688">
        <v>0</v>
      </c>
      <c r="DR19" s="584">
        <f>ROUND(13.2*2.8*0,0)</f>
        <v>0</v>
      </c>
      <c r="DS19" s="688">
        <v>0</v>
      </c>
      <c r="DT19" s="584">
        <f>ROUND(13.2*2.8*0,0)</f>
        <v>0</v>
      </c>
      <c r="DU19" s="688">
        <v>0</v>
      </c>
      <c r="DV19" s="584">
        <f>ROUND(13.2*2.8*0,0)</f>
        <v>0</v>
      </c>
      <c r="DW19" s="688">
        <v>0</v>
      </c>
      <c r="DX19" s="584">
        <f>ROUND(13.2*2.8*0,0)</f>
        <v>0</v>
      </c>
      <c r="DY19" s="688">
        <v>0</v>
      </c>
      <c r="DZ19" s="584">
        <f>ROUND(13.2*2.8*0,0)</f>
        <v>0</v>
      </c>
      <c r="EA19" s="688">
        <v>0</v>
      </c>
      <c r="EB19" s="584">
        <f>ROUND(13.2*2.8*0,0)</f>
        <v>0</v>
      </c>
      <c r="EC19" s="688">
        <v>0.8</v>
      </c>
      <c r="ED19" s="584">
        <f>ROUND(13.2*2.8*0.8,0)</f>
        <v>30</v>
      </c>
      <c r="EE19" s="688">
        <v>1.2</v>
      </c>
      <c r="EF19" s="584">
        <f>ROUND(13.2*2.8*1.2,0)</f>
        <v>44</v>
      </c>
      <c r="EG19" s="688">
        <v>1.5</v>
      </c>
      <c r="EH19" s="584">
        <f>ROUND(13.2*2.8*1.5,0)</f>
        <v>55</v>
      </c>
      <c r="EI19" s="688">
        <v>1.7</v>
      </c>
      <c r="EJ19" s="584">
        <f>ROUND(13.2*2.8*1.7,0)</f>
        <v>63</v>
      </c>
      <c r="EK19" s="688">
        <v>1.7</v>
      </c>
      <c r="EL19" s="584">
        <f>ROUND(13.2*2.8*1.7,0)</f>
        <v>63</v>
      </c>
      <c r="EM19" s="688">
        <v>1.6</v>
      </c>
      <c r="EN19" s="584">
        <f>ROUND(13.2*2.8*1.6,0)</f>
        <v>59</v>
      </c>
      <c r="EO19" s="688">
        <v>1.5</v>
      </c>
      <c r="EP19" s="584">
        <f>ROUND(13.2*2.8*1.5,0)</f>
        <v>55</v>
      </c>
      <c r="EQ19" s="688">
        <v>1.4</v>
      </c>
      <c r="ER19" s="584">
        <f>ROUND(13.2*2.8*1.4,0)</f>
        <v>52</v>
      </c>
      <c r="ES19" s="688">
        <v>1.1000000000000001</v>
      </c>
      <c r="ET19" s="584">
        <f>ROUND(13.2*2.8*1.1,0)</f>
        <v>41</v>
      </c>
      <c r="EU19" s="688">
        <v>0.8</v>
      </c>
      <c r="EV19" s="584">
        <f>ROUND(13.2*2.8*0.8,0)</f>
        <v>30</v>
      </c>
      <c r="EW19" s="688">
        <v>0</v>
      </c>
      <c r="EX19" s="584">
        <f>ROUND(13.2*2.8*0,0)</f>
        <v>0</v>
      </c>
      <c r="EY19" s="688">
        <v>0</v>
      </c>
      <c r="EZ19" s="584">
        <f>ROUND(13.2*2.8*0,0)</f>
        <v>0</v>
      </c>
      <c r="FA19" s="688">
        <v>0</v>
      </c>
      <c r="FB19" s="584">
        <f>ROUND(13.2*2.8*0,0)</f>
        <v>0</v>
      </c>
      <c r="FC19" s="688">
        <v>0</v>
      </c>
      <c r="FD19" s="584">
        <f>ROUND(13.2*2.8*0,0)</f>
        <v>0</v>
      </c>
      <c r="FE19" s="688">
        <v>0</v>
      </c>
      <c r="FF19" s="584">
        <f>ROUND(13.2*2.8*0,0)</f>
        <v>0</v>
      </c>
      <c r="FG19" s="688">
        <v>0</v>
      </c>
      <c r="FH19" s="586">
        <f>ROUND(13.2*2.8*0,0)</f>
        <v>0</v>
      </c>
      <c r="FI19" s="560"/>
      <c r="FJ19" s="561"/>
      <c r="FK19" s="693" t="s">
        <v>264</v>
      </c>
      <c r="FL19" s="684"/>
      <c r="FM19" s="580">
        <v>13.2</v>
      </c>
      <c r="FN19" s="685">
        <v>2.8</v>
      </c>
      <c r="FO19" s="686"/>
      <c r="FP19" s="689">
        <v>9</v>
      </c>
      <c r="FQ19" s="690">
        <v>6</v>
      </c>
      <c r="FR19" s="584">
        <f>ROUND(13.2*2.8*6,0)</f>
        <v>222</v>
      </c>
      <c r="FS19" s="691">
        <v>9</v>
      </c>
      <c r="FT19" s="690">
        <v>6.1</v>
      </c>
      <c r="FU19" s="589">
        <f>ROUND(13.2*2.8*6.1,0)</f>
        <v>225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c r="C20" s="684"/>
      <c r="D20" s="580"/>
      <c r="E20" s="685"/>
      <c r="F20" s="686"/>
      <c r="G20" s="687"/>
      <c r="H20" s="584"/>
      <c r="I20" s="688"/>
      <c r="J20" s="584"/>
      <c r="K20" s="688"/>
      <c r="L20" s="584"/>
      <c r="M20" s="688"/>
      <c r="N20" s="584"/>
      <c r="O20" s="688"/>
      <c r="P20" s="584"/>
      <c r="Q20" s="688"/>
      <c r="R20" s="584"/>
      <c r="S20" s="688"/>
      <c r="T20" s="584"/>
      <c r="U20" s="688"/>
      <c r="V20" s="584"/>
      <c r="W20" s="688"/>
      <c r="X20" s="584"/>
      <c r="Y20" s="688"/>
      <c r="Z20" s="584"/>
      <c r="AA20" s="688"/>
      <c r="AB20" s="584"/>
      <c r="AC20" s="688"/>
      <c r="AD20" s="584"/>
      <c r="AE20" s="688"/>
      <c r="AF20" s="584"/>
      <c r="AG20" s="688"/>
      <c r="AH20" s="584"/>
      <c r="AI20" s="688"/>
      <c r="AJ20" s="584"/>
      <c r="AK20" s="688"/>
      <c r="AL20" s="584"/>
      <c r="AM20" s="688"/>
      <c r="AN20" s="584"/>
      <c r="AO20" s="688"/>
      <c r="AP20" s="584"/>
      <c r="AQ20" s="688"/>
      <c r="AR20" s="584"/>
      <c r="AS20" s="688"/>
      <c r="AT20" s="584"/>
      <c r="AU20" s="688"/>
      <c r="AV20" s="584"/>
      <c r="AW20" s="688"/>
      <c r="AX20" s="584"/>
      <c r="AY20" s="688"/>
      <c r="AZ20" s="584"/>
      <c r="BA20" s="688"/>
      <c r="BB20" s="586"/>
      <c r="BC20" s="559"/>
      <c r="BD20" s="549"/>
      <c r="BE20" s="693"/>
      <c r="BF20" s="684"/>
      <c r="BG20" s="580"/>
      <c r="BH20" s="685"/>
      <c r="BI20" s="686"/>
      <c r="BJ20" s="687"/>
      <c r="BK20" s="584"/>
      <c r="BL20" s="688"/>
      <c r="BM20" s="584"/>
      <c r="BN20" s="688"/>
      <c r="BO20" s="584"/>
      <c r="BP20" s="688"/>
      <c r="BQ20" s="584"/>
      <c r="BR20" s="688"/>
      <c r="BS20" s="584"/>
      <c r="BT20" s="688"/>
      <c r="BU20" s="584"/>
      <c r="BV20" s="688"/>
      <c r="BW20" s="584"/>
      <c r="BX20" s="688"/>
      <c r="BY20" s="584"/>
      <c r="BZ20" s="688"/>
      <c r="CA20" s="584"/>
      <c r="CB20" s="688"/>
      <c r="CC20" s="584"/>
      <c r="CD20" s="688"/>
      <c r="CE20" s="584"/>
      <c r="CF20" s="688"/>
      <c r="CG20" s="584"/>
      <c r="CH20" s="688"/>
      <c r="CI20" s="584"/>
      <c r="CJ20" s="688"/>
      <c r="CK20" s="584"/>
      <c r="CL20" s="688"/>
      <c r="CM20" s="584"/>
      <c r="CN20" s="688"/>
      <c r="CO20" s="584"/>
      <c r="CP20" s="688"/>
      <c r="CQ20" s="584"/>
      <c r="CR20" s="688"/>
      <c r="CS20" s="584"/>
      <c r="CT20" s="688"/>
      <c r="CU20" s="584"/>
      <c r="CV20" s="688"/>
      <c r="CW20" s="584"/>
      <c r="CX20" s="688"/>
      <c r="CY20" s="584"/>
      <c r="CZ20" s="688"/>
      <c r="DA20" s="584"/>
      <c r="DB20" s="688"/>
      <c r="DC20" s="584"/>
      <c r="DD20" s="688"/>
      <c r="DE20" s="586"/>
      <c r="DF20" s="559"/>
      <c r="DG20" s="549"/>
      <c r="DH20" s="693"/>
      <c r="DI20" s="684"/>
      <c r="DJ20" s="580"/>
      <c r="DK20" s="685"/>
      <c r="DL20" s="686"/>
      <c r="DM20" s="687"/>
      <c r="DN20" s="584"/>
      <c r="DO20" s="688"/>
      <c r="DP20" s="584"/>
      <c r="DQ20" s="688"/>
      <c r="DR20" s="584"/>
      <c r="DS20" s="688"/>
      <c r="DT20" s="584"/>
      <c r="DU20" s="688"/>
      <c r="DV20" s="584"/>
      <c r="DW20" s="688"/>
      <c r="DX20" s="584"/>
      <c r="DY20" s="688"/>
      <c r="DZ20" s="584"/>
      <c r="EA20" s="688"/>
      <c r="EB20" s="584"/>
      <c r="EC20" s="688"/>
      <c r="ED20" s="584"/>
      <c r="EE20" s="688"/>
      <c r="EF20" s="584"/>
      <c r="EG20" s="688"/>
      <c r="EH20" s="584"/>
      <c r="EI20" s="688"/>
      <c r="EJ20" s="584"/>
      <c r="EK20" s="688"/>
      <c r="EL20" s="584"/>
      <c r="EM20" s="688"/>
      <c r="EN20" s="584"/>
      <c r="EO20" s="688"/>
      <c r="EP20" s="584"/>
      <c r="EQ20" s="688"/>
      <c r="ER20" s="584"/>
      <c r="ES20" s="688"/>
      <c r="ET20" s="584"/>
      <c r="EU20" s="688"/>
      <c r="EV20" s="584"/>
      <c r="EW20" s="688"/>
      <c r="EX20" s="584"/>
      <c r="EY20" s="688"/>
      <c r="EZ20" s="584"/>
      <c r="FA20" s="688"/>
      <c r="FB20" s="584"/>
      <c r="FC20" s="688"/>
      <c r="FD20" s="584"/>
      <c r="FE20" s="688"/>
      <c r="FF20" s="584"/>
      <c r="FG20" s="688"/>
      <c r="FH20" s="586"/>
      <c r="FI20" s="560"/>
      <c r="FJ20" s="561"/>
      <c r="FK20" s="693"/>
      <c r="FL20" s="684"/>
      <c r="FM20" s="580"/>
      <c r="FN20" s="685"/>
      <c r="FO20" s="686"/>
      <c r="FP20" s="689"/>
      <c r="FQ20" s="690"/>
      <c r="FR20" s="584"/>
      <c r="FS20" s="691"/>
      <c r="FT20" s="690"/>
      <c r="FU20" s="589"/>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455</v>
      </c>
      <c r="GL21" s="695"/>
      <c r="GM21" s="696"/>
      <c r="GN21" s="635">
        <v>0</v>
      </c>
      <c r="GO21" s="697"/>
      <c r="GP21" s="698"/>
      <c r="GQ21" s="630">
        <v>0</v>
      </c>
      <c r="GR21" s="631">
        <v>0</v>
      </c>
      <c r="GS21" s="575"/>
      <c r="GT21" s="670"/>
      <c r="GU21" s="694" t="s">
        <v>455</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456</v>
      </c>
      <c r="GL22" s="705"/>
      <c r="GM22" s="705"/>
      <c r="GN22" s="706"/>
      <c r="GO22" s="630">
        <v>0</v>
      </c>
      <c r="GP22" s="630">
        <v>1</v>
      </c>
      <c r="GQ22" s="707"/>
      <c r="GR22" s="708"/>
      <c r="GS22" s="575"/>
      <c r="GT22" s="670"/>
      <c r="GU22" s="704" t="s">
        <v>456</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457</v>
      </c>
      <c r="GL23" s="606"/>
      <c r="GM23" s="711"/>
      <c r="GN23" s="712">
        <v>13.2</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536</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224</v>
      </c>
      <c r="Y26" s="728"/>
      <c r="Z26" s="642">
        <f>SUM(Z16:Z25)</f>
        <v>270</v>
      </c>
      <c r="AA26" s="728"/>
      <c r="AB26" s="642">
        <f>SUM(AB16:AB25)</f>
        <v>294</v>
      </c>
      <c r="AC26" s="728"/>
      <c r="AD26" s="642">
        <f>SUM(AD16:AD25)</f>
        <v>308</v>
      </c>
      <c r="AE26" s="728"/>
      <c r="AF26" s="642">
        <f>SUM(AF16:AF25)</f>
        <v>323</v>
      </c>
      <c r="AG26" s="728"/>
      <c r="AH26" s="642">
        <f>SUM(AH16:AH25)</f>
        <v>327</v>
      </c>
      <c r="AI26" s="728"/>
      <c r="AJ26" s="642">
        <f>SUM(AJ16:AJ25)</f>
        <v>308</v>
      </c>
      <c r="AK26" s="728"/>
      <c r="AL26" s="642">
        <f>SUM(AL16:AL25)</f>
        <v>301</v>
      </c>
      <c r="AM26" s="728"/>
      <c r="AN26" s="642">
        <f>SUM(AN16:AN25)</f>
        <v>271</v>
      </c>
      <c r="AO26" s="728"/>
      <c r="AP26" s="642">
        <f>SUM(AP16:AP25)</f>
        <v>251</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536</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212</v>
      </c>
      <c r="CB26" s="728"/>
      <c r="CC26" s="642">
        <f>SUM(CC16:CC25)</f>
        <v>247</v>
      </c>
      <c r="CD26" s="728"/>
      <c r="CE26" s="642">
        <f>SUM(CE16:CE25)</f>
        <v>283</v>
      </c>
      <c r="CF26" s="728"/>
      <c r="CG26" s="642">
        <f>SUM(CG16:CG25)</f>
        <v>296</v>
      </c>
      <c r="CH26" s="728"/>
      <c r="CI26" s="642">
        <f>SUM(CI16:CI25)</f>
        <v>307</v>
      </c>
      <c r="CJ26" s="728"/>
      <c r="CK26" s="642">
        <f>SUM(CK16:CK25)</f>
        <v>302</v>
      </c>
      <c r="CL26" s="728"/>
      <c r="CM26" s="642">
        <f>SUM(CM16:CM25)</f>
        <v>295</v>
      </c>
      <c r="CN26" s="728"/>
      <c r="CO26" s="642">
        <f>SUM(CO16:CO25)</f>
        <v>287</v>
      </c>
      <c r="CP26" s="728"/>
      <c r="CQ26" s="642">
        <f>SUM(CQ16:CQ25)</f>
        <v>271</v>
      </c>
      <c r="CR26" s="728"/>
      <c r="CS26" s="642">
        <f>SUM(CS16:CS25)</f>
        <v>241</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536</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121</v>
      </c>
      <c r="EE26" s="728"/>
      <c r="EF26" s="642">
        <f>SUM(EF16:EF25)</f>
        <v>165</v>
      </c>
      <c r="EG26" s="728"/>
      <c r="EH26" s="642">
        <f>SUM(EH16:EH25)</f>
        <v>200</v>
      </c>
      <c r="EI26" s="728"/>
      <c r="EJ26" s="642">
        <f>SUM(EJ16:EJ25)</f>
        <v>224</v>
      </c>
      <c r="EK26" s="728"/>
      <c r="EL26" s="642">
        <f>SUM(EL16:EL25)</f>
        <v>230</v>
      </c>
      <c r="EM26" s="728"/>
      <c r="EN26" s="642">
        <f>SUM(EN16:EN25)</f>
        <v>223</v>
      </c>
      <c r="EO26" s="728"/>
      <c r="EP26" s="642">
        <f>SUM(EP16:EP25)</f>
        <v>218</v>
      </c>
      <c r="EQ26" s="728"/>
      <c r="ER26" s="642">
        <f>SUM(ER16:ER25)</f>
        <v>216</v>
      </c>
      <c r="ES26" s="728"/>
      <c r="ET26" s="642">
        <f>SUM(ET16:ET25)</f>
        <v>188</v>
      </c>
      <c r="EU26" s="728"/>
      <c r="EV26" s="642">
        <f>SUM(EV16:EV25)</f>
        <v>159</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536</v>
      </c>
      <c r="FN26" s="639"/>
      <c r="FO26" s="639"/>
      <c r="FP26" s="647"/>
      <c r="FQ26" s="648"/>
      <c r="FR26" s="642">
        <f>SUM(FR16:FR25)</f>
        <v>844</v>
      </c>
      <c r="FS26" s="729"/>
      <c r="FT26" s="648"/>
      <c r="FU26" s="650">
        <f>SUM(FU16:FU25)</f>
        <v>860</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v>
      </c>
      <c r="GZ26" s="577"/>
      <c r="HA26" s="527"/>
      <c r="HB26" s="527"/>
      <c r="HC26" s="527"/>
      <c r="HD26" s="645"/>
      <c r="HE26" s="416"/>
      <c r="HF26" s="416"/>
      <c r="HG26" s="577"/>
      <c r="HH26" s="645"/>
      <c r="HI26" s="416"/>
      <c r="HJ26" s="416"/>
    </row>
    <row r="27" spans="1:218" ht="20.100000000000001" customHeight="1">
      <c r="A27" s="730" t="s">
        <v>391</v>
      </c>
      <c r="B27" s="731"/>
      <c r="C27" s="732"/>
      <c r="D27" s="660"/>
      <c r="E27" s="732"/>
      <c r="F27" s="732"/>
      <c r="G27" s="733" t="s">
        <v>389</v>
      </c>
      <c r="H27" s="660" t="s">
        <v>390</v>
      </c>
      <c r="I27" s="734" t="s">
        <v>389</v>
      </c>
      <c r="J27" s="660" t="s">
        <v>390</v>
      </c>
      <c r="K27" s="735" t="s">
        <v>389</v>
      </c>
      <c r="L27" s="660" t="s">
        <v>390</v>
      </c>
      <c r="M27" s="735" t="s">
        <v>389</v>
      </c>
      <c r="N27" s="660" t="s">
        <v>390</v>
      </c>
      <c r="O27" s="735" t="s">
        <v>389</v>
      </c>
      <c r="P27" s="660" t="s">
        <v>390</v>
      </c>
      <c r="Q27" s="735" t="s">
        <v>389</v>
      </c>
      <c r="R27" s="660" t="s">
        <v>390</v>
      </c>
      <c r="S27" s="735" t="s">
        <v>389</v>
      </c>
      <c r="T27" s="660" t="s">
        <v>390</v>
      </c>
      <c r="U27" s="735" t="s">
        <v>389</v>
      </c>
      <c r="V27" s="660" t="s">
        <v>390</v>
      </c>
      <c r="W27" s="735" t="s">
        <v>389</v>
      </c>
      <c r="X27" s="660" t="s">
        <v>390</v>
      </c>
      <c r="Y27" s="735" t="s">
        <v>389</v>
      </c>
      <c r="Z27" s="660" t="s">
        <v>390</v>
      </c>
      <c r="AA27" s="735" t="s">
        <v>389</v>
      </c>
      <c r="AB27" s="660" t="s">
        <v>390</v>
      </c>
      <c r="AC27" s="735" t="s">
        <v>389</v>
      </c>
      <c r="AD27" s="660" t="s">
        <v>390</v>
      </c>
      <c r="AE27" s="735" t="s">
        <v>389</v>
      </c>
      <c r="AF27" s="660" t="s">
        <v>390</v>
      </c>
      <c r="AG27" s="735" t="s">
        <v>389</v>
      </c>
      <c r="AH27" s="660" t="s">
        <v>390</v>
      </c>
      <c r="AI27" s="735" t="s">
        <v>389</v>
      </c>
      <c r="AJ27" s="660" t="s">
        <v>390</v>
      </c>
      <c r="AK27" s="735" t="s">
        <v>389</v>
      </c>
      <c r="AL27" s="660" t="s">
        <v>390</v>
      </c>
      <c r="AM27" s="735" t="s">
        <v>389</v>
      </c>
      <c r="AN27" s="660" t="s">
        <v>390</v>
      </c>
      <c r="AO27" s="735" t="s">
        <v>389</v>
      </c>
      <c r="AP27" s="660" t="s">
        <v>390</v>
      </c>
      <c r="AQ27" s="735" t="s">
        <v>389</v>
      </c>
      <c r="AR27" s="660" t="s">
        <v>390</v>
      </c>
      <c r="AS27" s="735" t="s">
        <v>389</v>
      </c>
      <c r="AT27" s="660" t="s">
        <v>390</v>
      </c>
      <c r="AU27" s="735" t="s">
        <v>389</v>
      </c>
      <c r="AV27" s="660" t="s">
        <v>390</v>
      </c>
      <c r="AW27" s="735" t="s">
        <v>389</v>
      </c>
      <c r="AX27" s="660" t="s">
        <v>390</v>
      </c>
      <c r="AY27" s="735" t="s">
        <v>389</v>
      </c>
      <c r="AZ27" s="660" t="s">
        <v>390</v>
      </c>
      <c r="BA27" s="735" t="s">
        <v>389</v>
      </c>
      <c r="BB27" s="662" t="s">
        <v>390</v>
      </c>
      <c r="BC27" s="716"/>
      <c r="BD27" s="730" t="s">
        <v>391</v>
      </c>
      <c r="BE27" s="731"/>
      <c r="BF27" s="732"/>
      <c r="BG27" s="660"/>
      <c r="BH27" s="732"/>
      <c r="BI27" s="732"/>
      <c r="BJ27" s="733" t="s">
        <v>389</v>
      </c>
      <c r="BK27" s="660" t="s">
        <v>390</v>
      </c>
      <c r="BL27" s="734" t="s">
        <v>389</v>
      </c>
      <c r="BM27" s="660" t="s">
        <v>390</v>
      </c>
      <c r="BN27" s="735" t="s">
        <v>389</v>
      </c>
      <c r="BO27" s="660" t="s">
        <v>390</v>
      </c>
      <c r="BP27" s="735" t="s">
        <v>389</v>
      </c>
      <c r="BQ27" s="660" t="s">
        <v>390</v>
      </c>
      <c r="BR27" s="735" t="s">
        <v>389</v>
      </c>
      <c r="BS27" s="660" t="s">
        <v>390</v>
      </c>
      <c r="BT27" s="735" t="s">
        <v>389</v>
      </c>
      <c r="BU27" s="660" t="s">
        <v>390</v>
      </c>
      <c r="BV27" s="735" t="s">
        <v>389</v>
      </c>
      <c r="BW27" s="660" t="s">
        <v>390</v>
      </c>
      <c r="BX27" s="735" t="s">
        <v>389</v>
      </c>
      <c r="BY27" s="660" t="s">
        <v>390</v>
      </c>
      <c r="BZ27" s="735" t="s">
        <v>389</v>
      </c>
      <c r="CA27" s="660" t="s">
        <v>390</v>
      </c>
      <c r="CB27" s="735" t="s">
        <v>389</v>
      </c>
      <c r="CC27" s="660" t="s">
        <v>390</v>
      </c>
      <c r="CD27" s="735" t="s">
        <v>389</v>
      </c>
      <c r="CE27" s="660" t="s">
        <v>390</v>
      </c>
      <c r="CF27" s="735" t="s">
        <v>389</v>
      </c>
      <c r="CG27" s="660" t="s">
        <v>390</v>
      </c>
      <c r="CH27" s="735" t="s">
        <v>389</v>
      </c>
      <c r="CI27" s="660" t="s">
        <v>390</v>
      </c>
      <c r="CJ27" s="735" t="s">
        <v>389</v>
      </c>
      <c r="CK27" s="660" t="s">
        <v>390</v>
      </c>
      <c r="CL27" s="735" t="s">
        <v>389</v>
      </c>
      <c r="CM27" s="660" t="s">
        <v>390</v>
      </c>
      <c r="CN27" s="735" t="s">
        <v>389</v>
      </c>
      <c r="CO27" s="660" t="s">
        <v>390</v>
      </c>
      <c r="CP27" s="735" t="s">
        <v>389</v>
      </c>
      <c r="CQ27" s="660" t="s">
        <v>390</v>
      </c>
      <c r="CR27" s="735" t="s">
        <v>389</v>
      </c>
      <c r="CS27" s="660" t="s">
        <v>390</v>
      </c>
      <c r="CT27" s="735" t="s">
        <v>389</v>
      </c>
      <c r="CU27" s="660" t="s">
        <v>390</v>
      </c>
      <c r="CV27" s="735" t="s">
        <v>389</v>
      </c>
      <c r="CW27" s="660" t="s">
        <v>390</v>
      </c>
      <c r="CX27" s="735" t="s">
        <v>389</v>
      </c>
      <c r="CY27" s="660" t="s">
        <v>390</v>
      </c>
      <c r="CZ27" s="735" t="s">
        <v>389</v>
      </c>
      <c r="DA27" s="660" t="s">
        <v>390</v>
      </c>
      <c r="DB27" s="735" t="s">
        <v>389</v>
      </c>
      <c r="DC27" s="660" t="s">
        <v>390</v>
      </c>
      <c r="DD27" s="735" t="s">
        <v>389</v>
      </c>
      <c r="DE27" s="662" t="s">
        <v>390</v>
      </c>
      <c r="DF27" s="716"/>
      <c r="DG27" s="730" t="s">
        <v>391</v>
      </c>
      <c r="DH27" s="736"/>
      <c r="DI27" s="737"/>
      <c r="DJ27" s="738"/>
      <c r="DK27" s="737"/>
      <c r="DL27" s="737"/>
      <c r="DM27" s="733" t="s">
        <v>389</v>
      </c>
      <c r="DN27" s="660" t="s">
        <v>390</v>
      </c>
      <c r="DO27" s="734" t="s">
        <v>389</v>
      </c>
      <c r="DP27" s="660" t="s">
        <v>390</v>
      </c>
      <c r="DQ27" s="735" t="s">
        <v>389</v>
      </c>
      <c r="DR27" s="660" t="s">
        <v>390</v>
      </c>
      <c r="DS27" s="735" t="s">
        <v>389</v>
      </c>
      <c r="DT27" s="660" t="s">
        <v>390</v>
      </c>
      <c r="DU27" s="735" t="s">
        <v>389</v>
      </c>
      <c r="DV27" s="660" t="s">
        <v>390</v>
      </c>
      <c r="DW27" s="735" t="s">
        <v>389</v>
      </c>
      <c r="DX27" s="660" t="s">
        <v>390</v>
      </c>
      <c r="DY27" s="735" t="s">
        <v>389</v>
      </c>
      <c r="DZ27" s="660" t="s">
        <v>390</v>
      </c>
      <c r="EA27" s="735" t="s">
        <v>389</v>
      </c>
      <c r="EB27" s="660" t="s">
        <v>390</v>
      </c>
      <c r="EC27" s="735" t="s">
        <v>389</v>
      </c>
      <c r="ED27" s="660" t="s">
        <v>390</v>
      </c>
      <c r="EE27" s="735" t="s">
        <v>389</v>
      </c>
      <c r="EF27" s="660" t="s">
        <v>390</v>
      </c>
      <c r="EG27" s="735" t="s">
        <v>389</v>
      </c>
      <c r="EH27" s="660" t="s">
        <v>390</v>
      </c>
      <c r="EI27" s="735" t="s">
        <v>389</v>
      </c>
      <c r="EJ27" s="660" t="s">
        <v>390</v>
      </c>
      <c r="EK27" s="735" t="s">
        <v>389</v>
      </c>
      <c r="EL27" s="660" t="s">
        <v>390</v>
      </c>
      <c r="EM27" s="735" t="s">
        <v>389</v>
      </c>
      <c r="EN27" s="660" t="s">
        <v>390</v>
      </c>
      <c r="EO27" s="735" t="s">
        <v>389</v>
      </c>
      <c r="EP27" s="660" t="s">
        <v>390</v>
      </c>
      <c r="EQ27" s="735" t="s">
        <v>389</v>
      </c>
      <c r="ER27" s="660" t="s">
        <v>390</v>
      </c>
      <c r="ES27" s="735" t="s">
        <v>389</v>
      </c>
      <c r="ET27" s="660" t="s">
        <v>390</v>
      </c>
      <c r="EU27" s="735" t="s">
        <v>389</v>
      </c>
      <c r="EV27" s="660" t="s">
        <v>390</v>
      </c>
      <c r="EW27" s="735" t="s">
        <v>389</v>
      </c>
      <c r="EX27" s="660" t="s">
        <v>390</v>
      </c>
      <c r="EY27" s="735" t="s">
        <v>389</v>
      </c>
      <c r="EZ27" s="660" t="s">
        <v>390</v>
      </c>
      <c r="FA27" s="735" t="s">
        <v>389</v>
      </c>
      <c r="FB27" s="660" t="s">
        <v>390</v>
      </c>
      <c r="FC27" s="735" t="s">
        <v>389</v>
      </c>
      <c r="FD27" s="660" t="s">
        <v>390</v>
      </c>
      <c r="FE27" s="735" t="s">
        <v>389</v>
      </c>
      <c r="FF27" s="660" t="s">
        <v>390</v>
      </c>
      <c r="FG27" s="735" t="s">
        <v>389</v>
      </c>
      <c r="FH27" s="662" t="s">
        <v>390</v>
      </c>
      <c r="FI27" s="739"/>
      <c r="FJ27" s="539" t="s">
        <v>391</v>
      </c>
      <c r="FK27" s="736"/>
      <c r="FL27" s="737"/>
      <c r="FM27" s="738"/>
      <c r="FN27" s="737"/>
      <c r="FO27" s="737"/>
      <c r="FP27" s="740" t="s">
        <v>392</v>
      </c>
      <c r="FQ27" s="666" t="s">
        <v>389</v>
      </c>
      <c r="FR27" s="660" t="s">
        <v>393</v>
      </c>
      <c r="FS27" s="741" t="s">
        <v>392</v>
      </c>
      <c r="FT27" s="666" t="s">
        <v>389</v>
      </c>
      <c r="FU27" s="668" t="s">
        <v>393</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394</v>
      </c>
      <c r="C28" s="746"/>
      <c r="D28" s="747">
        <v>69</v>
      </c>
      <c r="E28" s="748">
        <v>4</v>
      </c>
      <c r="F28" s="749" t="s">
        <v>395</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394</v>
      </c>
      <c r="BF28" s="746"/>
      <c r="BG28" s="747">
        <v>69</v>
      </c>
      <c r="BH28" s="748">
        <v>4</v>
      </c>
      <c r="BI28" s="749" t="s">
        <v>395</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394</v>
      </c>
      <c r="DI28" s="746"/>
      <c r="DJ28" s="747">
        <v>69</v>
      </c>
      <c r="DK28" s="748">
        <v>4</v>
      </c>
      <c r="DL28" s="749" t="s">
        <v>395</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394</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396</v>
      </c>
      <c r="C29" s="758"/>
      <c r="D29" s="759">
        <v>15</v>
      </c>
      <c r="E29" s="760">
        <v>13.2</v>
      </c>
      <c r="F29" s="761" t="s">
        <v>395</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396</v>
      </c>
      <c r="BF29" s="758"/>
      <c r="BG29" s="759">
        <v>15</v>
      </c>
      <c r="BH29" s="760">
        <v>13.2</v>
      </c>
      <c r="BI29" s="761" t="s">
        <v>395</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396</v>
      </c>
      <c r="DI29" s="758"/>
      <c r="DJ29" s="759">
        <v>15</v>
      </c>
      <c r="DK29" s="760">
        <v>13.2</v>
      </c>
      <c r="DL29" s="761" t="s">
        <v>395</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396</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397</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397</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397</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397</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362</v>
      </c>
      <c r="GV30" s="773"/>
      <c r="GW30" s="774" t="s">
        <v>473</v>
      </c>
      <c r="GX30" s="774"/>
      <c r="GY30" s="774"/>
      <c r="GZ30" s="774"/>
      <c r="HA30" s="775"/>
      <c r="HB30" s="776" t="s">
        <v>474</v>
      </c>
      <c r="HC30" s="576"/>
      <c r="HD30" s="559"/>
      <c r="HE30" s="416"/>
      <c r="HF30" s="416"/>
    </row>
    <row r="31" spans="1:218" ht="20.100000000000001" customHeight="1">
      <c r="A31" s="549"/>
      <c r="B31" s="777" t="s">
        <v>398</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398</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398</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398</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399</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399</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399</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399</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400</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400</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400</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400</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204</v>
      </c>
      <c r="GV33" s="805"/>
      <c r="GW33" s="806">
        <v>0</v>
      </c>
      <c r="GX33" s="807">
        <v>6.6</v>
      </c>
      <c r="GY33" s="807">
        <v>35.590000000000003</v>
      </c>
      <c r="GZ33" s="807">
        <v>0</v>
      </c>
      <c r="HA33" s="807">
        <v>42.190000000000005</v>
      </c>
      <c r="HB33" s="808">
        <v>13.2</v>
      </c>
      <c r="HC33" s="414"/>
      <c r="HD33" s="645"/>
      <c r="HE33" s="416"/>
      <c r="HF33" s="416"/>
    </row>
    <row r="34" spans="1:219" ht="20.100000000000001" customHeight="1">
      <c r="A34" s="809" t="s">
        <v>401</v>
      </c>
      <c r="B34" s="736"/>
      <c r="C34" s="810"/>
      <c r="D34" s="811"/>
      <c r="E34" s="810"/>
      <c r="F34" s="812"/>
      <c r="G34" s="733" t="s">
        <v>402</v>
      </c>
      <c r="H34" s="660" t="s">
        <v>390</v>
      </c>
      <c r="I34" s="734" t="s">
        <v>402</v>
      </c>
      <c r="J34" s="660" t="s">
        <v>390</v>
      </c>
      <c r="K34" s="735" t="s">
        <v>402</v>
      </c>
      <c r="L34" s="660" t="s">
        <v>390</v>
      </c>
      <c r="M34" s="735" t="s">
        <v>402</v>
      </c>
      <c r="N34" s="660" t="s">
        <v>390</v>
      </c>
      <c r="O34" s="735" t="s">
        <v>402</v>
      </c>
      <c r="P34" s="660" t="s">
        <v>390</v>
      </c>
      <c r="Q34" s="735" t="s">
        <v>402</v>
      </c>
      <c r="R34" s="660" t="s">
        <v>390</v>
      </c>
      <c r="S34" s="735" t="s">
        <v>402</v>
      </c>
      <c r="T34" s="660" t="s">
        <v>390</v>
      </c>
      <c r="U34" s="735" t="s">
        <v>402</v>
      </c>
      <c r="V34" s="660" t="s">
        <v>390</v>
      </c>
      <c r="W34" s="735" t="s">
        <v>402</v>
      </c>
      <c r="X34" s="660" t="s">
        <v>390</v>
      </c>
      <c r="Y34" s="735" t="s">
        <v>402</v>
      </c>
      <c r="Z34" s="660" t="s">
        <v>390</v>
      </c>
      <c r="AA34" s="735" t="s">
        <v>402</v>
      </c>
      <c r="AB34" s="660" t="s">
        <v>390</v>
      </c>
      <c r="AC34" s="735" t="s">
        <v>402</v>
      </c>
      <c r="AD34" s="660" t="s">
        <v>390</v>
      </c>
      <c r="AE34" s="735" t="s">
        <v>402</v>
      </c>
      <c r="AF34" s="660" t="s">
        <v>390</v>
      </c>
      <c r="AG34" s="735" t="s">
        <v>402</v>
      </c>
      <c r="AH34" s="660" t="s">
        <v>390</v>
      </c>
      <c r="AI34" s="735" t="s">
        <v>402</v>
      </c>
      <c r="AJ34" s="660" t="s">
        <v>390</v>
      </c>
      <c r="AK34" s="735" t="s">
        <v>402</v>
      </c>
      <c r="AL34" s="660" t="s">
        <v>390</v>
      </c>
      <c r="AM34" s="735" t="s">
        <v>402</v>
      </c>
      <c r="AN34" s="660" t="s">
        <v>390</v>
      </c>
      <c r="AO34" s="735" t="s">
        <v>402</v>
      </c>
      <c r="AP34" s="660" t="s">
        <v>390</v>
      </c>
      <c r="AQ34" s="735" t="s">
        <v>402</v>
      </c>
      <c r="AR34" s="660" t="s">
        <v>390</v>
      </c>
      <c r="AS34" s="735" t="s">
        <v>402</v>
      </c>
      <c r="AT34" s="660" t="s">
        <v>390</v>
      </c>
      <c r="AU34" s="735" t="s">
        <v>402</v>
      </c>
      <c r="AV34" s="660" t="s">
        <v>390</v>
      </c>
      <c r="AW34" s="735" t="s">
        <v>402</v>
      </c>
      <c r="AX34" s="660" t="s">
        <v>390</v>
      </c>
      <c r="AY34" s="735" t="s">
        <v>402</v>
      </c>
      <c r="AZ34" s="660" t="s">
        <v>390</v>
      </c>
      <c r="BA34" s="735" t="s">
        <v>402</v>
      </c>
      <c r="BB34" s="662" t="s">
        <v>390</v>
      </c>
      <c r="BC34" s="716"/>
      <c r="BD34" s="809" t="s">
        <v>401</v>
      </c>
      <c r="BE34" s="731"/>
      <c r="BF34" s="813"/>
      <c r="BG34" s="814"/>
      <c r="BH34" s="813"/>
      <c r="BI34" s="815"/>
      <c r="BJ34" s="733" t="s">
        <v>402</v>
      </c>
      <c r="BK34" s="660" t="s">
        <v>390</v>
      </c>
      <c r="BL34" s="734" t="s">
        <v>402</v>
      </c>
      <c r="BM34" s="660" t="s">
        <v>390</v>
      </c>
      <c r="BN34" s="735" t="s">
        <v>402</v>
      </c>
      <c r="BO34" s="660" t="s">
        <v>390</v>
      </c>
      <c r="BP34" s="735" t="s">
        <v>402</v>
      </c>
      <c r="BQ34" s="660" t="s">
        <v>390</v>
      </c>
      <c r="BR34" s="735" t="s">
        <v>402</v>
      </c>
      <c r="BS34" s="660" t="s">
        <v>390</v>
      </c>
      <c r="BT34" s="735" t="s">
        <v>402</v>
      </c>
      <c r="BU34" s="660" t="s">
        <v>390</v>
      </c>
      <c r="BV34" s="735" t="s">
        <v>402</v>
      </c>
      <c r="BW34" s="660" t="s">
        <v>390</v>
      </c>
      <c r="BX34" s="735" t="s">
        <v>402</v>
      </c>
      <c r="BY34" s="660" t="s">
        <v>390</v>
      </c>
      <c r="BZ34" s="735" t="s">
        <v>402</v>
      </c>
      <c r="CA34" s="660" t="s">
        <v>390</v>
      </c>
      <c r="CB34" s="735" t="s">
        <v>402</v>
      </c>
      <c r="CC34" s="660" t="s">
        <v>390</v>
      </c>
      <c r="CD34" s="735" t="s">
        <v>402</v>
      </c>
      <c r="CE34" s="660" t="s">
        <v>390</v>
      </c>
      <c r="CF34" s="735" t="s">
        <v>402</v>
      </c>
      <c r="CG34" s="660" t="s">
        <v>390</v>
      </c>
      <c r="CH34" s="735" t="s">
        <v>402</v>
      </c>
      <c r="CI34" s="660" t="s">
        <v>390</v>
      </c>
      <c r="CJ34" s="735" t="s">
        <v>402</v>
      </c>
      <c r="CK34" s="660" t="s">
        <v>390</v>
      </c>
      <c r="CL34" s="735" t="s">
        <v>402</v>
      </c>
      <c r="CM34" s="660" t="s">
        <v>390</v>
      </c>
      <c r="CN34" s="735" t="s">
        <v>402</v>
      </c>
      <c r="CO34" s="660" t="s">
        <v>390</v>
      </c>
      <c r="CP34" s="735" t="s">
        <v>402</v>
      </c>
      <c r="CQ34" s="660" t="s">
        <v>390</v>
      </c>
      <c r="CR34" s="735" t="s">
        <v>402</v>
      </c>
      <c r="CS34" s="660" t="s">
        <v>390</v>
      </c>
      <c r="CT34" s="735" t="s">
        <v>402</v>
      </c>
      <c r="CU34" s="660" t="s">
        <v>390</v>
      </c>
      <c r="CV34" s="735" t="s">
        <v>402</v>
      </c>
      <c r="CW34" s="660" t="s">
        <v>390</v>
      </c>
      <c r="CX34" s="735" t="s">
        <v>402</v>
      </c>
      <c r="CY34" s="660" t="s">
        <v>390</v>
      </c>
      <c r="CZ34" s="735" t="s">
        <v>402</v>
      </c>
      <c r="DA34" s="660" t="s">
        <v>390</v>
      </c>
      <c r="DB34" s="735" t="s">
        <v>402</v>
      </c>
      <c r="DC34" s="660" t="s">
        <v>390</v>
      </c>
      <c r="DD34" s="735" t="s">
        <v>402</v>
      </c>
      <c r="DE34" s="662" t="s">
        <v>390</v>
      </c>
      <c r="DF34" s="716"/>
      <c r="DG34" s="809" t="s">
        <v>401</v>
      </c>
      <c r="DH34" s="731"/>
      <c r="DI34" s="813"/>
      <c r="DJ34" s="814"/>
      <c r="DK34" s="813"/>
      <c r="DL34" s="815"/>
      <c r="DM34" s="733" t="s">
        <v>402</v>
      </c>
      <c r="DN34" s="660" t="s">
        <v>390</v>
      </c>
      <c r="DO34" s="734" t="s">
        <v>402</v>
      </c>
      <c r="DP34" s="660" t="s">
        <v>390</v>
      </c>
      <c r="DQ34" s="735" t="s">
        <v>402</v>
      </c>
      <c r="DR34" s="660" t="s">
        <v>390</v>
      </c>
      <c r="DS34" s="735" t="s">
        <v>402</v>
      </c>
      <c r="DT34" s="660" t="s">
        <v>390</v>
      </c>
      <c r="DU34" s="735" t="s">
        <v>402</v>
      </c>
      <c r="DV34" s="660" t="s">
        <v>390</v>
      </c>
      <c r="DW34" s="735" t="s">
        <v>402</v>
      </c>
      <c r="DX34" s="660" t="s">
        <v>390</v>
      </c>
      <c r="DY34" s="735" t="s">
        <v>402</v>
      </c>
      <c r="DZ34" s="660" t="s">
        <v>390</v>
      </c>
      <c r="EA34" s="735" t="s">
        <v>402</v>
      </c>
      <c r="EB34" s="660" t="s">
        <v>390</v>
      </c>
      <c r="EC34" s="735" t="s">
        <v>402</v>
      </c>
      <c r="ED34" s="660" t="s">
        <v>390</v>
      </c>
      <c r="EE34" s="735" t="s">
        <v>402</v>
      </c>
      <c r="EF34" s="660" t="s">
        <v>390</v>
      </c>
      <c r="EG34" s="735" t="s">
        <v>402</v>
      </c>
      <c r="EH34" s="660" t="s">
        <v>390</v>
      </c>
      <c r="EI34" s="735" t="s">
        <v>402</v>
      </c>
      <c r="EJ34" s="660" t="s">
        <v>390</v>
      </c>
      <c r="EK34" s="735" t="s">
        <v>402</v>
      </c>
      <c r="EL34" s="660" t="s">
        <v>390</v>
      </c>
      <c r="EM34" s="735" t="s">
        <v>402</v>
      </c>
      <c r="EN34" s="660" t="s">
        <v>390</v>
      </c>
      <c r="EO34" s="735" t="s">
        <v>402</v>
      </c>
      <c r="EP34" s="660" t="s">
        <v>390</v>
      </c>
      <c r="EQ34" s="735" t="s">
        <v>402</v>
      </c>
      <c r="ER34" s="660" t="s">
        <v>390</v>
      </c>
      <c r="ES34" s="735" t="s">
        <v>402</v>
      </c>
      <c r="ET34" s="660" t="s">
        <v>390</v>
      </c>
      <c r="EU34" s="735" t="s">
        <v>402</v>
      </c>
      <c r="EV34" s="660" t="s">
        <v>390</v>
      </c>
      <c r="EW34" s="735" t="s">
        <v>402</v>
      </c>
      <c r="EX34" s="660" t="s">
        <v>390</v>
      </c>
      <c r="EY34" s="735" t="s">
        <v>402</v>
      </c>
      <c r="EZ34" s="660" t="s">
        <v>390</v>
      </c>
      <c r="FA34" s="735" t="s">
        <v>402</v>
      </c>
      <c r="FB34" s="660" t="s">
        <v>390</v>
      </c>
      <c r="FC34" s="735" t="s">
        <v>402</v>
      </c>
      <c r="FD34" s="660" t="s">
        <v>390</v>
      </c>
      <c r="FE34" s="735" t="s">
        <v>402</v>
      </c>
      <c r="FF34" s="660" t="s">
        <v>390</v>
      </c>
      <c r="FG34" s="735" t="s">
        <v>402</v>
      </c>
      <c r="FH34" s="662" t="s">
        <v>390</v>
      </c>
      <c r="FI34" s="739"/>
      <c r="FJ34" s="816" t="s">
        <v>401</v>
      </c>
      <c r="FK34" s="731"/>
      <c r="FL34" s="813"/>
      <c r="FM34" s="814"/>
      <c r="FN34" s="813"/>
      <c r="FO34" s="815"/>
      <c r="FP34" s="740" t="s">
        <v>392</v>
      </c>
      <c r="FQ34" s="666" t="s">
        <v>402</v>
      </c>
      <c r="FR34" s="660" t="s">
        <v>393</v>
      </c>
      <c r="FS34" s="741" t="s">
        <v>392</v>
      </c>
      <c r="FT34" s="666" t="s">
        <v>402</v>
      </c>
      <c r="FU34" s="668" t="s">
        <v>393</v>
      </c>
      <c r="FV34" s="590"/>
      <c r="FW34" s="591"/>
      <c r="FX34" s="799"/>
      <c r="FY34" s="593"/>
      <c r="FZ34" s="800"/>
      <c r="GA34" s="595"/>
      <c r="GB34" s="801"/>
      <c r="GC34" s="597"/>
      <c r="GD34" s="801"/>
      <c r="GE34" s="598"/>
      <c r="GF34" s="742"/>
      <c r="GG34" s="743"/>
      <c r="GH34" s="743"/>
      <c r="GI34" s="743"/>
      <c r="GJ34" s="576"/>
      <c r="GK34" s="817" t="s">
        <v>546</v>
      </c>
      <c r="GL34" s="817"/>
      <c r="GM34" s="817"/>
      <c r="GN34" s="817"/>
      <c r="GO34" s="817"/>
      <c r="GP34" s="817"/>
      <c r="GQ34" s="612">
        <v>7</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403</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317</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317</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317</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404</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404</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404</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404</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547</v>
      </c>
      <c r="GL36" s="817"/>
      <c r="GM36" s="817"/>
      <c r="GN36" s="817"/>
      <c r="GO36" s="817"/>
      <c r="GP36" s="817"/>
      <c r="GQ36" s="612">
        <v>10</v>
      </c>
      <c r="GR36" s="576" t="s">
        <v>462</v>
      </c>
      <c r="GS36" s="527"/>
      <c r="GT36" s="756"/>
      <c r="GU36" s="818"/>
      <c r="GV36" s="819"/>
      <c r="GW36" s="820"/>
      <c r="GX36" s="630"/>
      <c r="GY36" s="630"/>
      <c r="GZ36" s="630"/>
      <c r="HA36" s="630"/>
      <c r="HB36" s="631"/>
      <c r="HC36" s="527"/>
      <c r="HD36" s="645"/>
      <c r="HE36" s="416"/>
      <c r="HF36" s="416"/>
    </row>
    <row r="37" spans="1:219" ht="24" customHeight="1">
      <c r="A37" s="842" t="s">
        <v>405</v>
      </c>
      <c r="B37" s="843"/>
      <c r="C37" s="844" t="s">
        <v>406</v>
      </c>
      <c r="D37" s="845"/>
      <c r="E37" s="846" t="s">
        <v>407</v>
      </c>
      <c r="F37" s="847"/>
      <c r="G37" s="659" t="s">
        <v>402</v>
      </c>
      <c r="H37" s="660" t="s">
        <v>408</v>
      </c>
      <c r="I37" s="661" t="s">
        <v>402</v>
      </c>
      <c r="J37" s="660" t="s">
        <v>409</v>
      </c>
      <c r="K37" s="661" t="s">
        <v>402</v>
      </c>
      <c r="L37" s="660" t="s">
        <v>409</v>
      </c>
      <c r="M37" s="661" t="s">
        <v>402</v>
      </c>
      <c r="N37" s="660" t="s">
        <v>409</v>
      </c>
      <c r="O37" s="661" t="s">
        <v>402</v>
      </c>
      <c r="P37" s="660" t="s">
        <v>409</v>
      </c>
      <c r="Q37" s="661" t="s">
        <v>402</v>
      </c>
      <c r="R37" s="660" t="s">
        <v>409</v>
      </c>
      <c r="S37" s="661" t="s">
        <v>402</v>
      </c>
      <c r="T37" s="660" t="s">
        <v>409</v>
      </c>
      <c r="U37" s="661" t="s">
        <v>402</v>
      </c>
      <c r="V37" s="660" t="s">
        <v>409</v>
      </c>
      <c r="W37" s="661" t="s">
        <v>402</v>
      </c>
      <c r="X37" s="660" t="s">
        <v>409</v>
      </c>
      <c r="Y37" s="661" t="s">
        <v>402</v>
      </c>
      <c r="Z37" s="660" t="s">
        <v>409</v>
      </c>
      <c r="AA37" s="661" t="s">
        <v>402</v>
      </c>
      <c r="AB37" s="660" t="s">
        <v>409</v>
      </c>
      <c r="AC37" s="661" t="s">
        <v>402</v>
      </c>
      <c r="AD37" s="660" t="s">
        <v>409</v>
      </c>
      <c r="AE37" s="661" t="s">
        <v>402</v>
      </c>
      <c r="AF37" s="660" t="s">
        <v>409</v>
      </c>
      <c r="AG37" s="661" t="s">
        <v>402</v>
      </c>
      <c r="AH37" s="660" t="s">
        <v>409</v>
      </c>
      <c r="AI37" s="661" t="s">
        <v>402</v>
      </c>
      <c r="AJ37" s="660" t="s">
        <v>409</v>
      </c>
      <c r="AK37" s="661" t="s">
        <v>402</v>
      </c>
      <c r="AL37" s="660" t="s">
        <v>409</v>
      </c>
      <c r="AM37" s="661" t="s">
        <v>402</v>
      </c>
      <c r="AN37" s="660" t="s">
        <v>409</v>
      </c>
      <c r="AO37" s="661" t="s">
        <v>402</v>
      </c>
      <c r="AP37" s="660" t="s">
        <v>409</v>
      </c>
      <c r="AQ37" s="661" t="s">
        <v>402</v>
      </c>
      <c r="AR37" s="660" t="s">
        <v>409</v>
      </c>
      <c r="AS37" s="661" t="s">
        <v>402</v>
      </c>
      <c r="AT37" s="660" t="s">
        <v>409</v>
      </c>
      <c r="AU37" s="661" t="s">
        <v>402</v>
      </c>
      <c r="AV37" s="660" t="s">
        <v>409</v>
      </c>
      <c r="AW37" s="661" t="s">
        <v>402</v>
      </c>
      <c r="AX37" s="660" t="s">
        <v>409</v>
      </c>
      <c r="AY37" s="661" t="s">
        <v>402</v>
      </c>
      <c r="AZ37" s="660" t="s">
        <v>409</v>
      </c>
      <c r="BA37" s="661" t="s">
        <v>402</v>
      </c>
      <c r="BB37" s="662" t="s">
        <v>409</v>
      </c>
      <c r="BC37" s="716"/>
      <c r="BD37" s="842" t="s">
        <v>405</v>
      </c>
      <c r="BE37" s="843"/>
      <c r="BF37" s="844" t="s">
        <v>406</v>
      </c>
      <c r="BG37" s="845"/>
      <c r="BH37" s="846" t="s">
        <v>407</v>
      </c>
      <c r="BI37" s="847"/>
      <c r="BJ37" s="659" t="s">
        <v>402</v>
      </c>
      <c r="BK37" s="660" t="s">
        <v>408</v>
      </c>
      <c r="BL37" s="661" t="s">
        <v>402</v>
      </c>
      <c r="BM37" s="660" t="s">
        <v>409</v>
      </c>
      <c r="BN37" s="661" t="s">
        <v>402</v>
      </c>
      <c r="BO37" s="660" t="s">
        <v>409</v>
      </c>
      <c r="BP37" s="661" t="s">
        <v>402</v>
      </c>
      <c r="BQ37" s="660" t="s">
        <v>409</v>
      </c>
      <c r="BR37" s="661" t="s">
        <v>402</v>
      </c>
      <c r="BS37" s="660" t="s">
        <v>409</v>
      </c>
      <c r="BT37" s="661" t="s">
        <v>402</v>
      </c>
      <c r="BU37" s="660" t="s">
        <v>409</v>
      </c>
      <c r="BV37" s="661" t="s">
        <v>402</v>
      </c>
      <c r="BW37" s="660" t="s">
        <v>409</v>
      </c>
      <c r="BX37" s="661" t="s">
        <v>402</v>
      </c>
      <c r="BY37" s="660" t="s">
        <v>409</v>
      </c>
      <c r="BZ37" s="661" t="s">
        <v>402</v>
      </c>
      <c r="CA37" s="660" t="s">
        <v>409</v>
      </c>
      <c r="CB37" s="661" t="s">
        <v>402</v>
      </c>
      <c r="CC37" s="660" t="s">
        <v>409</v>
      </c>
      <c r="CD37" s="661" t="s">
        <v>402</v>
      </c>
      <c r="CE37" s="660" t="s">
        <v>409</v>
      </c>
      <c r="CF37" s="661" t="s">
        <v>402</v>
      </c>
      <c r="CG37" s="660" t="s">
        <v>409</v>
      </c>
      <c r="CH37" s="661" t="s">
        <v>402</v>
      </c>
      <c r="CI37" s="660" t="s">
        <v>409</v>
      </c>
      <c r="CJ37" s="661" t="s">
        <v>402</v>
      </c>
      <c r="CK37" s="660" t="s">
        <v>409</v>
      </c>
      <c r="CL37" s="661" t="s">
        <v>402</v>
      </c>
      <c r="CM37" s="660" t="s">
        <v>409</v>
      </c>
      <c r="CN37" s="661" t="s">
        <v>402</v>
      </c>
      <c r="CO37" s="660" t="s">
        <v>409</v>
      </c>
      <c r="CP37" s="661" t="s">
        <v>402</v>
      </c>
      <c r="CQ37" s="660" t="s">
        <v>409</v>
      </c>
      <c r="CR37" s="661" t="s">
        <v>402</v>
      </c>
      <c r="CS37" s="660" t="s">
        <v>409</v>
      </c>
      <c r="CT37" s="661" t="s">
        <v>402</v>
      </c>
      <c r="CU37" s="660" t="s">
        <v>409</v>
      </c>
      <c r="CV37" s="661" t="s">
        <v>402</v>
      </c>
      <c r="CW37" s="660" t="s">
        <v>409</v>
      </c>
      <c r="CX37" s="661" t="s">
        <v>402</v>
      </c>
      <c r="CY37" s="660" t="s">
        <v>409</v>
      </c>
      <c r="CZ37" s="661" t="s">
        <v>402</v>
      </c>
      <c r="DA37" s="660" t="s">
        <v>409</v>
      </c>
      <c r="DB37" s="661" t="s">
        <v>402</v>
      </c>
      <c r="DC37" s="660" t="s">
        <v>409</v>
      </c>
      <c r="DD37" s="661" t="s">
        <v>402</v>
      </c>
      <c r="DE37" s="662" t="s">
        <v>409</v>
      </c>
      <c r="DF37" s="716"/>
      <c r="DG37" s="842" t="s">
        <v>405</v>
      </c>
      <c r="DH37" s="843"/>
      <c r="DI37" s="844" t="s">
        <v>406</v>
      </c>
      <c r="DJ37" s="845"/>
      <c r="DK37" s="846" t="s">
        <v>407</v>
      </c>
      <c r="DL37" s="847"/>
      <c r="DM37" s="659" t="s">
        <v>402</v>
      </c>
      <c r="DN37" s="660" t="s">
        <v>408</v>
      </c>
      <c r="DO37" s="661" t="s">
        <v>402</v>
      </c>
      <c r="DP37" s="660" t="s">
        <v>409</v>
      </c>
      <c r="DQ37" s="661" t="s">
        <v>402</v>
      </c>
      <c r="DR37" s="660" t="s">
        <v>409</v>
      </c>
      <c r="DS37" s="661" t="s">
        <v>402</v>
      </c>
      <c r="DT37" s="660" t="s">
        <v>409</v>
      </c>
      <c r="DU37" s="661" t="s">
        <v>402</v>
      </c>
      <c r="DV37" s="660" t="s">
        <v>409</v>
      </c>
      <c r="DW37" s="661" t="s">
        <v>402</v>
      </c>
      <c r="DX37" s="660" t="s">
        <v>409</v>
      </c>
      <c r="DY37" s="661" t="s">
        <v>402</v>
      </c>
      <c r="DZ37" s="660" t="s">
        <v>409</v>
      </c>
      <c r="EA37" s="661" t="s">
        <v>402</v>
      </c>
      <c r="EB37" s="660" t="s">
        <v>409</v>
      </c>
      <c r="EC37" s="661" t="s">
        <v>402</v>
      </c>
      <c r="ED37" s="660" t="s">
        <v>409</v>
      </c>
      <c r="EE37" s="661" t="s">
        <v>402</v>
      </c>
      <c r="EF37" s="660" t="s">
        <v>409</v>
      </c>
      <c r="EG37" s="661" t="s">
        <v>402</v>
      </c>
      <c r="EH37" s="660" t="s">
        <v>409</v>
      </c>
      <c r="EI37" s="661" t="s">
        <v>402</v>
      </c>
      <c r="EJ37" s="660" t="s">
        <v>409</v>
      </c>
      <c r="EK37" s="661" t="s">
        <v>402</v>
      </c>
      <c r="EL37" s="660" t="s">
        <v>409</v>
      </c>
      <c r="EM37" s="661" t="s">
        <v>402</v>
      </c>
      <c r="EN37" s="660" t="s">
        <v>409</v>
      </c>
      <c r="EO37" s="661" t="s">
        <v>402</v>
      </c>
      <c r="EP37" s="660" t="s">
        <v>409</v>
      </c>
      <c r="EQ37" s="661" t="s">
        <v>402</v>
      </c>
      <c r="ER37" s="660" t="s">
        <v>409</v>
      </c>
      <c r="ES37" s="661" t="s">
        <v>402</v>
      </c>
      <c r="ET37" s="660" t="s">
        <v>409</v>
      </c>
      <c r="EU37" s="661" t="s">
        <v>402</v>
      </c>
      <c r="EV37" s="660" t="s">
        <v>409</v>
      </c>
      <c r="EW37" s="661" t="s">
        <v>402</v>
      </c>
      <c r="EX37" s="660" t="s">
        <v>409</v>
      </c>
      <c r="EY37" s="661" t="s">
        <v>402</v>
      </c>
      <c r="EZ37" s="660" t="s">
        <v>409</v>
      </c>
      <c r="FA37" s="661" t="s">
        <v>402</v>
      </c>
      <c r="FB37" s="660" t="s">
        <v>409</v>
      </c>
      <c r="FC37" s="661" t="s">
        <v>402</v>
      </c>
      <c r="FD37" s="660" t="s">
        <v>409</v>
      </c>
      <c r="FE37" s="661" t="s">
        <v>402</v>
      </c>
      <c r="FF37" s="660" t="s">
        <v>409</v>
      </c>
      <c r="FG37" s="661" t="s">
        <v>402</v>
      </c>
      <c r="FH37" s="662" t="s">
        <v>409</v>
      </c>
      <c r="FI37" s="739"/>
      <c r="FJ37" s="816" t="s">
        <v>405</v>
      </c>
      <c r="FK37" s="843"/>
      <c r="FL37" s="844" t="s">
        <v>406</v>
      </c>
      <c r="FM37" s="845"/>
      <c r="FN37" s="846" t="s">
        <v>407</v>
      </c>
      <c r="FO37" s="847"/>
      <c r="FP37" s="665"/>
      <c r="FQ37" s="848" t="s">
        <v>410</v>
      </c>
      <c r="FR37" s="660" t="s">
        <v>409</v>
      </c>
      <c r="FS37" s="667"/>
      <c r="FT37" s="848" t="s">
        <v>410</v>
      </c>
      <c r="FU37" s="668" t="s">
        <v>409</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411</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42.190000000000005</v>
      </c>
      <c r="HB38" s="864">
        <v>13.2</v>
      </c>
      <c r="HC38" s="527"/>
      <c r="HD38" s="527"/>
      <c r="HE38" s="388"/>
      <c r="HF38" s="388"/>
      <c r="HK38" s="416"/>
    </row>
    <row r="39" spans="1:219" ht="20.100000000000001" customHeight="1">
      <c r="A39" s="821"/>
      <c r="B39" s="865" t="s">
        <v>412</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3.2</v>
      </c>
      <c r="HB39" s="576"/>
      <c r="HC39" s="527"/>
      <c r="HD39" s="559"/>
    </row>
    <row r="40" spans="1:219" ht="20.100000000000001" customHeight="1">
      <c r="A40" s="878"/>
      <c r="B40" s="639"/>
      <c r="C40" s="639"/>
      <c r="D40" s="640" t="s">
        <v>413</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413</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413</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413</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550</v>
      </c>
      <c r="GV40" s="527"/>
      <c r="GW40" s="527"/>
      <c r="GX40" s="527"/>
      <c r="GY40" s="527"/>
      <c r="GZ40" s="527"/>
      <c r="HA40" s="883">
        <v>56.6</v>
      </c>
      <c r="HB40" s="414"/>
      <c r="HC40" s="527"/>
      <c r="HD40" s="577"/>
      <c r="HK40" s="416"/>
    </row>
    <row r="41" spans="1:219" ht="20.100000000000001" customHeight="1">
      <c r="A41" s="851" t="s">
        <v>414</v>
      </c>
      <c r="B41" s="731"/>
      <c r="C41" s="884"/>
      <c r="D41" s="884"/>
      <c r="E41" s="884"/>
      <c r="F41" s="885"/>
      <c r="G41" s="733"/>
      <c r="H41" s="660" t="s">
        <v>390</v>
      </c>
      <c r="I41" s="734"/>
      <c r="J41" s="660" t="s">
        <v>390</v>
      </c>
      <c r="K41" s="735"/>
      <c r="L41" s="660" t="s">
        <v>390</v>
      </c>
      <c r="M41" s="735"/>
      <c r="N41" s="660" t="s">
        <v>390</v>
      </c>
      <c r="O41" s="735"/>
      <c r="P41" s="660" t="s">
        <v>390</v>
      </c>
      <c r="Q41" s="735"/>
      <c r="R41" s="660" t="s">
        <v>390</v>
      </c>
      <c r="S41" s="735"/>
      <c r="T41" s="660" t="s">
        <v>390</v>
      </c>
      <c r="U41" s="735"/>
      <c r="V41" s="660" t="s">
        <v>390</v>
      </c>
      <c r="W41" s="735"/>
      <c r="X41" s="660" t="s">
        <v>390</v>
      </c>
      <c r="Y41" s="735" t="s">
        <v>402</v>
      </c>
      <c r="Z41" s="660" t="s">
        <v>390</v>
      </c>
      <c r="AA41" s="735" t="s">
        <v>402</v>
      </c>
      <c r="AB41" s="660" t="s">
        <v>390</v>
      </c>
      <c r="AC41" s="735"/>
      <c r="AD41" s="660" t="s">
        <v>390</v>
      </c>
      <c r="AE41" s="735"/>
      <c r="AF41" s="660" t="s">
        <v>390</v>
      </c>
      <c r="AG41" s="735"/>
      <c r="AH41" s="660" t="s">
        <v>390</v>
      </c>
      <c r="AI41" s="735"/>
      <c r="AJ41" s="660" t="s">
        <v>390</v>
      </c>
      <c r="AK41" s="735"/>
      <c r="AL41" s="660" t="s">
        <v>390</v>
      </c>
      <c r="AM41" s="735"/>
      <c r="AN41" s="660" t="s">
        <v>390</v>
      </c>
      <c r="AO41" s="735"/>
      <c r="AP41" s="660" t="s">
        <v>390</v>
      </c>
      <c r="AQ41" s="735"/>
      <c r="AR41" s="660" t="s">
        <v>390</v>
      </c>
      <c r="AS41" s="735"/>
      <c r="AT41" s="660" t="s">
        <v>390</v>
      </c>
      <c r="AU41" s="735"/>
      <c r="AV41" s="660" t="s">
        <v>390</v>
      </c>
      <c r="AW41" s="735"/>
      <c r="AX41" s="660" t="s">
        <v>390</v>
      </c>
      <c r="AY41" s="735"/>
      <c r="AZ41" s="660" t="s">
        <v>390</v>
      </c>
      <c r="BA41" s="735"/>
      <c r="BB41" s="662" t="s">
        <v>390</v>
      </c>
      <c r="BC41" s="716"/>
      <c r="BD41" s="851" t="s">
        <v>414</v>
      </c>
      <c r="BE41" s="731"/>
      <c r="BF41" s="884"/>
      <c r="BG41" s="884"/>
      <c r="BH41" s="884"/>
      <c r="BI41" s="885"/>
      <c r="BJ41" s="733"/>
      <c r="BK41" s="660" t="s">
        <v>390</v>
      </c>
      <c r="BL41" s="734"/>
      <c r="BM41" s="660" t="s">
        <v>390</v>
      </c>
      <c r="BN41" s="735"/>
      <c r="BO41" s="660" t="s">
        <v>390</v>
      </c>
      <c r="BP41" s="735"/>
      <c r="BQ41" s="660" t="s">
        <v>390</v>
      </c>
      <c r="BR41" s="735"/>
      <c r="BS41" s="660" t="s">
        <v>390</v>
      </c>
      <c r="BT41" s="735"/>
      <c r="BU41" s="660" t="s">
        <v>390</v>
      </c>
      <c r="BV41" s="735"/>
      <c r="BW41" s="660" t="s">
        <v>390</v>
      </c>
      <c r="BX41" s="735"/>
      <c r="BY41" s="660" t="s">
        <v>390</v>
      </c>
      <c r="BZ41" s="735"/>
      <c r="CA41" s="660" t="s">
        <v>390</v>
      </c>
      <c r="CB41" s="735" t="s">
        <v>402</v>
      </c>
      <c r="CC41" s="660" t="s">
        <v>390</v>
      </c>
      <c r="CD41" s="735" t="s">
        <v>402</v>
      </c>
      <c r="CE41" s="660" t="s">
        <v>390</v>
      </c>
      <c r="CF41" s="735"/>
      <c r="CG41" s="660" t="s">
        <v>390</v>
      </c>
      <c r="CH41" s="735"/>
      <c r="CI41" s="660" t="s">
        <v>390</v>
      </c>
      <c r="CJ41" s="735"/>
      <c r="CK41" s="660" t="s">
        <v>390</v>
      </c>
      <c r="CL41" s="735"/>
      <c r="CM41" s="660" t="s">
        <v>390</v>
      </c>
      <c r="CN41" s="735"/>
      <c r="CO41" s="660" t="s">
        <v>390</v>
      </c>
      <c r="CP41" s="735"/>
      <c r="CQ41" s="660" t="s">
        <v>390</v>
      </c>
      <c r="CR41" s="735"/>
      <c r="CS41" s="660" t="s">
        <v>390</v>
      </c>
      <c r="CT41" s="735"/>
      <c r="CU41" s="660" t="s">
        <v>390</v>
      </c>
      <c r="CV41" s="735"/>
      <c r="CW41" s="660" t="s">
        <v>390</v>
      </c>
      <c r="CX41" s="735"/>
      <c r="CY41" s="660" t="s">
        <v>390</v>
      </c>
      <c r="CZ41" s="735"/>
      <c r="DA41" s="660" t="s">
        <v>390</v>
      </c>
      <c r="DB41" s="735"/>
      <c r="DC41" s="660" t="s">
        <v>390</v>
      </c>
      <c r="DD41" s="735"/>
      <c r="DE41" s="662" t="s">
        <v>390</v>
      </c>
      <c r="DF41" s="716"/>
      <c r="DG41" s="851" t="s">
        <v>414</v>
      </c>
      <c r="DH41" s="731"/>
      <c r="DI41" s="884"/>
      <c r="DJ41" s="884"/>
      <c r="DK41" s="884"/>
      <c r="DL41" s="885"/>
      <c r="DM41" s="733"/>
      <c r="DN41" s="660" t="s">
        <v>390</v>
      </c>
      <c r="DO41" s="734"/>
      <c r="DP41" s="660" t="s">
        <v>390</v>
      </c>
      <c r="DQ41" s="735"/>
      <c r="DR41" s="660" t="s">
        <v>390</v>
      </c>
      <c r="DS41" s="735"/>
      <c r="DT41" s="660" t="s">
        <v>390</v>
      </c>
      <c r="DU41" s="735"/>
      <c r="DV41" s="660" t="s">
        <v>390</v>
      </c>
      <c r="DW41" s="735"/>
      <c r="DX41" s="660" t="s">
        <v>390</v>
      </c>
      <c r="DY41" s="735"/>
      <c r="DZ41" s="660" t="s">
        <v>390</v>
      </c>
      <c r="EA41" s="735"/>
      <c r="EB41" s="660" t="s">
        <v>390</v>
      </c>
      <c r="EC41" s="735"/>
      <c r="ED41" s="660" t="s">
        <v>390</v>
      </c>
      <c r="EE41" s="735" t="s">
        <v>402</v>
      </c>
      <c r="EF41" s="660" t="s">
        <v>390</v>
      </c>
      <c r="EG41" s="735" t="s">
        <v>402</v>
      </c>
      <c r="EH41" s="660" t="s">
        <v>390</v>
      </c>
      <c r="EI41" s="735"/>
      <c r="EJ41" s="660" t="s">
        <v>390</v>
      </c>
      <c r="EK41" s="735"/>
      <c r="EL41" s="660" t="s">
        <v>390</v>
      </c>
      <c r="EM41" s="735"/>
      <c r="EN41" s="660" t="s">
        <v>390</v>
      </c>
      <c r="EO41" s="735"/>
      <c r="EP41" s="660" t="s">
        <v>390</v>
      </c>
      <c r="EQ41" s="735"/>
      <c r="ER41" s="660" t="s">
        <v>390</v>
      </c>
      <c r="ES41" s="735"/>
      <c r="ET41" s="660" t="s">
        <v>390</v>
      </c>
      <c r="EU41" s="735"/>
      <c r="EV41" s="660" t="s">
        <v>390</v>
      </c>
      <c r="EW41" s="735"/>
      <c r="EX41" s="660" t="s">
        <v>390</v>
      </c>
      <c r="EY41" s="735"/>
      <c r="EZ41" s="660" t="s">
        <v>390</v>
      </c>
      <c r="FA41" s="735"/>
      <c r="FB41" s="660" t="s">
        <v>390</v>
      </c>
      <c r="FC41" s="735"/>
      <c r="FD41" s="660" t="s">
        <v>390</v>
      </c>
      <c r="FE41" s="735"/>
      <c r="FF41" s="660" t="s">
        <v>390</v>
      </c>
      <c r="FG41" s="735"/>
      <c r="FH41" s="662" t="s">
        <v>390</v>
      </c>
      <c r="FI41" s="739"/>
      <c r="FJ41" s="816" t="s">
        <v>414</v>
      </c>
      <c r="FK41" s="736"/>
      <c r="FL41" s="886"/>
      <c r="FM41" s="886"/>
      <c r="FN41" s="886"/>
      <c r="FO41" s="887"/>
      <c r="FP41" s="740"/>
      <c r="FQ41" s="666"/>
      <c r="FR41" s="660" t="s">
        <v>393</v>
      </c>
      <c r="FS41" s="741"/>
      <c r="FT41" s="666"/>
      <c r="FU41" s="668" t="s">
        <v>393</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551</v>
      </c>
      <c r="GV41" s="527"/>
      <c r="GW41" s="527"/>
      <c r="GX41" s="527"/>
      <c r="GY41" s="527"/>
      <c r="GZ41" s="527"/>
      <c r="HA41" s="883">
        <v>38.4</v>
      </c>
      <c r="HB41" s="414"/>
      <c r="HC41" s="527"/>
      <c r="HD41" s="410"/>
    </row>
    <row r="42" spans="1:219" ht="20.100000000000001" customHeight="1">
      <c r="A42" s="821"/>
      <c r="B42" s="892" t="s">
        <v>416</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416</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416</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416</v>
      </c>
      <c r="FL42" s="893"/>
      <c r="FM42" s="893"/>
      <c r="FN42" s="894"/>
      <c r="FO42" s="895"/>
      <c r="FP42" s="831"/>
      <c r="FQ42" s="827"/>
      <c r="FR42" s="826">
        <v>990</v>
      </c>
      <c r="FS42" s="832"/>
      <c r="FT42" s="827"/>
      <c r="FU42" s="798">
        <v>990</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417</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417</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417</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417</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418</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418</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418</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418</v>
      </c>
      <c r="FN44" s="639"/>
      <c r="FO44" s="639"/>
      <c r="FP44" s="647"/>
      <c r="FQ44" s="836"/>
      <c r="FR44" s="835">
        <v>990</v>
      </c>
      <c r="FS44" s="840"/>
      <c r="FT44" s="836"/>
      <c r="FU44" s="841">
        <v>990</v>
      </c>
      <c r="FV44" s="590" t="s">
        <v>319</v>
      </c>
      <c r="FW44" s="591"/>
      <c r="FX44" s="799" t="s">
        <v>320</v>
      </c>
      <c r="FY44" s="593"/>
      <c r="FZ44" s="800" t="s">
        <v>321</v>
      </c>
      <c r="GA44" s="595"/>
      <c r="GB44" s="801" t="s">
        <v>322</v>
      </c>
      <c r="GC44" s="597"/>
      <c r="GD44" s="801" t="s">
        <v>323</v>
      </c>
      <c r="GE44" s="598"/>
      <c r="GF44" s="651"/>
      <c r="GG44" s="652"/>
      <c r="GH44" s="652"/>
      <c r="GI44" s="652"/>
      <c r="GJ44" s="527"/>
      <c r="GK44" s="897"/>
      <c r="GL44" s="898"/>
      <c r="GM44" s="924">
        <v>4.5999999999999996</v>
      </c>
      <c r="GN44" s="924"/>
      <c r="GO44" s="924">
        <v>7</v>
      </c>
      <c r="GP44" s="924"/>
      <c r="GQ44" s="899">
        <v>11.6</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419</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922</v>
      </c>
      <c r="Y45" s="933"/>
      <c r="Z45" s="932">
        <v>892</v>
      </c>
      <c r="AA45" s="933"/>
      <c r="AB45" s="932">
        <v>912</v>
      </c>
      <c r="AC45" s="933"/>
      <c r="AD45" s="932">
        <v>922</v>
      </c>
      <c r="AE45" s="933"/>
      <c r="AF45" s="932">
        <v>933</v>
      </c>
      <c r="AG45" s="933"/>
      <c r="AH45" s="932">
        <v>933</v>
      </c>
      <c r="AI45" s="933"/>
      <c r="AJ45" s="932">
        <v>911</v>
      </c>
      <c r="AK45" s="933"/>
      <c r="AL45" s="932">
        <v>902</v>
      </c>
      <c r="AM45" s="933"/>
      <c r="AN45" s="932">
        <v>868</v>
      </c>
      <c r="AO45" s="933"/>
      <c r="AP45" s="932">
        <v>846</v>
      </c>
      <c r="AQ45" s="933"/>
      <c r="AR45" s="932">
        <v>0</v>
      </c>
      <c r="AS45" s="933"/>
      <c r="AT45" s="932">
        <v>0</v>
      </c>
      <c r="AU45" s="933"/>
      <c r="AV45" s="932">
        <v>0</v>
      </c>
      <c r="AW45" s="933"/>
      <c r="AX45" s="932">
        <v>0</v>
      </c>
      <c r="AY45" s="933"/>
      <c r="AZ45" s="932">
        <v>0</v>
      </c>
      <c r="BA45" s="933"/>
      <c r="BB45" s="934">
        <v>0</v>
      </c>
      <c r="BC45" s="645"/>
      <c r="BD45" s="928" t="s">
        <v>419</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910</v>
      </c>
      <c r="CB45" s="933"/>
      <c r="CC45" s="932">
        <v>869</v>
      </c>
      <c r="CD45" s="933"/>
      <c r="CE45" s="932">
        <v>901</v>
      </c>
      <c r="CF45" s="933"/>
      <c r="CG45" s="932">
        <v>910</v>
      </c>
      <c r="CH45" s="933"/>
      <c r="CI45" s="932">
        <v>917</v>
      </c>
      <c r="CJ45" s="933"/>
      <c r="CK45" s="932">
        <v>908</v>
      </c>
      <c r="CL45" s="933"/>
      <c r="CM45" s="932">
        <v>898</v>
      </c>
      <c r="CN45" s="933"/>
      <c r="CO45" s="932">
        <v>888</v>
      </c>
      <c r="CP45" s="933"/>
      <c r="CQ45" s="932">
        <v>868</v>
      </c>
      <c r="CR45" s="933"/>
      <c r="CS45" s="932">
        <v>836</v>
      </c>
      <c r="CT45" s="933"/>
      <c r="CU45" s="932">
        <v>0</v>
      </c>
      <c r="CV45" s="933"/>
      <c r="CW45" s="932">
        <v>0</v>
      </c>
      <c r="CX45" s="933"/>
      <c r="CY45" s="932">
        <v>0</v>
      </c>
      <c r="CZ45" s="933"/>
      <c r="DA45" s="932">
        <v>0</v>
      </c>
      <c r="DB45" s="933"/>
      <c r="DC45" s="932">
        <v>0</v>
      </c>
      <c r="DD45" s="933"/>
      <c r="DE45" s="934">
        <v>0</v>
      </c>
      <c r="DF45" s="645"/>
      <c r="DG45" s="928" t="s">
        <v>419</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819</v>
      </c>
      <c r="EE45" s="933"/>
      <c r="EF45" s="932">
        <v>787</v>
      </c>
      <c r="EG45" s="933"/>
      <c r="EH45" s="932">
        <v>818</v>
      </c>
      <c r="EI45" s="933"/>
      <c r="EJ45" s="932">
        <v>838</v>
      </c>
      <c r="EK45" s="933"/>
      <c r="EL45" s="932">
        <v>840</v>
      </c>
      <c r="EM45" s="933"/>
      <c r="EN45" s="932">
        <v>829</v>
      </c>
      <c r="EO45" s="933"/>
      <c r="EP45" s="932">
        <v>821</v>
      </c>
      <c r="EQ45" s="933"/>
      <c r="ER45" s="932">
        <v>817</v>
      </c>
      <c r="ES45" s="933"/>
      <c r="ET45" s="932">
        <v>785</v>
      </c>
      <c r="EU45" s="933"/>
      <c r="EV45" s="932">
        <v>754</v>
      </c>
      <c r="EW45" s="933"/>
      <c r="EX45" s="932">
        <v>0</v>
      </c>
      <c r="EY45" s="933"/>
      <c r="EZ45" s="932">
        <v>0</v>
      </c>
      <c r="FA45" s="933"/>
      <c r="FB45" s="932">
        <v>0</v>
      </c>
      <c r="FC45" s="933"/>
      <c r="FD45" s="932">
        <v>0</v>
      </c>
      <c r="FE45" s="933"/>
      <c r="FF45" s="932">
        <v>0</v>
      </c>
      <c r="FG45" s="933"/>
      <c r="FH45" s="934">
        <v>0</v>
      </c>
      <c r="FI45" s="645"/>
      <c r="FJ45" s="928" t="s">
        <v>419</v>
      </c>
      <c r="FK45" s="929"/>
      <c r="FL45" s="929"/>
      <c r="FM45" s="929"/>
      <c r="FN45" s="929"/>
      <c r="FO45" s="930"/>
      <c r="FP45" s="935"/>
      <c r="FQ45" s="936"/>
      <c r="FR45" s="932">
        <v>1834</v>
      </c>
      <c r="FS45" s="937"/>
      <c r="FT45" s="936"/>
      <c r="FU45" s="938">
        <v>1850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420</v>
      </c>
      <c r="B46" s="944"/>
      <c r="C46" s="944"/>
      <c r="D46" s="944"/>
      <c r="E46" s="944"/>
      <c r="F46" s="945"/>
      <c r="G46" s="946" t="s">
        <v>421</v>
      </c>
      <c r="H46" s="947"/>
      <c r="I46" s="948" t="s">
        <v>421</v>
      </c>
      <c r="J46" s="947"/>
      <c r="K46" s="948" t="s">
        <v>421</v>
      </c>
      <c r="L46" s="947"/>
      <c r="M46" s="948" t="s">
        <v>421</v>
      </c>
      <c r="N46" s="947"/>
      <c r="O46" s="948" t="s">
        <v>421</v>
      </c>
      <c r="P46" s="947"/>
      <c r="Q46" s="948" t="s">
        <v>421</v>
      </c>
      <c r="R46" s="947"/>
      <c r="S46" s="948" t="s">
        <v>421</v>
      </c>
      <c r="T46" s="947"/>
      <c r="U46" s="948" t="s">
        <v>421</v>
      </c>
      <c r="V46" s="947"/>
      <c r="W46" s="948" t="s">
        <v>421</v>
      </c>
      <c r="X46" s="947"/>
      <c r="Y46" s="948" t="s">
        <v>421</v>
      </c>
      <c r="Z46" s="947"/>
      <c r="AA46" s="948" t="s">
        <v>421</v>
      </c>
      <c r="AB46" s="947"/>
      <c r="AC46" s="948" t="s">
        <v>421</v>
      </c>
      <c r="AD46" s="947"/>
      <c r="AE46" s="948" t="s">
        <v>421</v>
      </c>
      <c r="AF46" s="947"/>
      <c r="AG46" s="948" t="s">
        <v>421</v>
      </c>
      <c r="AH46" s="947"/>
      <c r="AI46" s="948" t="s">
        <v>421</v>
      </c>
      <c r="AJ46" s="947"/>
      <c r="AK46" s="948" t="s">
        <v>421</v>
      </c>
      <c r="AL46" s="947"/>
      <c r="AM46" s="948" t="s">
        <v>421</v>
      </c>
      <c r="AN46" s="947"/>
      <c r="AO46" s="948" t="s">
        <v>421</v>
      </c>
      <c r="AP46" s="947"/>
      <c r="AQ46" s="948" t="s">
        <v>421</v>
      </c>
      <c r="AR46" s="947"/>
      <c r="AS46" s="948" t="s">
        <v>421</v>
      </c>
      <c r="AT46" s="947"/>
      <c r="AU46" s="948" t="s">
        <v>421</v>
      </c>
      <c r="AV46" s="947"/>
      <c r="AW46" s="948" t="s">
        <v>421</v>
      </c>
      <c r="AX46" s="947"/>
      <c r="AY46" s="948" t="s">
        <v>421</v>
      </c>
      <c r="AZ46" s="949"/>
      <c r="BA46" s="950" t="s">
        <v>421</v>
      </c>
      <c r="BB46" s="951"/>
      <c r="BC46" s="952"/>
      <c r="BD46" s="943" t="s">
        <v>420</v>
      </c>
      <c r="BE46" s="944"/>
      <c r="BF46" s="944"/>
      <c r="BG46" s="944"/>
      <c r="BH46" s="944"/>
      <c r="BI46" s="945"/>
      <c r="BJ46" s="946" t="s">
        <v>421</v>
      </c>
      <c r="BK46" s="947"/>
      <c r="BL46" s="948" t="s">
        <v>421</v>
      </c>
      <c r="BM46" s="947"/>
      <c r="BN46" s="948" t="s">
        <v>421</v>
      </c>
      <c r="BO46" s="947"/>
      <c r="BP46" s="948" t="s">
        <v>421</v>
      </c>
      <c r="BQ46" s="947"/>
      <c r="BR46" s="948" t="s">
        <v>421</v>
      </c>
      <c r="BS46" s="947"/>
      <c r="BT46" s="948" t="s">
        <v>421</v>
      </c>
      <c r="BU46" s="947"/>
      <c r="BV46" s="948" t="s">
        <v>421</v>
      </c>
      <c r="BW46" s="947"/>
      <c r="BX46" s="948" t="s">
        <v>421</v>
      </c>
      <c r="BY46" s="947"/>
      <c r="BZ46" s="948" t="s">
        <v>421</v>
      </c>
      <c r="CA46" s="947"/>
      <c r="CB46" s="948" t="s">
        <v>421</v>
      </c>
      <c r="CC46" s="947"/>
      <c r="CD46" s="948" t="s">
        <v>421</v>
      </c>
      <c r="CE46" s="947"/>
      <c r="CF46" s="948" t="s">
        <v>421</v>
      </c>
      <c r="CG46" s="947"/>
      <c r="CH46" s="948" t="s">
        <v>421</v>
      </c>
      <c r="CI46" s="947"/>
      <c r="CJ46" s="948" t="s">
        <v>421</v>
      </c>
      <c r="CK46" s="947"/>
      <c r="CL46" s="948" t="s">
        <v>421</v>
      </c>
      <c r="CM46" s="947"/>
      <c r="CN46" s="948" t="s">
        <v>421</v>
      </c>
      <c r="CO46" s="947"/>
      <c r="CP46" s="948" t="s">
        <v>421</v>
      </c>
      <c r="CQ46" s="947"/>
      <c r="CR46" s="948" t="s">
        <v>421</v>
      </c>
      <c r="CS46" s="947"/>
      <c r="CT46" s="948" t="s">
        <v>421</v>
      </c>
      <c r="CU46" s="947"/>
      <c r="CV46" s="948" t="s">
        <v>421</v>
      </c>
      <c r="CW46" s="947"/>
      <c r="CX46" s="948" t="s">
        <v>421</v>
      </c>
      <c r="CY46" s="947"/>
      <c r="CZ46" s="948" t="s">
        <v>421</v>
      </c>
      <c r="DA46" s="947"/>
      <c r="DB46" s="948" t="s">
        <v>421</v>
      </c>
      <c r="DC46" s="949"/>
      <c r="DD46" s="950" t="s">
        <v>421</v>
      </c>
      <c r="DE46" s="951"/>
      <c r="DF46" s="952"/>
      <c r="DG46" s="943" t="s">
        <v>420</v>
      </c>
      <c r="DH46" s="944"/>
      <c r="DI46" s="944"/>
      <c r="DJ46" s="944"/>
      <c r="DK46" s="944"/>
      <c r="DL46" s="945"/>
      <c r="DM46" s="946" t="s">
        <v>421</v>
      </c>
      <c r="DN46" s="947"/>
      <c r="DO46" s="948" t="s">
        <v>421</v>
      </c>
      <c r="DP46" s="947"/>
      <c r="DQ46" s="948" t="s">
        <v>421</v>
      </c>
      <c r="DR46" s="947"/>
      <c r="DS46" s="948" t="s">
        <v>421</v>
      </c>
      <c r="DT46" s="947"/>
      <c r="DU46" s="948" t="s">
        <v>421</v>
      </c>
      <c r="DV46" s="947"/>
      <c r="DW46" s="948" t="s">
        <v>421</v>
      </c>
      <c r="DX46" s="947"/>
      <c r="DY46" s="948" t="s">
        <v>421</v>
      </c>
      <c r="DZ46" s="947"/>
      <c r="EA46" s="948" t="s">
        <v>421</v>
      </c>
      <c r="EB46" s="947"/>
      <c r="EC46" s="948" t="s">
        <v>421</v>
      </c>
      <c r="ED46" s="947"/>
      <c r="EE46" s="948" t="s">
        <v>421</v>
      </c>
      <c r="EF46" s="947"/>
      <c r="EG46" s="948" t="s">
        <v>421</v>
      </c>
      <c r="EH46" s="947"/>
      <c r="EI46" s="948" t="s">
        <v>421</v>
      </c>
      <c r="EJ46" s="947"/>
      <c r="EK46" s="948" t="s">
        <v>421</v>
      </c>
      <c r="EL46" s="947"/>
      <c r="EM46" s="948" t="s">
        <v>421</v>
      </c>
      <c r="EN46" s="947"/>
      <c r="EO46" s="948" t="s">
        <v>421</v>
      </c>
      <c r="EP46" s="947"/>
      <c r="EQ46" s="948" t="s">
        <v>421</v>
      </c>
      <c r="ER46" s="947"/>
      <c r="ES46" s="948" t="s">
        <v>421</v>
      </c>
      <c r="ET46" s="947"/>
      <c r="EU46" s="948" t="s">
        <v>421</v>
      </c>
      <c r="EV46" s="947"/>
      <c r="EW46" s="948" t="s">
        <v>421</v>
      </c>
      <c r="EX46" s="947"/>
      <c r="EY46" s="948" t="s">
        <v>421</v>
      </c>
      <c r="EZ46" s="947"/>
      <c r="FA46" s="948" t="s">
        <v>421</v>
      </c>
      <c r="FB46" s="947"/>
      <c r="FC46" s="948" t="s">
        <v>421</v>
      </c>
      <c r="FD46" s="947"/>
      <c r="FE46" s="948" t="s">
        <v>421</v>
      </c>
      <c r="FF46" s="949"/>
      <c r="FG46" s="950" t="s">
        <v>421</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968</v>
      </c>
      <c r="Y47" s="965"/>
      <c r="Z47" s="964">
        <v>937</v>
      </c>
      <c r="AA47" s="965"/>
      <c r="AB47" s="964">
        <v>958</v>
      </c>
      <c r="AC47" s="965"/>
      <c r="AD47" s="964">
        <v>968</v>
      </c>
      <c r="AE47" s="965"/>
      <c r="AF47" s="964">
        <v>980</v>
      </c>
      <c r="AG47" s="965"/>
      <c r="AH47" s="964">
        <v>980</v>
      </c>
      <c r="AI47" s="965"/>
      <c r="AJ47" s="964">
        <v>957</v>
      </c>
      <c r="AK47" s="965"/>
      <c r="AL47" s="964">
        <v>947</v>
      </c>
      <c r="AM47" s="965"/>
      <c r="AN47" s="964">
        <v>911</v>
      </c>
      <c r="AO47" s="965"/>
      <c r="AP47" s="964">
        <v>888</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956</v>
      </c>
      <c r="CB47" s="965"/>
      <c r="CC47" s="964">
        <v>912</v>
      </c>
      <c r="CD47" s="965"/>
      <c r="CE47" s="964">
        <v>946</v>
      </c>
      <c r="CF47" s="965"/>
      <c r="CG47" s="964">
        <v>956</v>
      </c>
      <c r="CH47" s="965"/>
      <c r="CI47" s="964">
        <v>963</v>
      </c>
      <c r="CJ47" s="965"/>
      <c r="CK47" s="964">
        <v>953</v>
      </c>
      <c r="CL47" s="965"/>
      <c r="CM47" s="964">
        <v>943</v>
      </c>
      <c r="CN47" s="965"/>
      <c r="CO47" s="964">
        <v>932</v>
      </c>
      <c r="CP47" s="965"/>
      <c r="CQ47" s="964">
        <v>911</v>
      </c>
      <c r="CR47" s="965"/>
      <c r="CS47" s="964">
        <v>878</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860</v>
      </c>
      <c r="EE47" s="965"/>
      <c r="EF47" s="964">
        <v>826</v>
      </c>
      <c r="EG47" s="965"/>
      <c r="EH47" s="964">
        <v>859</v>
      </c>
      <c r="EI47" s="965"/>
      <c r="EJ47" s="964">
        <v>880</v>
      </c>
      <c r="EK47" s="965"/>
      <c r="EL47" s="964">
        <v>882</v>
      </c>
      <c r="EM47" s="965"/>
      <c r="EN47" s="964">
        <v>870</v>
      </c>
      <c r="EO47" s="965"/>
      <c r="EP47" s="964">
        <v>862</v>
      </c>
      <c r="EQ47" s="965"/>
      <c r="ER47" s="964">
        <v>858</v>
      </c>
      <c r="ES47" s="965"/>
      <c r="ET47" s="964">
        <v>824</v>
      </c>
      <c r="EU47" s="965"/>
      <c r="EV47" s="964">
        <v>792</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1834</v>
      </c>
      <c r="FS47" s="973"/>
      <c r="FT47" s="972"/>
      <c r="FU47" s="974">
        <v>1850</v>
      </c>
      <c r="FV47" s="975">
        <v>14</v>
      </c>
      <c r="FW47" s="964">
        <v>980</v>
      </c>
      <c r="FX47" s="976">
        <v>13</v>
      </c>
      <c r="FY47" s="964">
        <v>963</v>
      </c>
      <c r="FZ47" s="976">
        <v>13</v>
      </c>
      <c r="GA47" s="964">
        <v>882</v>
      </c>
      <c r="GB47" s="977" t="s">
        <v>540</v>
      </c>
      <c r="GC47" s="964">
        <v>980</v>
      </c>
      <c r="GD47" s="977" t="s">
        <v>352</v>
      </c>
      <c r="GE47" s="978">
        <v>1850</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390</v>
      </c>
      <c r="I48" s="735" t="s">
        <v>427</v>
      </c>
      <c r="J48" s="982" t="s">
        <v>390</v>
      </c>
      <c r="K48" s="735" t="s">
        <v>427</v>
      </c>
      <c r="L48" s="982" t="s">
        <v>390</v>
      </c>
      <c r="M48" s="735" t="s">
        <v>427</v>
      </c>
      <c r="N48" s="982" t="s">
        <v>390</v>
      </c>
      <c r="O48" s="735" t="s">
        <v>427</v>
      </c>
      <c r="P48" s="982" t="s">
        <v>390</v>
      </c>
      <c r="Q48" s="735" t="s">
        <v>427</v>
      </c>
      <c r="R48" s="982" t="s">
        <v>390</v>
      </c>
      <c r="S48" s="735" t="s">
        <v>427</v>
      </c>
      <c r="T48" s="982" t="s">
        <v>390</v>
      </c>
      <c r="U48" s="735" t="s">
        <v>427</v>
      </c>
      <c r="V48" s="982" t="s">
        <v>390</v>
      </c>
      <c r="W48" s="735" t="s">
        <v>427</v>
      </c>
      <c r="X48" s="982" t="s">
        <v>390</v>
      </c>
      <c r="Y48" s="735" t="s">
        <v>427</v>
      </c>
      <c r="Z48" s="982" t="s">
        <v>390</v>
      </c>
      <c r="AA48" s="735" t="s">
        <v>427</v>
      </c>
      <c r="AB48" s="982" t="s">
        <v>390</v>
      </c>
      <c r="AC48" s="735" t="s">
        <v>427</v>
      </c>
      <c r="AD48" s="982" t="s">
        <v>390</v>
      </c>
      <c r="AE48" s="735" t="s">
        <v>427</v>
      </c>
      <c r="AF48" s="982" t="s">
        <v>390</v>
      </c>
      <c r="AG48" s="735" t="s">
        <v>427</v>
      </c>
      <c r="AH48" s="982" t="s">
        <v>390</v>
      </c>
      <c r="AI48" s="735" t="s">
        <v>427</v>
      </c>
      <c r="AJ48" s="982" t="s">
        <v>390</v>
      </c>
      <c r="AK48" s="735" t="s">
        <v>427</v>
      </c>
      <c r="AL48" s="982" t="s">
        <v>390</v>
      </c>
      <c r="AM48" s="735" t="s">
        <v>427</v>
      </c>
      <c r="AN48" s="982" t="s">
        <v>390</v>
      </c>
      <c r="AO48" s="735" t="s">
        <v>427</v>
      </c>
      <c r="AP48" s="982" t="s">
        <v>390</v>
      </c>
      <c r="AQ48" s="735" t="s">
        <v>427</v>
      </c>
      <c r="AR48" s="982" t="s">
        <v>390</v>
      </c>
      <c r="AS48" s="735" t="s">
        <v>427</v>
      </c>
      <c r="AT48" s="982" t="s">
        <v>390</v>
      </c>
      <c r="AU48" s="735" t="s">
        <v>427</v>
      </c>
      <c r="AV48" s="982" t="s">
        <v>390</v>
      </c>
      <c r="AW48" s="735" t="s">
        <v>427</v>
      </c>
      <c r="AX48" s="982" t="s">
        <v>390</v>
      </c>
      <c r="AY48" s="735" t="s">
        <v>427</v>
      </c>
      <c r="AZ48" s="983" t="s">
        <v>390</v>
      </c>
      <c r="BA48" s="984" t="s">
        <v>427</v>
      </c>
      <c r="BB48" s="985" t="s">
        <v>390</v>
      </c>
      <c r="BC48" s="921"/>
      <c r="BD48" s="980" t="s">
        <v>425</v>
      </c>
      <c r="BE48" s="981" t="s">
        <v>426</v>
      </c>
      <c r="BF48" s="884"/>
      <c r="BG48" s="814"/>
      <c r="BH48" s="814"/>
      <c r="BI48" s="815"/>
      <c r="BJ48" s="733" t="s">
        <v>427</v>
      </c>
      <c r="BK48" s="660" t="s">
        <v>390</v>
      </c>
      <c r="BL48" s="735" t="s">
        <v>427</v>
      </c>
      <c r="BM48" s="982" t="s">
        <v>390</v>
      </c>
      <c r="BN48" s="735" t="s">
        <v>427</v>
      </c>
      <c r="BO48" s="982" t="s">
        <v>390</v>
      </c>
      <c r="BP48" s="735" t="s">
        <v>427</v>
      </c>
      <c r="BQ48" s="982" t="s">
        <v>390</v>
      </c>
      <c r="BR48" s="735" t="s">
        <v>427</v>
      </c>
      <c r="BS48" s="982" t="s">
        <v>390</v>
      </c>
      <c r="BT48" s="735" t="s">
        <v>427</v>
      </c>
      <c r="BU48" s="982" t="s">
        <v>390</v>
      </c>
      <c r="BV48" s="735" t="s">
        <v>427</v>
      </c>
      <c r="BW48" s="982" t="s">
        <v>390</v>
      </c>
      <c r="BX48" s="735" t="s">
        <v>427</v>
      </c>
      <c r="BY48" s="982" t="s">
        <v>390</v>
      </c>
      <c r="BZ48" s="735" t="s">
        <v>427</v>
      </c>
      <c r="CA48" s="982" t="s">
        <v>390</v>
      </c>
      <c r="CB48" s="735" t="s">
        <v>427</v>
      </c>
      <c r="CC48" s="982" t="s">
        <v>390</v>
      </c>
      <c r="CD48" s="735" t="s">
        <v>427</v>
      </c>
      <c r="CE48" s="982" t="s">
        <v>390</v>
      </c>
      <c r="CF48" s="735" t="s">
        <v>427</v>
      </c>
      <c r="CG48" s="982" t="s">
        <v>390</v>
      </c>
      <c r="CH48" s="735" t="s">
        <v>427</v>
      </c>
      <c r="CI48" s="982" t="s">
        <v>390</v>
      </c>
      <c r="CJ48" s="735" t="s">
        <v>427</v>
      </c>
      <c r="CK48" s="982" t="s">
        <v>390</v>
      </c>
      <c r="CL48" s="735" t="s">
        <v>427</v>
      </c>
      <c r="CM48" s="982" t="s">
        <v>390</v>
      </c>
      <c r="CN48" s="735" t="s">
        <v>427</v>
      </c>
      <c r="CO48" s="982" t="s">
        <v>390</v>
      </c>
      <c r="CP48" s="735" t="s">
        <v>427</v>
      </c>
      <c r="CQ48" s="982" t="s">
        <v>390</v>
      </c>
      <c r="CR48" s="735" t="s">
        <v>427</v>
      </c>
      <c r="CS48" s="982" t="s">
        <v>390</v>
      </c>
      <c r="CT48" s="735" t="s">
        <v>427</v>
      </c>
      <c r="CU48" s="982" t="s">
        <v>390</v>
      </c>
      <c r="CV48" s="735" t="s">
        <v>427</v>
      </c>
      <c r="CW48" s="982" t="s">
        <v>390</v>
      </c>
      <c r="CX48" s="735" t="s">
        <v>427</v>
      </c>
      <c r="CY48" s="982" t="s">
        <v>390</v>
      </c>
      <c r="CZ48" s="735" t="s">
        <v>427</v>
      </c>
      <c r="DA48" s="982" t="s">
        <v>390</v>
      </c>
      <c r="DB48" s="735" t="s">
        <v>427</v>
      </c>
      <c r="DC48" s="983" t="s">
        <v>390</v>
      </c>
      <c r="DD48" s="984" t="s">
        <v>427</v>
      </c>
      <c r="DE48" s="985" t="s">
        <v>390</v>
      </c>
      <c r="DF48" s="921"/>
      <c r="DG48" s="980" t="s">
        <v>425</v>
      </c>
      <c r="DH48" s="981" t="s">
        <v>426</v>
      </c>
      <c r="DI48" s="884"/>
      <c r="DJ48" s="814"/>
      <c r="DK48" s="814"/>
      <c r="DL48" s="815"/>
      <c r="DM48" s="733" t="s">
        <v>427</v>
      </c>
      <c r="DN48" s="660" t="s">
        <v>390</v>
      </c>
      <c r="DO48" s="735" t="s">
        <v>427</v>
      </c>
      <c r="DP48" s="982" t="s">
        <v>390</v>
      </c>
      <c r="DQ48" s="735" t="s">
        <v>427</v>
      </c>
      <c r="DR48" s="982" t="s">
        <v>390</v>
      </c>
      <c r="DS48" s="735" t="s">
        <v>427</v>
      </c>
      <c r="DT48" s="982" t="s">
        <v>390</v>
      </c>
      <c r="DU48" s="735" t="s">
        <v>427</v>
      </c>
      <c r="DV48" s="982" t="s">
        <v>390</v>
      </c>
      <c r="DW48" s="735" t="s">
        <v>427</v>
      </c>
      <c r="DX48" s="982" t="s">
        <v>390</v>
      </c>
      <c r="DY48" s="735" t="s">
        <v>427</v>
      </c>
      <c r="DZ48" s="982" t="s">
        <v>390</v>
      </c>
      <c r="EA48" s="735" t="s">
        <v>427</v>
      </c>
      <c r="EB48" s="982" t="s">
        <v>390</v>
      </c>
      <c r="EC48" s="735" t="s">
        <v>427</v>
      </c>
      <c r="ED48" s="982" t="s">
        <v>390</v>
      </c>
      <c r="EE48" s="735" t="s">
        <v>427</v>
      </c>
      <c r="EF48" s="982" t="s">
        <v>390</v>
      </c>
      <c r="EG48" s="735" t="s">
        <v>427</v>
      </c>
      <c r="EH48" s="982" t="s">
        <v>390</v>
      </c>
      <c r="EI48" s="735" t="s">
        <v>427</v>
      </c>
      <c r="EJ48" s="982" t="s">
        <v>390</v>
      </c>
      <c r="EK48" s="735" t="s">
        <v>427</v>
      </c>
      <c r="EL48" s="982" t="s">
        <v>390</v>
      </c>
      <c r="EM48" s="735" t="s">
        <v>427</v>
      </c>
      <c r="EN48" s="982" t="s">
        <v>390</v>
      </c>
      <c r="EO48" s="735" t="s">
        <v>427</v>
      </c>
      <c r="EP48" s="982" t="s">
        <v>390</v>
      </c>
      <c r="EQ48" s="735" t="s">
        <v>427</v>
      </c>
      <c r="ER48" s="982" t="s">
        <v>390</v>
      </c>
      <c r="ES48" s="735" t="s">
        <v>427</v>
      </c>
      <c r="ET48" s="982" t="s">
        <v>390</v>
      </c>
      <c r="EU48" s="735" t="s">
        <v>427</v>
      </c>
      <c r="EV48" s="982" t="s">
        <v>390</v>
      </c>
      <c r="EW48" s="735" t="s">
        <v>427</v>
      </c>
      <c r="EX48" s="982" t="s">
        <v>390</v>
      </c>
      <c r="EY48" s="735" t="s">
        <v>427</v>
      </c>
      <c r="EZ48" s="982" t="s">
        <v>390</v>
      </c>
      <c r="FA48" s="735" t="s">
        <v>427</v>
      </c>
      <c r="FB48" s="982" t="s">
        <v>390</v>
      </c>
      <c r="FC48" s="735" t="s">
        <v>427</v>
      </c>
      <c r="FD48" s="982" t="s">
        <v>390</v>
      </c>
      <c r="FE48" s="735" t="s">
        <v>427</v>
      </c>
      <c r="FF48" s="983" t="s">
        <v>390</v>
      </c>
      <c r="FG48" s="984" t="s">
        <v>427</v>
      </c>
      <c r="FH48" s="985" t="s">
        <v>390</v>
      </c>
      <c r="FI48" s="921"/>
      <c r="FJ48" s="980" t="s">
        <v>425</v>
      </c>
      <c r="FK48" s="731" t="s">
        <v>426</v>
      </c>
      <c r="FL48" s="884"/>
      <c r="FM48" s="814"/>
      <c r="FN48" s="814"/>
      <c r="FO48" s="815"/>
      <c r="FP48" s="740" t="s">
        <v>392</v>
      </c>
      <c r="FQ48" s="666" t="s">
        <v>427</v>
      </c>
      <c r="FR48" s="660" t="s">
        <v>393</v>
      </c>
      <c r="FS48" s="986" t="s">
        <v>392</v>
      </c>
      <c r="FT48" s="666" t="s">
        <v>427</v>
      </c>
      <c r="FU48" s="987" t="s">
        <v>393</v>
      </c>
      <c r="FV48" s="988"/>
      <c r="FW48" s="982" t="s">
        <v>315</v>
      </c>
      <c r="FX48" s="986"/>
      <c r="FY48" s="982" t="s">
        <v>315</v>
      </c>
      <c r="FZ48" s="986"/>
      <c r="GA48" s="982" t="s">
        <v>315</v>
      </c>
      <c r="GB48" s="986"/>
      <c r="GC48" s="982" t="s">
        <v>315</v>
      </c>
      <c r="GD48" s="986"/>
      <c r="GE48" s="989" t="s">
        <v>316</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394</v>
      </c>
      <c r="C49" s="991"/>
      <c r="D49" s="747">
        <v>53</v>
      </c>
      <c r="E49" s="748">
        <v>4</v>
      </c>
      <c r="F49" s="992" t="s">
        <v>395</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394</v>
      </c>
      <c r="BF49" s="991"/>
      <c r="BG49" s="747"/>
      <c r="BH49" s="748">
        <v>4</v>
      </c>
      <c r="BI49" s="992" t="s">
        <v>395</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394</v>
      </c>
      <c r="DI49" s="991"/>
      <c r="DJ49" s="747"/>
      <c r="DK49" s="748">
        <v>4</v>
      </c>
      <c r="DL49" s="992" t="s">
        <v>395</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394</v>
      </c>
      <c r="FL49" s="991"/>
      <c r="FM49" s="752"/>
      <c r="FN49" s="748">
        <v>0</v>
      </c>
      <c r="FO49" s="992"/>
      <c r="FP49" s="678"/>
      <c r="FQ49" s="753"/>
      <c r="FR49" s="584">
        <v>0</v>
      </c>
      <c r="FS49" s="754"/>
      <c r="FT49" s="753"/>
      <c r="FU49" s="564">
        <v>0</v>
      </c>
      <c r="FV49" s="997" t="s">
        <v>324</v>
      </c>
      <c r="FW49" s="998"/>
      <c r="FX49" s="999" t="s">
        <v>325</v>
      </c>
      <c r="FY49" s="1000"/>
      <c r="FZ49" s="1001" t="s">
        <v>326</v>
      </c>
      <c r="GA49" s="1002"/>
      <c r="GB49" s="1003" t="s">
        <v>327</v>
      </c>
      <c r="GC49" s="1004"/>
      <c r="GD49" s="1003" t="s">
        <v>328</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401</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401</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401</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401</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548</v>
      </c>
      <c r="GV50" s="577"/>
      <c r="GW50" s="577"/>
      <c r="GX50" s="577"/>
      <c r="GY50" s="612"/>
      <c r="GZ50" s="576"/>
      <c r="HA50" s="612">
        <v>36.6</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392</v>
      </c>
      <c r="GM51" s="1036" t="s">
        <v>505</v>
      </c>
      <c r="GN51" s="1037" t="s">
        <v>506</v>
      </c>
      <c r="GO51" s="1038" t="s">
        <v>507</v>
      </c>
      <c r="GP51" s="1038" t="s">
        <v>486</v>
      </c>
      <c r="GQ51" s="1039" t="s">
        <v>487</v>
      </c>
      <c r="GR51" s="726"/>
      <c r="GS51" s="942"/>
      <c r="GT51" s="756"/>
      <c r="GU51" s="577" t="s">
        <v>508</v>
      </c>
      <c r="GV51" s="577"/>
      <c r="GW51" s="577"/>
      <c r="GX51" s="577"/>
      <c r="GY51" s="414"/>
      <c r="GZ51" s="1040"/>
      <c r="HA51" s="612">
        <v>36.6</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14</v>
      </c>
      <c r="FW52" s="1058">
        <v>212</v>
      </c>
      <c r="FX52" s="1059">
        <v>13</v>
      </c>
      <c r="FY52" s="1058">
        <v>212</v>
      </c>
      <c r="FZ52" s="1059">
        <v>13</v>
      </c>
      <c r="GA52" s="1058">
        <v>212</v>
      </c>
      <c r="GB52" s="1060" t="s">
        <v>540</v>
      </c>
      <c r="GC52" s="1061">
        <v>212</v>
      </c>
      <c r="GD52" s="1060" t="s">
        <v>352</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1180</v>
      </c>
      <c r="Y53" s="1075"/>
      <c r="Z53" s="1074">
        <v>1149</v>
      </c>
      <c r="AA53" s="1075"/>
      <c r="AB53" s="1074">
        <v>1170</v>
      </c>
      <c r="AC53" s="1075"/>
      <c r="AD53" s="1074">
        <v>1180</v>
      </c>
      <c r="AE53" s="1075"/>
      <c r="AF53" s="1074">
        <v>1192</v>
      </c>
      <c r="AG53" s="1075"/>
      <c r="AH53" s="1074">
        <v>1192</v>
      </c>
      <c r="AI53" s="1075"/>
      <c r="AJ53" s="1074">
        <v>1169</v>
      </c>
      <c r="AK53" s="1075"/>
      <c r="AL53" s="1074">
        <v>1159</v>
      </c>
      <c r="AM53" s="1075"/>
      <c r="AN53" s="1074">
        <v>1123</v>
      </c>
      <c r="AO53" s="1075"/>
      <c r="AP53" s="1074">
        <v>1100</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1168</v>
      </c>
      <c r="CB53" s="1075"/>
      <c r="CC53" s="1074">
        <v>1124</v>
      </c>
      <c r="CD53" s="1075"/>
      <c r="CE53" s="1074">
        <v>1158</v>
      </c>
      <c r="CF53" s="1075"/>
      <c r="CG53" s="1074">
        <v>1168</v>
      </c>
      <c r="CH53" s="1075"/>
      <c r="CI53" s="1074">
        <v>1175</v>
      </c>
      <c r="CJ53" s="1075"/>
      <c r="CK53" s="1074">
        <v>1165</v>
      </c>
      <c r="CL53" s="1075"/>
      <c r="CM53" s="1074">
        <v>1155</v>
      </c>
      <c r="CN53" s="1075"/>
      <c r="CO53" s="1074">
        <v>1144</v>
      </c>
      <c r="CP53" s="1075"/>
      <c r="CQ53" s="1074">
        <v>1123</v>
      </c>
      <c r="CR53" s="1075"/>
      <c r="CS53" s="1074">
        <v>1090</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1072</v>
      </c>
      <c r="EE53" s="1075"/>
      <c r="EF53" s="1074">
        <v>1038</v>
      </c>
      <c r="EG53" s="1075"/>
      <c r="EH53" s="1074">
        <v>1071</v>
      </c>
      <c r="EI53" s="1075"/>
      <c r="EJ53" s="1074">
        <v>1092</v>
      </c>
      <c r="EK53" s="1075"/>
      <c r="EL53" s="1074">
        <v>1094</v>
      </c>
      <c r="EM53" s="1075"/>
      <c r="EN53" s="1074">
        <v>1082</v>
      </c>
      <c r="EO53" s="1075"/>
      <c r="EP53" s="1074">
        <v>1074</v>
      </c>
      <c r="EQ53" s="1075"/>
      <c r="ER53" s="1074">
        <v>1070</v>
      </c>
      <c r="ES53" s="1075"/>
      <c r="ET53" s="1074">
        <v>1036</v>
      </c>
      <c r="EU53" s="1075"/>
      <c r="EV53" s="1074">
        <v>1004</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1834</v>
      </c>
      <c r="FS53" s="1082"/>
      <c r="FT53" s="1081"/>
      <c r="FU53" s="1083">
        <v>1850</v>
      </c>
      <c r="FV53" s="1084">
        <v>14</v>
      </c>
      <c r="FW53" s="1085">
        <v>1192</v>
      </c>
      <c r="FX53" s="1086">
        <v>13</v>
      </c>
      <c r="FY53" s="1085">
        <v>1175</v>
      </c>
      <c r="FZ53" s="1086">
        <v>13</v>
      </c>
      <c r="GA53" s="1085">
        <v>1094</v>
      </c>
      <c r="GB53" s="1087" t="s">
        <v>540</v>
      </c>
      <c r="GC53" s="1085">
        <v>1192</v>
      </c>
      <c r="GD53" s="1087" t="s">
        <v>352</v>
      </c>
      <c r="GE53" s="1088">
        <v>1850</v>
      </c>
      <c r="GF53" s="681"/>
      <c r="GG53" s="979"/>
      <c r="GH53" s="979"/>
      <c r="GI53" s="979"/>
      <c r="GJ53" s="942"/>
      <c r="GK53" s="414"/>
      <c r="GL53" s="1089">
        <v>10</v>
      </c>
      <c r="GM53" s="1090">
        <v>1</v>
      </c>
      <c r="GN53" s="1091">
        <v>0.92</v>
      </c>
      <c r="GO53" s="1092">
        <v>4.2</v>
      </c>
      <c r="GP53" s="1092">
        <v>7</v>
      </c>
      <c r="GQ53" s="1093">
        <v>11.2</v>
      </c>
      <c r="GR53" s="577"/>
      <c r="GS53" s="480"/>
      <c r="GT53" s="850"/>
      <c r="GU53" s="577" t="s">
        <v>549</v>
      </c>
      <c r="GV53" s="577"/>
      <c r="GW53" s="577"/>
      <c r="GX53" s="577"/>
      <c r="GY53" s="414"/>
      <c r="GZ53" s="410"/>
      <c r="HA53" s="612">
        <v>38.4</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89.4</v>
      </c>
      <c r="Y54" s="1102"/>
      <c r="Z54" s="1101">
        <v>87</v>
      </c>
      <c r="AA54" s="1102"/>
      <c r="AB54" s="1101">
        <v>88.6</v>
      </c>
      <c r="AC54" s="1102"/>
      <c r="AD54" s="1101">
        <v>89.4</v>
      </c>
      <c r="AE54" s="1102"/>
      <c r="AF54" s="1101">
        <v>90.3</v>
      </c>
      <c r="AG54" s="1102"/>
      <c r="AH54" s="1101">
        <v>90.3</v>
      </c>
      <c r="AI54" s="1102"/>
      <c r="AJ54" s="1101">
        <v>88.6</v>
      </c>
      <c r="AK54" s="1102"/>
      <c r="AL54" s="1101">
        <v>87.8</v>
      </c>
      <c r="AM54" s="1102"/>
      <c r="AN54" s="1101">
        <v>85.1</v>
      </c>
      <c r="AO54" s="1102"/>
      <c r="AP54" s="1101">
        <v>83.3</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88.5</v>
      </c>
      <c r="CB54" s="1102"/>
      <c r="CC54" s="1101">
        <v>85.2</v>
      </c>
      <c r="CD54" s="1102"/>
      <c r="CE54" s="1101">
        <v>87.7</v>
      </c>
      <c r="CF54" s="1102"/>
      <c r="CG54" s="1101">
        <v>88.5</v>
      </c>
      <c r="CH54" s="1102"/>
      <c r="CI54" s="1101">
        <v>89</v>
      </c>
      <c r="CJ54" s="1102"/>
      <c r="CK54" s="1101">
        <v>88.3</v>
      </c>
      <c r="CL54" s="1102"/>
      <c r="CM54" s="1101">
        <v>87.5</v>
      </c>
      <c r="CN54" s="1102"/>
      <c r="CO54" s="1101">
        <v>86.7</v>
      </c>
      <c r="CP54" s="1102"/>
      <c r="CQ54" s="1101">
        <v>85.1</v>
      </c>
      <c r="CR54" s="1102"/>
      <c r="CS54" s="1101">
        <v>82.6</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81.2</v>
      </c>
      <c r="EE54" s="1102"/>
      <c r="EF54" s="1101">
        <v>78.599999999999994</v>
      </c>
      <c r="EG54" s="1102"/>
      <c r="EH54" s="1101">
        <v>81.099999999999994</v>
      </c>
      <c r="EI54" s="1102"/>
      <c r="EJ54" s="1101">
        <v>82.7</v>
      </c>
      <c r="EK54" s="1102"/>
      <c r="EL54" s="1101">
        <v>82.9</v>
      </c>
      <c r="EM54" s="1102"/>
      <c r="EN54" s="1101">
        <v>82</v>
      </c>
      <c r="EO54" s="1102"/>
      <c r="EP54" s="1101">
        <v>81.400000000000006</v>
      </c>
      <c r="EQ54" s="1102"/>
      <c r="ER54" s="1101">
        <v>81.099999999999994</v>
      </c>
      <c r="ES54" s="1102"/>
      <c r="ET54" s="1101">
        <v>78.5</v>
      </c>
      <c r="EU54" s="1102"/>
      <c r="EV54" s="1101">
        <v>76.099999999999994</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138.9</v>
      </c>
      <c r="FS54" s="1105"/>
      <c r="FT54" s="1102"/>
      <c r="FU54" s="1106">
        <v>140.19999999999999</v>
      </c>
      <c r="FV54" s="1105"/>
      <c r="FW54" s="1101">
        <f>IF(面積=0,0,ROUND(FW53/面積,1))</f>
        <v>90.3</v>
      </c>
      <c r="FX54" s="1105"/>
      <c r="FY54" s="1101">
        <f>IF(面積=0,0,ROUND(FY53/面積,1))</f>
        <v>89</v>
      </c>
      <c r="FZ54" s="1105"/>
      <c r="GA54" s="1101">
        <f>IF(面積=0,0,ROUND(GA53/面積,1))</f>
        <v>82.9</v>
      </c>
      <c r="GB54" s="1105"/>
      <c r="GC54" s="1101">
        <f>IF(面積=0,0,ROUND(GC53/面積,1))</f>
        <v>90.3</v>
      </c>
      <c r="GD54" s="1105"/>
      <c r="GE54" s="1103">
        <f>IF(面積=0,0,ROUND(GE53/面積,1))</f>
        <v>140.19999999999999</v>
      </c>
      <c r="GF54" s="681"/>
      <c r="GG54" s="926"/>
      <c r="GH54" s="926"/>
      <c r="GI54" s="926"/>
      <c r="GJ54" s="577"/>
      <c r="GK54" s="576"/>
      <c r="GL54" s="1089">
        <v>11</v>
      </c>
      <c r="GM54" s="1090">
        <v>2</v>
      </c>
      <c r="GN54" s="1091">
        <v>0.85</v>
      </c>
      <c r="GO54" s="1092">
        <v>3.9</v>
      </c>
      <c r="GP54" s="1092">
        <v>7</v>
      </c>
      <c r="GQ54" s="1093">
        <v>10.9</v>
      </c>
      <c r="GR54" s="527"/>
      <c r="GS54" s="577"/>
      <c r="GT54" s="850"/>
      <c r="GU54" s="1107" t="s">
        <v>510</v>
      </c>
      <c r="GV54" s="1107"/>
      <c r="GW54" s="1107"/>
      <c r="GX54" s="1107"/>
      <c r="GY54" s="768"/>
      <c r="GZ54" s="1108"/>
      <c r="HA54" s="1109">
        <v>75</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329</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329</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329</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330</v>
      </c>
      <c r="FK56" s="1118"/>
      <c r="FL56" s="1118"/>
      <c r="FM56" s="1118"/>
      <c r="FN56" s="1119"/>
      <c r="FO56" s="1119"/>
      <c r="FP56" s="1125" t="s">
        <v>36</v>
      </c>
      <c r="FQ56" s="1126"/>
      <c r="FR56" s="1127"/>
      <c r="FS56" s="1128" t="s">
        <v>291</v>
      </c>
      <c r="FT56" s="1129"/>
      <c r="FU56" s="1130"/>
      <c r="FV56" s="1131" t="s">
        <v>331</v>
      </c>
      <c r="FW56" s="1132"/>
      <c r="FX56" s="1133" t="s">
        <v>332</v>
      </c>
      <c r="FY56" s="1134"/>
      <c r="FZ56" s="1135" t="s">
        <v>333</v>
      </c>
      <c r="GA56" s="1136"/>
      <c r="GB56" s="1137" t="s">
        <v>334</v>
      </c>
      <c r="GC56" s="1122"/>
      <c r="GD56" s="1137" t="s">
        <v>335</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336</v>
      </c>
      <c r="H57" s="1143" t="s">
        <v>315</v>
      </c>
      <c r="I57" s="1144" t="s">
        <v>336</v>
      </c>
      <c r="J57" s="1143" t="s">
        <v>315</v>
      </c>
      <c r="K57" s="1144" t="s">
        <v>336</v>
      </c>
      <c r="L57" s="1143" t="s">
        <v>315</v>
      </c>
      <c r="M57" s="1144" t="s">
        <v>336</v>
      </c>
      <c r="N57" s="1143" t="s">
        <v>315</v>
      </c>
      <c r="O57" s="1144" t="s">
        <v>336</v>
      </c>
      <c r="P57" s="1143" t="s">
        <v>315</v>
      </c>
      <c r="Q57" s="1144" t="s">
        <v>336</v>
      </c>
      <c r="R57" s="1143" t="s">
        <v>315</v>
      </c>
      <c r="S57" s="1144" t="s">
        <v>336</v>
      </c>
      <c r="T57" s="1143" t="s">
        <v>315</v>
      </c>
      <c r="U57" s="1144" t="s">
        <v>336</v>
      </c>
      <c r="V57" s="1143" t="s">
        <v>315</v>
      </c>
      <c r="W57" s="1144" t="s">
        <v>336</v>
      </c>
      <c r="X57" s="1143" t="s">
        <v>315</v>
      </c>
      <c r="Y57" s="1144" t="s">
        <v>336</v>
      </c>
      <c r="Z57" s="1143" t="s">
        <v>315</v>
      </c>
      <c r="AA57" s="1144" t="s">
        <v>336</v>
      </c>
      <c r="AB57" s="1143" t="s">
        <v>315</v>
      </c>
      <c r="AC57" s="1144" t="s">
        <v>336</v>
      </c>
      <c r="AD57" s="1143" t="s">
        <v>336</v>
      </c>
      <c r="AE57" s="1144" t="s">
        <v>336</v>
      </c>
      <c r="AF57" s="1143" t="s">
        <v>315</v>
      </c>
      <c r="AG57" s="1144" t="s">
        <v>336</v>
      </c>
      <c r="AH57" s="1143" t="s">
        <v>315</v>
      </c>
      <c r="AI57" s="1144" t="s">
        <v>336</v>
      </c>
      <c r="AJ57" s="1143" t="s">
        <v>315</v>
      </c>
      <c r="AK57" s="1144" t="s">
        <v>336</v>
      </c>
      <c r="AL57" s="1143" t="s">
        <v>315</v>
      </c>
      <c r="AM57" s="1144" t="s">
        <v>336</v>
      </c>
      <c r="AN57" s="1143" t="s">
        <v>315</v>
      </c>
      <c r="AO57" s="1144" t="s">
        <v>336</v>
      </c>
      <c r="AP57" s="1143" t="s">
        <v>315</v>
      </c>
      <c r="AQ57" s="1144" t="s">
        <v>336</v>
      </c>
      <c r="AR57" s="1143" t="s">
        <v>315</v>
      </c>
      <c r="AS57" s="1144" t="s">
        <v>336</v>
      </c>
      <c r="AT57" s="1143" t="s">
        <v>315</v>
      </c>
      <c r="AU57" s="1144" t="s">
        <v>336</v>
      </c>
      <c r="AV57" s="1143" t="s">
        <v>315</v>
      </c>
      <c r="AW57" s="1144" t="s">
        <v>336</v>
      </c>
      <c r="AX57" s="1143" t="s">
        <v>315</v>
      </c>
      <c r="AY57" s="1144" t="s">
        <v>336</v>
      </c>
      <c r="AZ57" s="1143" t="s">
        <v>315</v>
      </c>
      <c r="BA57" s="1145" t="s">
        <v>336</v>
      </c>
      <c r="BB57" s="1146" t="s">
        <v>315</v>
      </c>
      <c r="BC57" s="1041"/>
      <c r="BD57" s="1138"/>
      <c r="BE57" s="1139"/>
      <c r="BF57" s="1139"/>
      <c r="BG57" s="1139"/>
      <c r="BH57" s="1140"/>
      <c r="BI57" s="1141"/>
      <c r="BJ57" s="1142" t="s">
        <v>336</v>
      </c>
      <c r="BK57" s="1143" t="s">
        <v>315</v>
      </c>
      <c r="BL57" s="1144" t="s">
        <v>336</v>
      </c>
      <c r="BM57" s="1143" t="s">
        <v>315</v>
      </c>
      <c r="BN57" s="1144" t="s">
        <v>336</v>
      </c>
      <c r="BO57" s="1143" t="s">
        <v>315</v>
      </c>
      <c r="BP57" s="1144" t="s">
        <v>336</v>
      </c>
      <c r="BQ57" s="1143" t="s">
        <v>315</v>
      </c>
      <c r="BR57" s="1144" t="s">
        <v>336</v>
      </c>
      <c r="BS57" s="1143" t="s">
        <v>315</v>
      </c>
      <c r="BT57" s="1144" t="s">
        <v>336</v>
      </c>
      <c r="BU57" s="1143" t="s">
        <v>315</v>
      </c>
      <c r="BV57" s="1144" t="s">
        <v>336</v>
      </c>
      <c r="BW57" s="1143" t="s">
        <v>315</v>
      </c>
      <c r="BX57" s="1144" t="s">
        <v>336</v>
      </c>
      <c r="BY57" s="1143" t="s">
        <v>315</v>
      </c>
      <c r="BZ57" s="1144" t="s">
        <v>336</v>
      </c>
      <c r="CA57" s="1143" t="s">
        <v>315</v>
      </c>
      <c r="CB57" s="1144" t="s">
        <v>336</v>
      </c>
      <c r="CC57" s="1143" t="s">
        <v>315</v>
      </c>
      <c r="CD57" s="1144" t="s">
        <v>336</v>
      </c>
      <c r="CE57" s="1143" t="s">
        <v>315</v>
      </c>
      <c r="CF57" s="1144" t="s">
        <v>336</v>
      </c>
      <c r="CG57" s="1143" t="s">
        <v>336</v>
      </c>
      <c r="CH57" s="1144" t="s">
        <v>336</v>
      </c>
      <c r="CI57" s="1143" t="s">
        <v>315</v>
      </c>
      <c r="CJ57" s="1144" t="s">
        <v>336</v>
      </c>
      <c r="CK57" s="1143" t="s">
        <v>315</v>
      </c>
      <c r="CL57" s="1144" t="s">
        <v>336</v>
      </c>
      <c r="CM57" s="1143" t="s">
        <v>315</v>
      </c>
      <c r="CN57" s="1144" t="s">
        <v>336</v>
      </c>
      <c r="CO57" s="1143" t="s">
        <v>315</v>
      </c>
      <c r="CP57" s="1144" t="s">
        <v>336</v>
      </c>
      <c r="CQ57" s="1143" t="s">
        <v>315</v>
      </c>
      <c r="CR57" s="1144" t="s">
        <v>336</v>
      </c>
      <c r="CS57" s="1143" t="s">
        <v>315</v>
      </c>
      <c r="CT57" s="1144" t="s">
        <v>336</v>
      </c>
      <c r="CU57" s="1143" t="s">
        <v>315</v>
      </c>
      <c r="CV57" s="1144" t="s">
        <v>336</v>
      </c>
      <c r="CW57" s="1143" t="s">
        <v>315</v>
      </c>
      <c r="CX57" s="1144" t="s">
        <v>336</v>
      </c>
      <c r="CY57" s="1143" t="s">
        <v>315</v>
      </c>
      <c r="CZ57" s="1144" t="s">
        <v>336</v>
      </c>
      <c r="DA57" s="1143" t="s">
        <v>315</v>
      </c>
      <c r="DB57" s="1144" t="s">
        <v>336</v>
      </c>
      <c r="DC57" s="1143" t="s">
        <v>315</v>
      </c>
      <c r="DD57" s="1145" t="s">
        <v>336</v>
      </c>
      <c r="DE57" s="1146" t="s">
        <v>315</v>
      </c>
      <c r="DF57" s="1041"/>
      <c r="DG57" s="1138"/>
      <c r="DH57" s="1139"/>
      <c r="DI57" s="1139"/>
      <c r="DJ57" s="1139"/>
      <c r="DK57" s="1140"/>
      <c r="DL57" s="1141"/>
      <c r="DM57" s="1142" t="s">
        <v>336</v>
      </c>
      <c r="DN57" s="1143" t="s">
        <v>315</v>
      </c>
      <c r="DO57" s="1144" t="s">
        <v>336</v>
      </c>
      <c r="DP57" s="1143" t="s">
        <v>315</v>
      </c>
      <c r="DQ57" s="1144" t="s">
        <v>336</v>
      </c>
      <c r="DR57" s="1143" t="s">
        <v>315</v>
      </c>
      <c r="DS57" s="1144" t="s">
        <v>336</v>
      </c>
      <c r="DT57" s="1143" t="s">
        <v>315</v>
      </c>
      <c r="DU57" s="1144" t="s">
        <v>336</v>
      </c>
      <c r="DV57" s="1143" t="s">
        <v>315</v>
      </c>
      <c r="DW57" s="1144" t="s">
        <v>336</v>
      </c>
      <c r="DX57" s="1143" t="s">
        <v>315</v>
      </c>
      <c r="DY57" s="1144" t="s">
        <v>336</v>
      </c>
      <c r="DZ57" s="1143" t="s">
        <v>315</v>
      </c>
      <c r="EA57" s="1144" t="s">
        <v>336</v>
      </c>
      <c r="EB57" s="1143" t="s">
        <v>315</v>
      </c>
      <c r="EC57" s="1144" t="s">
        <v>336</v>
      </c>
      <c r="ED57" s="1143" t="s">
        <v>315</v>
      </c>
      <c r="EE57" s="1144" t="s">
        <v>336</v>
      </c>
      <c r="EF57" s="1143" t="s">
        <v>315</v>
      </c>
      <c r="EG57" s="1144" t="s">
        <v>336</v>
      </c>
      <c r="EH57" s="1143" t="s">
        <v>315</v>
      </c>
      <c r="EI57" s="1144" t="s">
        <v>336</v>
      </c>
      <c r="EJ57" s="1143" t="s">
        <v>336</v>
      </c>
      <c r="EK57" s="1144" t="s">
        <v>336</v>
      </c>
      <c r="EL57" s="1143" t="s">
        <v>315</v>
      </c>
      <c r="EM57" s="1144" t="s">
        <v>336</v>
      </c>
      <c r="EN57" s="1143" t="s">
        <v>315</v>
      </c>
      <c r="EO57" s="1144" t="s">
        <v>336</v>
      </c>
      <c r="EP57" s="1143" t="s">
        <v>315</v>
      </c>
      <c r="EQ57" s="1144" t="s">
        <v>336</v>
      </c>
      <c r="ER57" s="1143" t="s">
        <v>315</v>
      </c>
      <c r="ES57" s="1144" t="s">
        <v>336</v>
      </c>
      <c r="ET57" s="1143" t="s">
        <v>315</v>
      </c>
      <c r="EU57" s="1144" t="s">
        <v>336</v>
      </c>
      <c r="EV57" s="1143" t="s">
        <v>315</v>
      </c>
      <c r="EW57" s="1144" t="s">
        <v>336</v>
      </c>
      <c r="EX57" s="1143" t="s">
        <v>315</v>
      </c>
      <c r="EY57" s="1144" t="s">
        <v>336</v>
      </c>
      <c r="EZ57" s="1143" t="s">
        <v>315</v>
      </c>
      <c r="FA57" s="1144" t="s">
        <v>336</v>
      </c>
      <c r="FB57" s="1143" t="s">
        <v>315</v>
      </c>
      <c r="FC57" s="1144" t="s">
        <v>336</v>
      </c>
      <c r="FD57" s="1143" t="s">
        <v>315</v>
      </c>
      <c r="FE57" s="1144" t="s">
        <v>336</v>
      </c>
      <c r="FF57" s="1143" t="s">
        <v>315</v>
      </c>
      <c r="FG57" s="1145" t="s">
        <v>336</v>
      </c>
      <c r="FH57" s="1146" t="s">
        <v>315</v>
      </c>
      <c r="FI57" s="1041"/>
      <c r="FJ57" s="1138"/>
      <c r="FK57" s="1139"/>
      <c r="FL57" s="1139"/>
      <c r="FM57" s="1139"/>
      <c r="FN57" s="1140"/>
      <c r="FO57" s="1141"/>
      <c r="FP57" s="1147" t="s">
        <v>46</v>
      </c>
      <c r="FQ57" s="1145" t="s">
        <v>336</v>
      </c>
      <c r="FR57" s="1143" t="s">
        <v>316</v>
      </c>
      <c r="FS57" s="1148" t="s">
        <v>46</v>
      </c>
      <c r="FT57" s="1145" t="s">
        <v>336</v>
      </c>
      <c r="FU57" s="1149" t="s">
        <v>316</v>
      </c>
      <c r="FV57" s="1150" t="s">
        <v>46</v>
      </c>
      <c r="FW57" s="1143" t="s">
        <v>315</v>
      </c>
      <c r="FX57" s="1148" t="s">
        <v>46</v>
      </c>
      <c r="FY57" s="1143" t="s">
        <v>315</v>
      </c>
      <c r="FZ57" s="1148" t="s">
        <v>46</v>
      </c>
      <c r="GA57" s="1143" t="s">
        <v>315</v>
      </c>
      <c r="GB57" s="1148" t="s">
        <v>46</v>
      </c>
      <c r="GC57" s="1143" t="s">
        <v>315</v>
      </c>
      <c r="GD57" s="1148" t="s">
        <v>46</v>
      </c>
      <c r="GE57" s="1146" t="s">
        <v>316</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683</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24.8</v>
      </c>
      <c r="X59" s="584">
        <v>992</v>
      </c>
      <c r="Y59" s="1173">
        <v>25.7</v>
      </c>
      <c r="Z59" s="584">
        <v>1028</v>
      </c>
      <c r="AA59" s="1173">
        <v>26</v>
      </c>
      <c r="AB59" s="584">
        <v>1040</v>
      </c>
      <c r="AC59" s="1173">
        <v>27.3</v>
      </c>
      <c r="AD59" s="584">
        <v>1092</v>
      </c>
      <c r="AE59" s="1173">
        <v>26.9</v>
      </c>
      <c r="AF59" s="584">
        <v>1076</v>
      </c>
      <c r="AG59" s="1173">
        <v>26.2</v>
      </c>
      <c r="AH59" s="584">
        <v>1048</v>
      </c>
      <c r="AI59" s="1173">
        <v>26.2</v>
      </c>
      <c r="AJ59" s="584">
        <v>1048</v>
      </c>
      <c r="AK59" s="1173">
        <v>25.9</v>
      </c>
      <c r="AL59" s="584">
        <v>1036</v>
      </c>
      <c r="AM59" s="1173">
        <v>25.2</v>
      </c>
      <c r="AN59" s="584">
        <v>1008</v>
      </c>
      <c r="AO59" s="1173">
        <v>24.5</v>
      </c>
      <c r="AP59" s="584">
        <v>980</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19.7</v>
      </c>
      <c r="CA59" s="584">
        <v>788</v>
      </c>
      <c r="CB59" s="1173">
        <v>20.5</v>
      </c>
      <c r="CC59" s="584">
        <v>820</v>
      </c>
      <c r="CD59" s="1173">
        <v>21.4</v>
      </c>
      <c r="CE59" s="584">
        <v>856</v>
      </c>
      <c r="CF59" s="1173">
        <v>22.1</v>
      </c>
      <c r="CG59" s="584">
        <v>884</v>
      </c>
      <c r="CH59" s="1173">
        <v>22.5</v>
      </c>
      <c r="CI59" s="584">
        <v>900</v>
      </c>
      <c r="CJ59" s="1173">
        <v>21.8</v>
      </c>
      <c r="CK59" s="584">
        <v>872</v>
      </c>
      <c r="CL59" s="1173">
        <v>21.6</v>
      </c>
      <c r="CM59" s="584">
        <v>864</v>
      </c>
      <c r="CN59" s="1173">
        <v>21.4</v>
      </c>
      <c r="CO59" s="584">
        <v>856</v>
      </c>
      <c r="CP59" s="1173">
        <v>21.4</v>
      </c>
      <c r="CQ59" s="584">
        <v>856</v>
      </c>
      <c r="CR59" s="1173">
        <v>20.7</v>
      </c>
      <c r="CS59" s="584">
        <v>828</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10.9</v>
      </c>
      <c r="ED59" s="584">
        <v>436</v>
      </c>
      <c r="EE59" s="1173">
        <v>12</v>
      </c>
      <c r="EF59" s="584">
        <v>480</v>
      </c>
      <c r="EG59" s="1173">
        <v>12.1</v>
      </c>
      <c r="EH59" s="584">
        <v>484</v>
      </c>
      <c r="EI59" s="1173">
        <v>12.5</v>
      </c>
      <c r="EJ59" s="584">
        <v>500</v>
      </c>
      <c r="EK59" s="1173">
        <v>12.2</v>
      </c>
      <c r="EL59" s="584">
        <v>488</v>
      </c>
      <c r="EM59" s="1173">
        <v>11.7</v>
      </c>
      <c r="EN59" s="584">
        <v>468</v>
      </c>
      <c r="EO59" s="1173">
        <v>11.5</v>
      </c>
      <c r="EP59" s="584">
        <v>460</v>
      </c>
      <c r="EQ59" s="1173">
        <v>11.6</v>
      </c>
      <c r="ER59" s="584">
        <v>464</v>
      </c>
      <c r="ES59" s="1173">
        <v>11.1</v>
      </c>
      <c r="ET59" s="584">
        <v>444</v>
      </c>
      <c r="EU59" s="1173">
        <v>11.6</v>
      </c>
      <c r="EV59" s="584">
        <v>464</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30.1</v>
      </c>
      <c r="FR59" s="1175">
        <v>1204</v>
      </c>
      <c r="FS59" s="1176">
        <v>9</v>
      </c>
      <c r="FT59" s="1174">
        <v>26.4</v>
      </c>
      <c r="FU59" s="1177">
        <v>1056</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t="s">
        <v>664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12</v>
      </c>
      <c r="Y60" s="585"/>
      <c r="Z60" s="584">
        <v>43</v>
      </c>
      <c r="AA60" s="585"/>
      <c r="AB60" s="584">
        <v>22</v>
      </c>
      <c r="AC60" s="585"/>
      <c r="AD60" s="584">
        <v>12</v>
      </c>
      <c r="AE60" s="585"/>
      <c r="AF60" s="584">
        <v>0</v>
      </c>
      <c r="AG60" s="585"/>
      <c r="AH60" s="584">
        <v>0</v>
      </c>
      <c r="AI60" s="585"/>
      <c r="AJ60" s="584">
        <v>23</v>
      </c>
      <c r="AK60" s="585"/>
      <c r="AL60" s="584">
        <v>33</v>
      </c>
      <c r="AM60" s="585"/>
      <c r="AN60" s="584">
        <v>69</v>
      </c>
      <c r="AO60" s="585"/>
      <c r="AP60" s="584">
        <v>92</v>
      </c>
      <c r="AQ60" s="585"/>
      <c r="AR60" s="584"/>
      <c r="AS60" s="585"/>
      <c r="AT60" s="584"/>
      <c r="AU60" s="585"/>
      <c r="AV60" s="584"/>
      <c r="AW60" s="585"/>
      <c r="AX60" s="584"/>
      <c r="AY60" s="585"/>
      <c r="AZ60" s="584"/>
      <c r="BA60" s="585"/>
      <c r="BB60" s="586"/>
      <c r="BC60" s="560"/>
      <c r="BD60" s="1168" t="s">
        <v>665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24</v>
      </c>
      <c r="CB60" s="585"/>
      <c r="CC60" s="584">
        <v>68</v>
      </c>
      <c r="CD60" s="585"/>
      <c r="CE60" s="584">
        <v>34</v>
      </c>
      <c r="CF60" s="585"/>
      <c r="CG60" s="584">
        <v>24</v>
      </c>
      <c r="CH60" s="585"/>
      <c r="CI60" s="584">
        <v>17</v>
      </c>
      <c r="CJ60" s="585"/>
      <c r="CK60" s="584">
        <v>27</v>
      </c>
      <c r="CL60" s="585"/>
      <c r="CM60" s="584">
        <v>37</v>
      </c>
      <c r="CN60" s="585"/>
      <c r="CO60" s="584">
        <v>48</v>
      </c>
      <c r="CP60" s="585"/>
      <c r="CQ60" s="584">
        <v>69</v>
      </c>
      <c r="CR60" s="585"/>
      <c r="CS60" s="584">
        <v>102</v>
      </c>
      <c r="CT60" s="585"/>
      <c r="CU60" s="584"/>
      <c r="CV60" s="585"/>
      <c r="CW60" s="584"/>
      <c r="CX60" s="585"/>
      <c r="CY60" s="584"/>
      <c r="CZ60" s="585"/>
      <c r="DA60" s="584"/>
      <c r="DB60" s="585"/>
      <c r="DC60" s="584"/>
      <c r="DD60" s="585"/>
      <c r="DE60" s="586"/>
      <c r="DF60" s="559"/>
      <c r="DG60" s="1168" t="s">
        <v>665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120</v>
      </c>
      <c r="EE60" s="585"/>
      <c r="EF60" s="584">
        <v>154</v>
      </c>
      <c r="EG60" s="585"/>
      <c r="EH60" s="584">
        <v>121</v>
      </c>
      <c r="EI60" s="585"/>
      <c r="EJ60" s="584">
        <v>100</v>
      </c>
      <c r="EK60" s="585"/>
      <c r="EL60" s="584">
        <v>98</v>
      </c>
      <c r="EM60" s="585"/>
      <c r="EN60" s="584">
        <v>110</v>
      </c>
      <c r="EO60" s="585"/>
      <c r="EP60" s="584">
        <v>118</v>
      </c>
      <c r="EQ60" s="585"/>
      <c r="ER60" s="584">
        <v>122</v>
      </c>
      <c r="ES60" s="585"/>
      <c r="ET60" s="584">
        <v>156</v>
      </c>
      <c r="EU60" s="585"/>
      <c r="EV60" s="584">
        <v>188</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666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2184</v>
      </c>
      <c r="Y61" s="1194"/>
      <c r="Z61" s="1195">
        <v>2220</v>
      </c>
      <c r="AA61" s="1194"/>
      <c r="AB61" s="1195">
        <v>2232</v>
      </c>
      <c r="AC61" s="1194"/>
      <c r="AD61" s="1195">
        <v>2284</v>
      </c>
      <c r="AE61" s="1194"/>
      <c r="AF61" s="1195">
        <v>2268</v>
      </c>
      <c r="AG61" s="1194"/>
      <c r="AH61" s="1195">
        <v>2240</v>
      </c>
      <c r="AI61" s="1194"/>
      <c r="AJ61" s="1195">
        <v>2240</v>
      </c>
      <c r="AK61" s="1194"/>
      <c r="AL61" s="1195">
        <v>2228</v>
      </c>
      <c r="AM61" s="1194"/>
      <c r="AN61" s="1195">
        <v>2200</v>
      </c>
      <c r="AO61" s="1194"/>
      <c r="AP61" s="1195">
        <v>2172</v>
      </c>
      <c r="AQ61" s="1194"/>
      <c r="AR61" s="1195">
        <v>0</v>
      </c>
      <c r="AS61" s="1194"/>
      <c r="AT61" s="1195">
        <v>0</v>
      </c>
      <c r="AU61" s="1194"/>
      <c r="AV61" s="1195">
        <v>0</v>
      </c>
      <c r="AW61" s="1194"/>
      <c r="AX61" s="1195">
        <v>0</v>
      </c>
      <c r="AY61" s="1194"/>
      <c r="AZ61" s="1195">
        <v>0</v>
      </c>
      <c r="BA61" s="1194"/>
      <c r="BB61" s="1196">
        <v>0</v>
      </c>
      <c r="BC61" s="560"/>
      <c r="BD61" s="1189" t="s">
        <v>666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1980</v>
      </c>
      <c r="CB61" s="1194"/>
      <c r="CC61" s="1195">
        <v>2012</v>
      </c>
      <c r="CD61" s="1194"/>
      <c r="CE61" s="1195">
        <v>2048</v>
      </c>
      <c r="CF61" s="1194"/>
      <c r="CG61" s="1195">
        <v>2076</v>
      </c>
      <c r="CH61" s="1194"/>
      <c r="CI61" s="1195">
        <v>2092</v>
      </c>
      <c r="CJ61" s="1194"/>
      <c r="CK61" s="1195">
        <v>2064</v>
      </c>
      <c r="CL61" s="1194"/>
      <c r="CM61" s="1195">
        <v>2056</v>
      </c>
      <c r="CN61" s="1194"/>
      <c r="CO61" s="1195">
        <v>2048</v>
      </c>
      <c r="CP61" s="1194"/>
      <c r="CQ61" s="1195">
        <v>2048</v>
      </c>
      <c r="CR61" s="1194"/>
      <c r="CS61" s="1195">
        <v>2020</v>
      </c>
      <c r="CT61" s="1194"/>
      <c r="CU61" s="1195">
        <v>0</v>
      </c>
      <c r="CV61" s="1194"/>
      <c r="CW61" s="1195">
        <v>0</v>
      </c>
      <c r="CX61" s="1194"/>
      <c r="CY61" s="1195">
        <v>0</v>
      </c>
      <c r="CZ61" s="1194"/>
      <c r="DA61" s="1195">
        <v>0</v>
      </c>
      <c r="DB61" s="1194"/>
      <c r="DC61" s="1195">
        <v>0</v>
      </c>
      <c r="DD61" s="1194"/>
      <c r="DE61" s="1196">
        <v>0</v>
      </c>
      <c r="DF61" s="559"/>
      <c r="DG61" s="1189" t="s">
        <v>666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1628</v>
      </c>
      <c r="EE61" s="1194"/>
      <c r="EF61" s="1195">
        <v>1672</v>
      </c>
      <c r="EG61" s="1194"/>
      <c r="EH61" s="1195">
        <v>1676</v>
      </c>
      <c r="EI61" s="1194"/>
      <c r="EJ61" s="1195">
        <v>1692</v>
      </c>
      <c r="EK61" s="1194"/>
      <c r="EL61" s="1195">
        <v>1680</v>
      </c>
      <c r="EM61" s="1194"/>
      <c r="EN61" s="1195">
        <v>1660</v>
      </c>
      <c r="EO61" s="1194"/>
      <c r="EP61" s="1195">
        <v>1652</v>
      </c>
      <c r="EQ61" s="1194"/>
      <c r="ER61" s="1195">
        <v>1656</v>
      </c>
      <c r="ES61" s="1194"/>
      <c r="ET61" s="1195">
        <v>1636</v>
      </c>
      <c r="EU61" s="1194"/>
      <c r="EV61" s="1195">
        <v>1656</v>
      </c>
      <c r="EW61" s="1194"/>
      <c r="EX61" s="1195">
        <v>0</v>
      </c>
      <c r="EY61" s="1194"/>
      <c r="EZ61" s="1195">
        <v>0</v>
      </c>
      <c r="FA61" s="1194"/>
      <c r="FB61" s="1195">
        <v>0</v>
      </c>
      <c r="FC61" s="1194"/>
      <c r="FD61" s="1195">
        <v>0</v>
      </c>
      <c r="FE61" s="1194"/>
      <c r="FF61" s="1195">
        <v>0</v>
      </c>
      <c r="FG61" s="1194"/>
      <c r="FH61" s="1196">
        <v>0</v>
      </c>
      <c r="FI61" s="560"/>
      <c r="FJ61" s="1189" t="s">
        <v>666</v>
      </c>
      <c r="FK61" s="1190"/>
      <c r="FL61" s="1190"/>
      <c r="FM61" s="1190"/>
      <c r="FN61" s="1190"/>
      <c r="FO61" s="1190"/>
      <c r="FP61" s="1197"/>
      <c r="FQ61" s="1198"/>
      <c r="FR61" s="1199">
        <v>3038</v>
      </c>
      <c r="FS61" s="1200"/>
      <c r="FT61" s="1198"/>
      <c r="FU61" s="1201">
        <v>2906</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337</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338</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337</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337</v>
      </c>
      <c r="FK63" s="1119"/>
      <c r="FL63" s="1119"/>
      <c r="FM63" s="1119"/>
      <c r="FN63" s="1119"/>
      <c r="FO63" s="1120"/>
      <c r="FP63" s="1125" t="s">
        <v>339</v>
      </c>
      <c r="FQ63" s="1126"/>
      <c r="FR63" s="1127"/>
      <c r="FS63" s="1128" t="s">
        <v>291</v>
      </c>
      <c r="FT63" s="1129"/>
      <c r="FU63" s="1130"/>
      <c r="FV63" s="1131" t="s">
        <v>331</v>
      </c>
      <c r="FW63" s="1132"/>
      <c r="FX63" s="1133" t="s">
        <v>332</v>
      </c>
      <c r="FY63" s="1134"/>
      <c r="FZ63" s="1135" t="s">
        <v>333</v>
      </c>
      <c r="GA63" s="1136"/>
      <c r="GB63" s="1137" t="s">
        <v>334</v>
      </c>
      <c r="GC63" s="1122"/>
      <c r="GD63" s="1137" t="s">
        <v>335</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340</v>
      </c>
      <c r="I64" s="1144"/>
      <c r="J64" s="1143" t="s">
        <v>340</v>
      </c>
      <c r="K64" s="1144"/>
      <c r="L64" s="1143" t="s">
        <v>340</v>
      </c>
      <c r="M64" s="1144"/>
      <c r="N64" s="1143" t="s">
        <v>340</v>
      </c>
      <c r="O64" s="1144"/>
      <c r="P64" s="1143" t="s">
        <v>340</v>
      </c>
      <c r="Q64" s="1144"/>
      <c r="R64" s="1143" t="s">
        <v>340</v>
      </c>
      <c r="S64" s="1144"/>
      <c r="T64" s="1143" t="s">
        <v>340</v>
      </c>
      <c r="U64" s="1144"/>
      <c r="V64" s="1143" t="s">
        <v>340</v>
      </c>
      <c r="W64" s="1144"/>
      <c r="X64" s="1143" t="s">
        <v>340</v>
      </c>
      <c r="Y64" s="1144"/>
      <c r="Z64" s="1143" t="s">
        <v>340</v>
      </c>
      <c r="AA64" s="1144"/>
      <c r="AB64" s="1143" t="s">
        <v>340</v>
      </c>
      <c r="AC64" s="1144"/>
      <c r="AD64" s="1143" t="s">
        <v>340</v>
      </c>
      <c r="AE64" s="1144"/>
      <c r="AF64" s="1143" t="s">
        <v>340</v>
      </c>
      <c r="AG64" s="1144"/>
      <c r="AH64" s="1143" t="s">
        <v>340</v>
      </c>
      <c r="AI64" s="1144"/>
      <c r="AJ64" s="1143" t="s">
        <v>340</v>
      </c>
      <c r="AK64" s="1144"/>
      <c r="AL64" s="1143" t="s">
        <v>340</v>
      </c>
      <c r="AM64" s="1144"/>
      <c r="AN64" s="1143" t="s">
        <v>340</v>
      </c>
      <c r="AO64" s="1144"/>
      <c r="AP64" s="1143" t="s">
        <v>340</v>
      </c>
      <c r="AQ64" s="1144"/>
      <c r="AR64" s="1143" t="s">
        <v>340</v>
      </c>
      <c r="AS64" s="1144"/>
      <c r="AT64" s="1143" t="s">
        <v>340</v>
      </c>
      <c r="AU64" s="1144"/>
      <c r="AV64" s="1143" t="s">
        <v>340</v>
      </c>
      <c r="AW64" s="1144"/>
      <c r="AX64" s="1143" t="s">
        <v>340</v>
      </c>
      <c r="AY64" s="1144"/>
      <c r="AZ64" s="1143" t="s">
        <v>340</v>
      </c>
      <c r="BA64" s="1144"/>
      <c r="BB64" s="1146" t="s">
        <v>340</v>
      </c>
      <c r="BC64" s="1041"/>
      <c r="BD64" s="1210"/>
      <c r="BE64" s="1211"/>
      <c r="BF64" s="1211"/>
      <c r="BG64" s="1211"/>
      <c r="BH64" s="1140"/>
      <c r="BI64" s="1141"/>
      <c r="BJ64" s="1142"/>
      <c r="BK64" s="1143" t="s">
        <v>340</v>
      </c>
      <c r="BL64" s="1144"/>
      <c r="BM64" s="1143" t="s">
        <v>340</v>
      </c>
      <c r="BN64" s="1144"/>
      <c r="BO64" s="1143" t="s">
        <v>340</v>
      </c>
      <c r="BP64" s="1144"/>
      <c r="BQ64" s="1143" t="s">
        <v>340</v>
      </c>
      <c r="BR64" s="1144"/>
      <c r="BS64" s="1143" t="s">
        <v>340</v>
      </c>
      <c r="BT64" s="1144"/>
      <c r="BU64" s="1143" t="s">
        <v>340</v>
      </c>
      <c r="BV64" s="1144"/>
      <c r="BW64" s="1143" t="s">
        <v>340</v>
      </c>
      <c r="BX64" s="1144"/>
      <c r="BY64" s="1143" t="s">
        <v>340</v>
      </c>
      <c r="BZ64" s="1144"/>
      <c r="CA64" s="1143" t="s">
        <v>340</v>
      </c>
      <c r="CB64" s="1144"/>
      <c r="CC64" s="1143" t="s">
        <v>340</v>
      </c>
      <c r="CD64" s="1144"/>
      <c r="CE64" s="1143" t="s">
        <v>340</v>
      </c>
      <c r="CF64" s="1144"/>
      <c r="CG64" s="1143" t="s">
        <v>340</v>
      </c>
      <c r="CH64" s="1144"/>
      <c r="CI64" s="1143" t="s">
        <v>340</v>
      </c>
      <c r="CJ64" s="1144"/>
      <c r="CK64" s="1143" t="s">
        <v>340</v>
      </c>
      <c r="CL64" s="1144"/>
      <c r="CM64" s="1143" t="s">
        <v>340</v>
      </c>
      <c r="CN64" s="1144"/>
      <c r="CO64" s="1143" t="s">
        <v>340</v>
      </c>
      <c r="CP64" s="1144"/>
      <c r="CQ64" s="1143" t="s">
        <v>340</v>
      </c>
      <c r="CR64" s="1144"/>
      <c r="CS64" s="1143" t="s">
        <v>340</v>
      </c>
      <c r="CT64" s="1144"/>
      <c r="CU64" s="1143" t="s">
        <v>340</v>
      </c>
      <c r="CV64" s="1144"/>
      <c r="CW64" s="1143" t="s">
        <v>340</v>
      </c>
      <c r="CX64" s="1144"/>
      <c r="CY64" s="1143" t="s">
        <v>340</v>
      </c>
      <c r="CZ64" s="1144"/>
      <c r="DA64" s="1143" t="s">
        <v>340</v>
      </c>
      <c r="DB64" s="1144"/>
      <c r="DC64" s="1143" t="s">
        <v>340</v>
      </c>
      <c r="DD64" s="1144"/>
      <c r="DE64" s="1146" t="s">
        <v>340</v>
      </c>
      <c r="DF64" s="1041"/>
      <c r="DG64" s="1209"/>
      <c r="DH64" s="1140"/>
      <c r="DI64" s="1140"/>
      <c r="DJ64" s="1140"/>
      <c r="DK64" s="1140"/>
      <c r="DL64" s="1141"/>
      <c r="DM64" s="1142"/>
      <c r="DN64" s="1143" t="s">
        <v>340</v>
      </c>
      <c r="DO64" s="1144"/>
      <c r="DP64" s="1143" t="s">
        <v>340</v>
      </c>
      <c r="DQ64" s="1144"/>
      <c r="DR64" s="1143" t="s">
        <v>340</v>
      </c>
      <c r="DS64" s="1144"/>
      <c r="DT64" s="1143" t="s">
        <v>340</v>
      </c>
      <c r="DU64" s="1144"/>
      <c r="DV64" s="1143" t="s">
        <v>340</v>
      </c>
      <c r="DW64" s="1144"/>
      <c r="DX64" s="1143" t="s">
        <v>340</v>
      </c>
      <c r="DY64" s="1144"/>
      <c r="DZ64" s="1143" t="s">
        <v>340</v>
      </c>
      <c r="EA64" s="1144"/>
      <c r="EB64" s="1143" t="s">
        <v>340</v>
      </c>
      <c r="EC64" s="1144"/>
      <c r="ED64" s="1143" t="s">
        <v>340</v>
      </c>
      <c r="EE64" s="1144"/>
      <c r="EF64" s="1143" t="s">
        <v>340</v>
      </c>
      <c r="EG64" s="1144"/>
      <c r="EH64" s="1143" t="s">
        <v>340</v>
      </c>
      <c r="EI64" s="1144"/>
      <c r="EJ64" s="1143" t="s">
        <v>340</v>
      </c>
      <c r="EK64" s="1144"/>
      <c r="EL64" s="1143" t="s">
        <v>340</v>
      </c>
      <c r="EM64" s="1144"/>
      <c r="EN64" s="1143" t="s">
        <v>340</v>
      </c>
      <c r="EO64" s="1144"/>
      <c r="EP64" s="1143" t="s">
        <v>340</v>
      </c>
      <c r="EQ64" s="1144"/>
      <c r="ER64" s="1143" t="s">
        <v>340</v>
      </c>
      <c r="ES64" s="1144"/>
      <c r="ET64" s="1143" t="s">
        <v>340</v>
      </c>
      <c r="EU64" s="1144"/>
      <c r="EV64" s="1143" t="s">
        <v>340</v>
      </c>
      <c r="EW64" s="1144"/>
      <c r="EX64" s="1143" t="s">
        <v>340</v>
      </c>
      <c r="EY64" s="1144"/>
      <c r="EZ64" s="1143" t="s">
        <v>340</v>
      </c>
      <c r="FA64" s="1144"/>
      <c r="FB64" s="1143" t="s">
        <v>340</v>
      </c>
      <c r="FC64" s="1144"/>
      <c r="FD64" s="1143" t="s">
        <v>340</v>
      </c>
      <c r="FE64" s="1144"/>
      <c r="FF64" s="1143" t="s">
        <v>340</v>
      </c>
      <c r="FG64" s="1144"/>
      <c r="FH64" s="1146" t="s">
        <v>340</v>
      </c>
      <c r="FI64" s="1041"/>
      <c r="FJ64" s="1209"/>
      <c r="FK64" s="1140"/>
      <c r="FL64" s="1140"/>
      <c r="FM64" s="1140"/>
      <c r="FN64" s="1140"/>
      <c r="FO64" s="1141"/>
      <c r="FP64" s="1147" t="s">
        <v>46</v>
      </c>
      <c r="FQ64" s="1145" t="s">
        <v>341</v>
      </c>
      <c r="FR64" s="1143" t="s">
        <v>340</v>
      </c>
      <c r="FS64" s="1148" t="s">
        <v>46</v>
      </c>
      <c r="FT64" s="1145" t="s">
        <v>341</v>
      </c>
      <c r="FU64" s="1149" t="s">
        <v>340</v>
      </c>
      <c r="FV64" s="1150" t="s">
        <v>46</v>
      </c>
      <c r="FW64" s="1143" t="s">
        <v>340</v>
      </c>
      <c r="FX64" s="1148" t="s">
        <v>46</v>
      </c>
      <c r="FY64" s="1143" t="s">
        <v>340</v>
      </c>
      <c r="FZ64" s="1148" t="s">
        <v>46</v>
      </c>
      <c r="GA64" s="1143" t="s">
        <v>340</v>
      </c>
      <c r="GB64" s="1148" t="s">
        <v>46</v>
      </c>
      <c r="GC64" s="1143" t="s">
        <v>340</v>
      </c>
      <c r="GD64" s="1148" t="s">
        <v>46</v>
      </c>
      <c r="GE64" s="1146" t="s">
        <v>340</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667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506</v>
      </c>
      <c r="Y65" s="1218"/>
      <c r="Z65" s="1217">
        <v>506</v>
      </c>
      <c r="AA65" s="1218"/>
      <c r="AB65" s="1217">
        <v>506</v>
      </c>
      <c r="AC65" s="1218"/>
      <c r="AD65" s="1217">
        <v>506</v>
      </c>
      <c r="AE65" s="1218"/>
      <c r="AF65" s="1217">
        <v>506</v>
      </c>
      <c r="AG65" s="1218"/>
      <c r="AH65" s="1217">
        <v>506</v>
      </c>
      <c r="AI65" s="1218"/>
      <c r="AJ65" s="1217">
        <v>506</v>
      </c>
      <c r="AK65" s="1218"/>
      <c r="AL65" s="1217">
        <v>506</v>
      </c>
      <c r="AM65" s="1218"/>
      <c r="AN65" s="1217">
        <v>506</v>
      </c>
      <c r="AO65" s="1218"/>
      <c r="AP65" s="1217">
        <v>506</v>
      </c>
      <c r="AQ65" s="1218"/>
      <c r="AR65" s="1217"/>
      <c r="AS65" s="1218"/>
      <c r="AT65" s="1217"/>
      <c r="AU65" s="1218"/>
      <c r="AV65" s="1217"/>
      <c r="AW65" s="1218"/>
      <c r="AX65" s="1217"/>
      <c r="AY65" s="1218"/>
      <c r="AZ65" s="1217"/>
      <c r="BA65" s="1218"/>
      <c r="BB65" s="558"/>
      <c r="BC65" s="560"/>
      <c r="BD65" s="1151" t="s">
        <v>668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506</v>
      </c>
      <c r="CB65" s="1218"/>
      <c r="CC65" s="1217">
        <v>506</v>
      </c>
      <c r="CD65" s="1218"/>
      <c r="CE65" s="1217">
        <v>506</v>
      </c>
      <c r="CF65" s="1218"/>
      <c r="CG65" s="1217">
        <v>506</v>
      </c>
      <c r="CH65" s="1218"/>
      <c r="CI65" s="1217">
        <v>506</v>
      </c>
      <c r="CJ65" s="1218"/>
      <c r="CK65" s="1217">
        <v>506</v>
      </c>
      <c r="CL65" s="1218"/>
      <c r="CM65" s="1217">
        <v>506</v>
      </c>
      <c r="CN65" s="1218"/>
      <c r="CO65" s="1217">
        <v>506</v>
      </c>
      <c r="CP65" s="1218"/>
      <c r="CQ65" s="1217">
        <v>506</v>
      </c>
      <c r="CR65" s="1218"/>
      <c r="CS65" s="1217">
        <v>506</v>
      </c>
      <c r="CT65" s="1218"/>
      <c r="CU65" s="1217"/>
      <c r="CV65" s="1218"/>
      <c r="CW65" s="1217"/>
      <c r="CX65" s="1218"/>
      <c r="CY65" s="1217"/>
      <c r="CZ65" s="1218"/>
      <c r="DA65" s="1217"/>
      <c r="DB65" s="1218"/>
      <c r="DC65" s="1217"/>
      <c r="DD65" s="1218"/>
      <c r="DE65" s="558"/>
      <c r="DF65" s="559"/>
      <c r="DG65" s="1151" t="s">
        <v>668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506</v>
      </c>
      <c r="EE65" s="1218"/>
      <c r="EF65" s="1217">
        <v>506</v>
      </c>
      <c r="EG65" s="1218"/>
      <c r="EH65" s="1217">
        <v>506</v>
      </c>
      <c r="EI65" s="1218"/>
      <c r="EJ65" s="1217">
        <v>506</v>
      </c>
      <c r="EK65" s="1218"/>
      <c r="EL65" s="1217">
        <v>506</v>
      </c>
      <c r="EM65" s="1218"/>
      <c r="EN65" s="1217">
        <v>506</v>
      </c>
      <c r="EO65" s="1218"/>
      <c r="EP65" s="1217">
        <v>506</v>
      </c>
      <c r="EQ65" s="1218"/>
      <c r="ER65" s="1217">
        <v>506</v>
      </c>
      <c r="ES65" s="1218"/>
      <c r="ET65" s="1217">
        <v>506</v>
      </c>
      <c r="EU65" s="1218"/>
      <c r="EV65" s="1217">
        <v>506</v>
      </c>
      <c r="EW65" s="1218"/>
      <c r="EX65" s="1217"/>
      <c r="EY65" s="1218"/>
      <c r="EZ65" s="1217"/>
      <c r="FA65" s="1218"/>
      <c r="FB65" s="1217"/>
      <c r="FC65" s="1218"/>
      <c r="FD65" s="1217"/>
      <c r="FE65" s="1218"/>
      <c r="FF65" s="1217"/>
      <c r="FG65" s="1218"/>
      <c r="FH65" s="558"/>
      <c r="FI65" s="560"/>
      <c r="FJ65" s="1151" t="s">
        <v>668</v>
      </c>
      <c r="FK65" s="1152"/>
      <c r="FL65" s="1219"/>
      <c r="FM65" s="1219"/>
      <c r="FN65" s="1219"/>
      <c r="FO65" s="1214"/>
      <c r="FP65" s="1158"/>
      <c r="FQ65" s="1216"/>
      <c r="FR65" s="1156">
        <v>0</v>
      </c>
      <c r="FS65" s="1220"/>
      <c r="FT65" s="1216"/>
      <c r="FU65" s="1161">
        <v>0</v>
      </c>
      <c r="FV65" s="1220"/>
      <c r="FW65" s="1221">
        <v>506</v>
      </c>
      <c r="FX65" s="1160"/>
      <c r="FY65" s="1221">
        <v>506</v>
      </c>
      <c r="FZ65" s="1160"/>
      <c r="GA65" s="1221">
        <v>506</v>
      </c>
      <c r="GB65" s="1160"/>
      <c r="GC65" s="1221">
        <v>506</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669</v>
      </c>
      <c r="FK66" s="1190"/>
      <c r="FL66" s="1229"/>
      <c r="FM66" s="1230" t="s">
        <v>670</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342</v>
      </c>
      <c r="B68" s="1241"/>
      <c r="C68" s="1241"/>
      <c r="D68" s="1241"/>
      <c r="E68" s="814"/>
      <c r="F68" s="814"/>
      <c r="G68" s="1242" t="s">
        <v>347</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342</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342</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342</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564</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348</v>
      </c>
      <c r="HA1" s="376"/>
      <c r="HB1" s="379"/>
      <c r="HC1" s="1451" t="s">
        <v>433</v>
      </c>
      <c r="HD1" s="382"/>
      <c r="HE1" s="383"/>
      <c r="HF1" s="382"/>
      <c r="HG1" s="1449"/>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355</v>
      </c>
      <c r="B3" s="395">
        <v>205</v>
      </c>
      <c r="C3" s="396" t="s">
        <v>357</v>
      </c>
      <c r="D3" s="397" t="s">
        <v>568</v>
      </c>
      <c r="E3" s="397"/>
      <c r="F3" s="397"/>
      <c r="G3" s="397"/>
      <c r="H3" s="397"/>
      <c r="I3" s="397"/>
      <c r="J3" s="398"/>
      <c r="K3" s="399" t="s">
        <v>359</v>
      </c>
      <c r="L3" s="400"/>
      <c r="M3" s="399" t="s">
        <v>569</v>
      </c>
      <c r="N3" s="400"/>
      <c r="O3" s="401" t="s">
        <v>647</v>
      </c>
      <c r="P3" s="402"/>
      <c r="Q3" s="402"/>
      <c r="R3" s="402"/>
      <c r="S3" s="402"/>
      <c r="T3" s="402"/>
      <c r="U3" s="402"/>
      <c r="V3" s="403"/>
      <c r="W3" s="404" t="s">
        <v>361</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362</v>
      </c>
      <c r="BE3" s="395">
        <v>205</v>
      </c>
      <c r="BF3" s="396" t="s">
        <v>356</v>
      </c>
      <c r="BG3" s="408" t="s">
        <v>563</v>
      </c>
      <c r="BH3" s="408"/>
      <c r="BI3" s="408"/>
      <c r="BJ3" s="408"/>
      <c r="BK3" s="408"/>
      <c r="BL3" s="408"/>
      <c r="BM3" s="409"/>
      <c r="BN3" s="399" t="s">
        <v>359</v>
      </c>
      <c r="BO3" s="400"/>
      <c r="BP3" s="399" t="s">
        <v>360</v>
      </c>
      <c r="BQ3" s="400"/>
      <c r="BR3" s="401" t="s">
        <v>647</v>
      </c>
      <c r="BS3" s="402"/>
      <c r="BT3" s="402"/>
      <c r="BU3" s="402"/>
      <c r="BV3" s="402"/>
      <c r="BW3" s="402"/>
      <c r="BX3" s="402"/>
      <c r="BY3" s="403"/>
      <c r="BZ3" s="404" t="s">
        <v>361</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362</v>
      </c>
      <c r="DH3" s="395">
        <v>205</v>
      </c>
      <c r="DI3" s="396" t="s">
        <v>356</v>
      </c>
      <c r="DJ3" s="408" t="s">
        <v>563</v>
      </c>
      <c r="DK3" s="408"/>
      <c r="DL3" s="408"/>
      <c r="DM3" s="408"/>
      <c r="DN3" s="408"/>
      <c r="DO3" s="408"/>
      <c r="DP3" s="409"/>
      <c r="DQ3" s="399" t="s">
        <v>359</v>
      </c>
      <c r="DR3" s="400"/>
      <c r="DS3" s="399" t="s">
        <v>360</v>
      </c>
      <c r="DT3" s="400"/>
      <c r="DU3" s="401" t="s">
        <v>647</v>
      </c>
      <c r="DV3" s="402"/>
      <c r="DW3" s="402"/>
      <c r="DX3" s="402"/>
      <c r="DY3" s="402"/>
      <c r="DZ3" s="402"/>
      <c r="EA3" s="402"/>
      <c r="EB3" s="403"/>
      <c r="EC3" s="404" t="s">
        <v>361</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362</v>
      </c>
      <c r="FK3" s="395">
        <v>205</v>
      </c>
      <c r="FL3" s="396" t="s">
        <v>356</v>
      </c>
      <c r="FM3" s="408" t="s">
        <v>563</v>
      </c>
      <c r="FN3" s="408"/>
      <c r="FO3" s="408"/>
      <c r="FP3" s="408"/>
      <c r="FQ3" s="408"/>
      <c r="FR3" s="408"/>
      <c r="FS3" s="409"/>
      <c r="FT3" s="399" t="s">
        <v>359</v>
      </c>
      <c r="FU3" s="400"/>
      <c r="FV3" s="399" t="s">
        <v>360</v>
      </c>
      <c r="FW3" s="400"/>
      <c r="FX3" s="401" t="s">
        <v>695</v>
      </c>
      <c r="FY3" s="402"/>
      <c r="FZ3" s="402"/>
      <c r="GA3" s="402"/>
      <c r="GB3" s="402"/>
      <c r="GC3" s="402"/>
      <c r="GD3" s="402"/>
      <c r="GE3" s="403"/>
      <c r="GF3" s="404" t="s">
        <v>361</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363</v>
      </c>
      <c r="P4" s="426"/>
      <c r="Q4" s="427" t="s">
        <v>364</v>
      </c>
      <c r="R4" s="426"/>
      <c r="S4" s="428" t="s">
        <v>365</v>
      </c>
      <c r="T4" s="429"/>
      <c r="U4" s="430" t="s">
        <v>366</v>
      </c>
      <c r="V4" s="431"/>
      <c r="W4" s="432" t="s">
        <v>367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363</v>
      </c>
      <c r="BS4" s="426"/>
      <c r="BT4" s="427" t="s">
        <v>364</v>
      </c>
      <c r="BU4" s="426"/>
      <c r="BV4" s="428" t="s">
        <v>365</v>
      </c>
      <c r="BW4" s="429"/>
      <c r="BX4" s="430" t="s">
        <v>366</v>
      </c>
      <c r="BY4" s="431"/>
      <c r="BZ4" s="432" t="s">
        <v>367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363</v>
      </c>
      <c r="DV4" s="426"/>
      <c r="DW4" s="427" t="s">
        <v>364</v>
      </c>
      <c r="DX4" s="426"/>
      <c r="DY4" s="428" t="s">
        <v>365</v>
      </c>
      <c r="DZ4" s="429"/>
      <c r="EA4" s="430" t="s">
        <v>366</v>
      </c>
      <c r="EB4" s="431"/>
      <c r="EC4" s="432" t="s">
        <v>367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363</v>
      </c>
      <c r="FY4" s="426"/>
      <c r="FZ4" s="427" t="s">
        <v>364</v>
      </c>
      <c r="GA4" s="426"/>
      <c r="GB4" s="428" t="s">
        <v>365</v>
      </c>
      <c r="GC4" s="429"/>
      <c r="GD4" s="430" t="s">
        <v>366</v>
      </c>
      <c r="GE4" s="431"/>
      <c r="GF4" s="432" t="s">
        <v>344</v>
      </c>
      <c r="GG4" s="433"/>
      <c r="GH4" s="434"/>
      <c r="GI4" s="410"/>
      <c r="GJ4" s="437"/>
      <c r="GK4" s="437"/>
      <c r="GL4" s="437"/>
      <c r="GM4" s="437"/>
      <c r="GN4" s="437"/>
      <c r="GO4" s="437"/>
      <c r="GP4" s="437"/>
      <c r="GQ4" s="437"/>
      <c r="GR4" s="437"/>
      <c r="GS4" s="414"/>
      <c r="GT4" s="437"/>
      <c r="GU4" s="437"/>
      <c r="GV4" s="437"/>
      <c r="GW4" s="437"/>
      <c r="GX4" s="437"/>
      <c r="GY4" s="437"/>
      <c r="GZ4" s="437"/>
      <c r="HA4" s="437"/>
      <c r="HB4" s="437"/>
      <c r="HC4" s="1452"/>
      <c r="HD4" s="438"/>
      <c r="HE4" s="438"/>
      <c r="HF4" s="501"/>
      <c r="HG4" s="387"/>
      <c r="MO4" s="393" t="s">
        <v>344</v>
      </c>
    </row>
    <row r="5" spans="1:353" ht="24.95" customHeight="1" thickBot="1">
      <c r="A5" s="439" t="s">
        <v>369</v>
      </c>
      <c r="B5" s="440">
        <v>2</v>
      </c>
      <c r="C5" s="441" t="s">
        <v>370</v>
      </c>
      <c r="D5" s="442">
        <v>13.2</v>
      </c>
      <c r="E5" s="443" t="s">
        <v>371</v>
      </c>
      <c r="F5" s="444">
        <v>2.8</v>
      </c>
      <c r="G5" s="445" t="s">
        <v>373</v>
      </c>
      <c r="H5" s="446"/>
      <c r="I5" s="447">
        <v>37</v>
      </c>
      <c r="J5" s="448"/>
      <c r="K5" s="449">
        <v>120</v>
      </c>
      <c r="L5" s="450"/>
      <c r="M5" s="449">
        <v>20</v>
      </c>
      <c r="N5" s="450"/>
      <c r="O5" s="1445" t="s">
        <v>684</v>
      </c>
      <c r="P5" s="451"/>
      <c r="Q5" s="1446" t="s">
        <v>685</v>
      </c>
      <c r="R5" s="452"/>
      <c r="S5" s="1447" t="s">
        <v>686</v>
      </c>
      <c r="T5" s="453"/>
      <c r="U5" s="1448" t="s">
        <v>687</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369</v>
      </c>
      <c r="BE5" s="440">
        <v>2</v>
      </c>
      <c r="BF5" s="441" t="s">
        <v>281</v>
      </c>
      <c r="BG5" s="442">
        <v>13.2</v>
      </c>
      <c r="BH5" s="443" t="s">
        <v>371</v>
      </c>
      <c r="BI5" s="444">
        <v>2.8</v>
      </c>
      <c r="BJ5" s="445" t="s">
        <v>373</v>
      </c>
      <c r="BK5" s="446"/>
      <c r="BL5" s="447">
        <v>37</v>
      </c>
      <c r="BM5" s="448"/>
      <c r="BN5" s="449">
        <v>120</v>
      </c>
      <c r="BO5" s="450"/>
      <c r="BP5" s="449">
        <v>20</v>
      </c>
      <c r="BQ5" s="450"/>
      <c r="BR5" s="1445" t="s">
        <v>684</v>
      </c>
      <c r="BS5" s="451"/>
      <c r="BT5" s="1446" t="s">
        <v>688</v>
      </c>
      <c r="BU5" s="452"/>
      <c r="BV5" s="1447" t="s">
        <v>689</v>
      </c>
      <c r="BW5" s="453"/>
      <c r="BX5" s="1448" t="s">
        <v>690</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369</v>
      </c>
      <c r="DH5" s="440">
        <v>2</v>
      </c>
      <c r="DI5" s="441" t="s">
        <v>281</v>
      </c>
      <c r="DJ5" s="442">
        <v>13.2</v>
      </c>
      <c r="DK5" s="443" t="s">
        <v>371</v>
      </c>
      <c r="DL5" s="444">
        <v>2.8</v>
      </c>
      <c r="DM5" s="445" t="s">
        <v>373</v>
      </c>
      <c r="DN5" s="446"/>
      <c r="DO5" s="447">
        <v>37</v>
      </c>
      <c r="DP5" s="448"/>
      <c r="DQ5" s="449">
        <v>120</v>
      </c>
      <c r="DR5" s="450"/>
      <c r="DS5" s="449">
        <v>20</v>
      </c>
      <c r="DT5" s="450"/>
      <c r="DU5" s="1445" t="s">
        <v>643</v>
      </c>
      <c r="DV5" s="451"/>
      <c r="DW5" s="1446" t="s">
        <v>691</v>
      </c>
      <c r="DX5" s="452"/>
      <c r="DY5" s="1447" t="s">
        <v>689</v>
      </c>
      <c r="DZ5" s="453"/>
      <c r="EA5" s="1448" t="s">
        <v>690</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369</v>
      </c>
      <c r="FK5" s="440">
        <v>2</v>
      </c>
      <c r="FL5" s="441" t="s">
        <v>281</v>
      </c>
      <c r="FM5" s="442">
        <v>13.2</v>
      </c>
      <c r="FN5" s="443" t="s">
        <v>371</v>
      </c>
      <c r="FO5" s="444">
        <v>2.8</v>
      </c>
      <c r="FP5" s="445" t="s">
        <v>373</v>
      </c>
      <c r="FQ5" s="446"/>
      <c r="FR5" s="447">
        <v>37</v>
      </c>
      <c r="FS5" s="448"/>
      <c r="FT5" s="449">
        <v>120</v>
      </c>
      <c r="FU5" s="450"/>
      <c r="FV5" s="449">
        <v>20</v>
      </c>
      <c r="FW5" s="450"/>
      <c r="FX5" s="1445" t="s">
        <v>692</v>
      </c>
      <c r="FY5" s="451"/>
      <c r="FZ5" s="1446" t="s">
        <v>693</v>
      </c>
      <c r="GA5" s="452"/>
      <c r="GB5" s="1447" t="s">
        <v>694</v>
      </c>
      <c r="GC5" s="453"/>
      <c r="GD5" s="1448"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374</v>
      </c>
      <c r="B6" s="464"/>
      <c r="C6" s="465" t="s">
        <v>375</v>
      </c>
      <c r="D6" s="465"/>
      <c r="E6" s="465"/>
      <c r="F6" s="466">
        <v>0</v>
      </c>
      <c r="G6" s="466"/>
      <c r="H6" s="465" t="s">
        <v>376</v>
      </c>
      <c r="I6" s="465"/>
      <c r="J6" s="465"/>
      <c r="K6" s="465"/>
      <c r="L6" s="465"/>
      <c r="M6" s="467">
        <v>0</v>
      </c>
      <c r="N6" s="467"/>
      <c r="O6" s="468"/>
      <c r="P6" s="469"/>
      <c r="Q6" s="469" t="s">
        <v>377</v>
      </c>
      <c r="R6" s="470">
        <v>0</v>
      </c>
      <c r="S6" s="470"/>
      <c r="T6" s="471"/>
      <c r="U6" s="472" t="s">
        <v>378</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380</v>
      </c>
      <c r="BC6" s="476"/>
      <c r="BD6" s="463" t="s">
        <v>374</v>
      </c>
      <c r="BE6" s="464"/>
      <c r="BF6" s="465" t="s">
        <v>375</v>
      </c>
      <c r="BG6" s="465"/>
      <c r="BH6" s="465"/>
      <c r="BI6" s="466">
        <v>0</v>
      </c>
      <c r="BJ6" s="466"/>
      <c r="BK6" s="465" t="s">
        <v>376</v>
      </c>
      <c r="BL6" s="465"/>
      <c r="BM6" s="465"/>
      <c r="BN6" s="465"/>
      <c r="BO6" s="465"/>
      <c r="BP6" s="467">
        <v>0</v>
      </c>
      <c r="BQ6" s="467"/>
      <c r="BR6" s="468"/>
      <c r="BS6" s="469"/>
      <c r="BT6" s="469" t="s">
        <v>282</v>
      </c>
      <c r="BU6" s="470">
        <v>0</v>
      </c>
      <c r="BV6" s="470"/>
      <c r="BW6" s="471"/>
      <c r="BX6" s="472" t="s">
        <v>283</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382</v>
      </c>
      <c r="DF6" s="478"/>
      <c r="DG6" s="463" t="s">
        <v>374</v>
      </c>
      <c r="DH6" s="464"/>
      <c r="DI6" s="465" t="s">
        <v>375</v>
      </c>
      <c r="DJ6" s="465"/>
      <c r="DK6" s="465"/>
      <c r="DL6" s="466">
        <v>0</v>
      </c>
      <c r="DM6" s="466"/>
      <c r="DN6" s="465" t="s">
        <v>376</v>
      </c>
      <c r="DO6" s="465"/>
      <c r="DP6" s="465"/>
      <c r="DQ6" s="465"/>
      <c r="DR6" s="465"/>
      <c r="DS6" s="467">
        <v>0</v>
      </c>
      <c r="DT6" s="467"/>
      <c r="DU6" s="468"/>
      <c r="DV6" s="469"/>
      <c r="DW6" s="469" t="s">
        <v>282</v>
      </c>
      <c r="DX6" s="470">
        <v>0</v>
      </c>
      <c r="DY6" s="470"/>
      <c r="DZ6" s="471"/>
      <c r="EA6" s="472" t="s">
        <v>283</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384</v>
      </c>
      <c r="FI6" s="478"/>
      <c r="FJ6" s="463" t="s">
        <v>385</v>
      </c>
      <c r="FK6" s="464"/>
      <c r="FL6" s="465" t="s">
        <v>375</v>
      </c>
      <c r="FM6" s="465"/>
      <c r="FN6" s="465"/>
      <c r="FO6" s="466">
        <v>0</v>
      </c>
      <c r="FP6" s="466"/>
      <c r="FQ6" s="465" t="s">
        <v>376</v>
      </c>
      <c r="FR6" s="465"/>
      <c r="FS6" s="465"/>
      <c r="FT6" s="465"/>
      <c r="FU6" s="465"/>
      <c r="FV6" s="467">
        <v>0</v>
      </c>
      <c r="FW6" s="467"/>
      <c r="FX6" s="468"/>
      <c r="FY6" s="469"/>
      <c r="FZ6" s="469" t="s">
        <v>386</v>
      </c>
      <c r="GA6" s="470">
        <v>0</v>
      </c>
      <c r="GB6" s="470"/>
      <c r="GC6" s="471"/>
      <c r="GD6" s="472" t="s">
        <v>387</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284</v>
      </c>
      <c r="B7" s="486"/>
      <c r="C7" s="486"/>
      <c r="D7" s="486"/>
      <c r="E7" s="486"/>
      <c r="F7" s="487"/>
      <c r="G7" s="488" t="s">
        <v>285</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284</v>
      </c>
      <c r="BE7" s="486"/>
      <c r="BF7" s="486"/>
      <c r="BG7" s="486"/>
      <c r="BH7" s="486"/>
      <c r="BI7" s="487"/>
      <c r="BJ7" s="488" t="s">
        <v>286</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284</v>
      </c>
      <c r="DH7" s="486"/>
      <c r="DI7" s="486"/>
      <c r="DJ7" s="486"/>
      <c r="DK7" s="486"/>
      <c r="DL7" s="487"/>
      <c r="DM7" s="488" t="s">
        <v>287</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284</v>
      </c>
      <c r="FK7" s="486"/>
      <c r="FL7" s="486"/>
      <c r="FM7" s="486"/>
      <c r="FN7" s="486"/>
      <c r="FO7" s="487"/>
      <c r="FP7" s="491" t="s">
        <v>288</v>
      </c>
      <c r="FQ7" s="492"/>
      <c r="FR7" s="492"/>
      <c r="FS7" s="492"/>
      <c r="FT7" s="492"/>
      <c r="FU7" s="492"/>
      <c r="FV7" s="493" t="s">
        <v>289</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290</v>
      </c>
      <c r="FQ8" s="518"/>
      <c r="FR8" s="519"/>
      <c r="FS8" s="520" t="s">
        <v>291</v>
      </c>
      <c r="FT8" s="520"/>
      <c r="FU8" s="521"/>
      <c r="FV8" s="522"/>
      <c r="FW8" s="523"/>
      <c r="FX8" s="523"/>
      <c r="FY8" s="523"/>
      <c r="FZ8" s="523"/>
      <c r="GA8" s="523"/>
      <c r="GB8" s="523"/>
      <c r="GC8" s="523"/>
      <c r="GD8" s="523"/>
      <c r="GE8" s="524"/>
      <c r="GF8" s="496"/>
      <c r="GG8" s="480"/>
      <c r="GH8" s="480"/>
      <c r="GI8" s="480"/>
      <c r="GJ8" s="525" t="s">
        <v>416</v>
      </c>
      <c r="GK8" s="525"/>
      <c r="GL8" s="526"/>
      <c r="GM8" s="527"/>
      <c r="GN8" s="526"/>
      <c r="GO8" s="527"/>
      <c r="GP8" s="526"/>
      <c r="GQ8" s="526"/>
      <c r="GR8" s="526"/>
      <c r="GS8" s="526"/>
      <c r="GT8" s="525" t="s">
        <v>416</v>
      </c>
      <c r="GU8" s="525"/>
      <c r="GV8" s="414"/>
      <c r="GW8" s="480"/>
      <c r="GX8" s="483"/>
      <c r="GY8" s="480"/>
      <c r="GZ8" s="483"/>
      <c r="HA8" s="527"/>
      <c r="HB8" s="527"/>
      <c r="HC8" s="527"/>
      <c r="HD8" s="438"/>
      <c r="HE8" s="438"/>
      <c r="HF8" s="1450"/>
      <c r="HG8" s="1450"/>
    </row>
    <row r="9" spans="1:353" ht="22.5" customHeight="1">
      <c r="A9" s="529" t="s">
        <v>292</v>
      </c>
      <c r="B9" s="530" t="s">
        <v>293</v>
      </c>
      <c r="C9" s="531" t="s">
        <v>294</v>
      </c>
      <c r="D9" s="531" t="s">
        <v>513</v>
      </c>
      <c r="E9" s="532" t="s">
        <v>519</v>
      </c>
      <c r="F9" s="533" t="s">
        <v>297</v>
      </c>
      <c r="G9" s="534" t="s">
        <v>552</v>
      </c>
      <c r="H9" s="535" t="s">
        <v>517</v>
      </c>
      <c r="I9" s="536" t="s">
        <v>300</v>
      </c>
      <c r="J9" s="535" t="s">
        <v>517</v>
      </c>
      <c r="K9" s="536" t="s">
        <v>300</v>
      </c>
      <c r="L9" s="535" t="s">
        <v>517</v>
      </c>
      <c r="M9" s="536" t="s">
        <v>300</v>
      </c>
      <c r="N9" s="535" t="s">
        <v>517</v>
      </c>
      <c r="O9" s="536" t="s">
        <v>300</v>
      </c>
      <c r="P9" s="535" t="s">
        <v>553</v>
      </c>
      <c r="Q9" s="536" t="s">
        <v>300</v>
      </c>
      <c r="R9" s="535" t="s">
        <v>517</v>
      </c>
      <c r="S9" s="536" t="s">
        <v>300</v>
      </c>
      <c r="T9" s="535" t="s">
        <v>553</v>
      </c>
      <c r="U9" s="536" t="s">
        <v>300</v>
      </c>
      <c r="V9" s="535" t="s">
        <v>517</v>
      </c>
      <c r="W9" s="536" t="s">
        <v>300</v>
      </c>
      <c r="X9" s="535" t="s">
        <v>517</v>
      </c>
      <c r="Y9" s="536" t="s">
        <v>300</v>
      </c>
      <c r="Z9" s="535" t="s">
        <v>517</v>
      </c>
      <c r="AA9" s="536" t="s">
        <v>300</v>
      </c>
      <c r="AB9" s="535" t="s">
        <v>517</v>
      </c>
      <c r="AC9" s="536" t="s">
        <v>300</v>
      </c>
      <c r="AD9" s="535" t="s">
        <v>517</v>
      </c>
      <c r="AE9" s="536" t="s">
        <v>300</v>
      </c>
      <c r="AF9" s="535" t="s">
        <v>517</v>
      </c>
      <c r="AG9" s="536" t="s">
        <v>300</v>
      </c>
      <c r="AH9" s="535" t="s">
        <v>517</v>
      </c>
      <c r="AI9" s="536" t="s">
        <v>300</v>
      </c>
      <c r="AJ9" s="535" t="s">
        <v>553</v>
      </c>
      <c r="AK9" s="536" t="s">
        <v>300</v>
      </c>
      <c r="AL9" s="535" t="s">
        <v>517</v>
      </c>
      <c r="AM9" s="536" t="s">
        <v>300</v>
      </c>
      <c r="AN9" s="535" t="s">
        <v>517</v>
      </c>
      <c r="AO9" s="536" t="s">
        <v>300</v>
      </c>
      <c r="AP9" s="535" t="s">
        <v>517</v>
      </c>
      <c r="AQ9" s="536" t="s">
        <v>300</v>
      </c>
      <c r="AR9" s="535" t="s">
        <v>517</v>
      </c>
      <c r="AS9" s="536" t="s">
        <v>300</v>
      </c>
      <c r="AT9" s="535" t="s">
        <v>517</v>
      </c>
      <c r="AU9" s="536" t="s">
        <v>300</v>
      </c>
      <c r="AV9" s="535" t="s">
        <v>553</v>
      </c>
      <c r="AW9" s="536" t="s">
        <v>300</v>
      </c>
      <c r="AX9" s="535" t="s">
        <v>517</v>
      </c>
      <c r="AY9" s="536" t="s">
        <v>300</v>
      </c>
      <c r="AZ9" s="535" t="s">
        <v>553</v>
      </c>
      <c r="BA9" s="536" t="s">
        <v>300</v>
      </c>
      <c r="BB9" s="537" t="s">
        <v>301</v>
      </c>
      <c r="BC9" s="500"/>
      <c r="BD9" s="529" t="s">
        <v>292</v>
      </c>
      <c r="BE9" s="530" t="s">
        <v>293</v>
      </c>
      <c r="BF9" s="531" t="s">
        <v>294</v>
      </c>
      <c r="BG9" s="531" t="s">
        <v>513</v>
      </c>
      <c r="BH9" s="532" t="s">
        <v>519</v>
      </c>
      <c r="BI9" s="533" t="s">
        <v>297</v>
      </c>
      <c r="BJ9" s="534" t="s">
        <v>515</v>
      </c>
      <c r="BK9" s="535" t="s">
        <v>517</v>
      </c>
      <c r="BL9" s="536" t="s">
        <v>300</v>
      </c>
      <c r="BM9" s="535" t="s">
        <v>517</v>
      </c>
      <c r="BN9" s="536" t="s">
        <v>300</v>
      </c>
      <c r="BO9" s="535" t="s">
        <v>517</v>
      </c>
      <c r="BP9" s="536" t="s">
        <v>300</v>
      </c>
      <c r="BQ9" s="535" t="s">
        <v>517</v>
      </c>
      <c r="BR9" s="536" t="s">
        <v>300</v>
      </c>
      <c r="BS9" s="535" t="s">
        <v>516</v>
      </c>
      <c r="BT9" s="536" t="s">
        <v>300</v>
      </c>
      <c r="BU9" s="535" t="s">
        <v>517</v>
      </c>
      <c r="BV9" s="536" t="s">
        <v>300</v>
      </c>
      <c r="BW9" s="535" t="s">
        <v>553</v>
      </c>
      <c r="BX9" s="536" t="s">
        <v>300</v>
      </c>
      <c r="BY9" s="535" t="s">
        <v>517</v>
      </c>
      <c r="BZ9" s="536" t="s">
        <v>300</v>
      </c>
      <c r="CA9" s="535" t="s">
        <v>517</v>
      </c>
      <c r="CB9" s="536" t="s">
        <v>300</v>
      </c>
      <c r="CC9" s="535" t="s">
        <v>517</v>
      </c>
      <c r="CD9" s="536" t="s">
        <v>300</v>
      </c>
      <c r="CE9" s="535" t="s">
        <v>517</v>
      </c>
      <c r="CF9" s="536" t="s">
        <v>300</v>
      </c>
      <c r="CG9" s="535" t="s">
        <v>517</v>
      </c>
      <c r="CH9" s="536" t="s">
        <v>300</v>
      </c>
      <c r="CI9" s="535" t="s">
        <v>517</v>
      </c>
      <c r="CJ9" s="536" t="s">
        <v>300</v>
      </c>
      <c r="CK9" s="535" t="s">
        <v>517</v>
      </c>
      <c r="CL9" s="536" t="s">
        <v>300</v>
      </c>
      <c r="CM9" s="535" t="s">
        <v>553</v>
      </c>
      <c r="CN9" s="536" t="s">
        <v>300</v>
      </c>
      <c r="CO9" s="535" t="s">
        <v>517</v>
      </c>
      <c r="CP9" s="536" t="s">
        <v>300</v>
      </c>
      <c r="CQ9" s="535" t="s">
        <v>517</v>
      </c>
      <c r="CR9" s="536" t="s">
        <v>300</v>
      </c>
      <c r="CS9" s="535" t="s">
        <v>553</v>
      </c>
      <c r="CT9" s="536" t="s">
        <v>300</v>
      </c>
      <c r="CU9" s="535" t="s">
        <v>517</v>
      </c>
      <c r="CV9" s="536" t="s">
        <v>300</v>
      </c>
      <c r="CW9" s="535" t="s">
        <v>517</v>
      </c>
      <c r="CX9" s="536" t="s">
        <v>300</v>
      </c>
      <c r="CY9" s="535" t="s">
        <v>517</v>
      </c>
      <c r="CZ9" s="536" t="s">
        <v>300</v>
      </c>
      <c r="DA9" s="535" t="s">
        <v>516</v>
      </c>
      <c r="DB9" s="536" t="s">
        <v>300</v>
      </c>
      <c r="DC9" s="535" t="s">
        <v>517</v>
      </c>
      <c r="DD9" s="536" t="s">
        <v>300</v>
      </c>
      <c r="DE9" s="537" t="s">
        <v>301</v>
      </c>
      <c r="DF9" s="500"/>
      <c r="DG9" s="529" t="s">
        <v>292</v>
      </c>
      <c r="DH9" s="530" t="s">
        <v>293</v>
      </c>
      <c r="DI9" s="531" t="s">
        <v>294</v>
      </c>
      <c r="DJ9" s="531" t="s">
        <v>513</v>
      </c>
      <c r="DK9" s="532" t="s">
        <v>554</v>
      </c>
      <c r="DL9" s="533" t="s">
        <v>297</v>
      </c>
      <c r="DM9" s="534" t="s">
        <v>552</v>
      </c>
      <c r="DN9" s="535" t="s">
        <v>553</v>
      </c>
      <c r="DO9" s="536" t="s">
        <v>300</v>
      </c>
      <c r="DP9" s="535" t="s">
        <v>517</v>
      </c>
      <c r="DQ9" s="536" t="s">
        <v>300</v>
      </c>
      <c r="DR9" s="535" t="s">
        <v>553</v>
      </c>
      <c r="DS9" s="536" t="s">
        <v>300</v>
      </c>
      <c r="DT9" s="535" t="s">
        <v>517</v>
      </c>
      <c r="DU9" s="536" t="s">
        <v>300</v>
      </c>
      <c r="DV9" s="535" t="s">
        <v>553</v>
      </c>
      <c r="DW9" s="536" t="s">
        <v>300</v>
      </c>
      <c r="DX9" s="535" t="s">
        <v>517</v>
      </c>
      <c r="DY9" s="536" t="s">
        <v>300</v>
      </c>
      <c r="DZ9" s="535" t="s">
        <v>553</v>
      </c>
      <c r="EA9" s="536" t="s">
        <v>300</v>
      </c>
      <c r="EB9" s="535" t="s">
        <v>517</v>
      </c>
      <c r="EC9" s="536" t="s">
        <v>300</v>
      </c>
      <c r="ED9" s="535" t="s">
        <v>517</v>
      </c>
      <c r="EE9" s="536" t="s">
        <v>300</v>
      </c>
      <c r="EF9" s="535" t="s">
        <v>517</v>
      </c>
      <c r="EG9" s="536" t="s">
        <v>300</v>
      </c>
      <c r="EH9" s="535" t="s">
        <v>517</v>
      </c>
      <c r="EI9" s="536" t="s">
        <v>300</v>
      </c>
      <c r="EJ9" s="535" t="s">
        <v>517</v>
      </c>
      <c r="EK9" s="536" t="s">
        <v>300</v>
      </c>
      <c r="EL9" s="535" t="s">
        <v>517</v>
      </c>
      <c r="EM9" s="536" t="s">
        <v>300</v>
      </c>
      <c r="EN9" s="535" t="s">
        <v>517</v>
      </c>
      <c r="EO9" s="536" t="s">
        <v>300</v>
      </c>
      <c r="EP9" s="535" t="s">
        <v>553</v>
      </c>
      <c r="EQ9" s="536" t="s">
        <v>300</v>
      </c>
      <c r="ER9" s="535" t="s">
        <v>553</v>
      </c>
      <c r="ES9" s="536" t="s">
        <v>300</v>
      </c>
      <c r="ET9" s="535" t="s">
        <v>517</v>
      </c>
      <c r="EU9" s="536" t="s">
        <v>300</v>
      </c>
      <c r="EV9" s="535" t="s">
        <v>517</v>
      </c>
      <c r="EW9" s="536" t="s">
        <v>300</v>
      </c>
      <c r="EX9" s="535" t="s">
        <v>517</v>
      </c>
      <c r="EY9" s="536" t="s">
        <v>300</v>
      </c>
      <c r="EZ9" s="535" t="s">
        <v>517</v>
      </c>
      <c r="FA9" s="536" t="s">
        <v>300</v>
      </c>
      <c r="FB9" s="535" t="s">
        <v>516</v>
      </c>
      <c r="FC9" s="536" t="s">
        <v>300</v>
      </c>
      <c r="FD9" s="535" t="s">
        <v>517</v>
      </c>
      <c r="FE9" s="536" t="s">
        <v>300</v>
      </c>
      <c r="FF9" s="535" t="s">
        <v>517</v>
      </c>
      <c r="FG9" s="536" t="s">
        <v>300</v>
      </c>
      <c r="FH9" s="537" t="s">
        <v>301</v>
      </c>
      <c r="FI9" s="538"/>
      <c r="FJ9" s="539" t="s">
        <v>292</v>
      </c>
      <c r="FK9" s="530" t="s">
        <v>293</v>
      </c>
      <c r="FL9" s="531" t="s">
        <v>294</v>
      </c>
      <c r="FM9" s="531" t="s">
        <v>513</v>
      </c>
      <c r="FN9" s="532" t="s">
        <v>519</v>
      </c>
      <c r="FO9" s="533" t="s">
        <v>297</v>
      </c>
      <c r="FP9" s="540" t="s">
        <v>46</v>
      </c>
      <c r="FQ9" s="541" t="s">
        <v>300</v>
      </c>
      <c r="FR9" s="535" t="s">
        <v>301</v>
      </c>
      <c r="FS9" s="542" t="s">
        <v>46</v>
      </c>
      <c r="FT9" s="541" t="s">
        <v>300</v>
      </c>
      <c r="FU9" s="535" t="s">
        <v>301</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4"/>
      <c r="HG9" s="1454"/>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522</v>
      </c>
      <c r="FS10" s="563"/>
      <c r="FT10" s="555"/>
      <c r="FU10" s="564" t="s">
        <v>521</v>
      </c>
      <c r="FV10" s="565" t="s">
        <v>303</v>
      </c>
      <c r="FW10" s="1265"/>
      <c r="FX10" s="1266" t="s">
        <v>304</v>
      </c>
      <c r="FY10" s="1267"/>
      <c r="FZ10" s="1268" t="s">
        <v>305</v>
      </c>
      <c r="GA10" s="1269"/>
      <c r="GB10" s="1270" t="s">
        <v>566</v>
      </c>
      <c r="GC10" s="1271"/>
      <c r="GD10" s="573" t="s">
        <v>567</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4"/>
      <c r="HG10" s="1454"/>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521</v>
      </c>
      <c r="FS11" s="588"/>
      <c r="FT11" s="583"/>
      <c r="FU11" s="589" t="s">
        <v>522</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4"/>
      <c r="HG11" s="1454"/>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521</v>
      </c>
      <c r="FS12" s="588"/>
      <c r="FT12" s="583"/>
      <c r="FU12" s="589" t="s">
        <v>555</v>
      </c>
      <c r="FV12" s="590"/>
      <c r="FW12" s="591"/>
      <c r="FX12" s="592"/>
      <c r="FY12" s="593"/>
      <c r="FZ12" s="594"/>
      <c r="GA12" s="595"/>
      <c r="GB12" s="596"/>
      <c r="GC12" s="597"/>
      <c r="GD12" s="596"/>
      <c r="GE12" s="598"/>
      <c r="GF12" s="496"/>
      <c r="GG12" s="599"/>
      <c r="GH12" s="599"/>
      <c r="GI12" s="599"/>
      <c r="GJ12" s="414"/>
      <c r="GK12" s="600" t="s">
        <v>362</v>
      </c>
      <c r="GL12" s="601"/>
      <c r="GM12" s="602" t="s">
        <v>445</v>
      </c>
      <c r="GN12" s="603" t="s">
        <v>446</v>
      </c>
      <c r="GO12" s="604" t="s">
        <v>447</v>
      </c>
      <c r="GP12" s="605" t="s">
        <v>448</v>
      </c>
      <c r="GQ12" s="604" t="s">
        <v>449</v>
      </c>
      <c r="GR12" s="604" t="s">
        <v>450</v>
      </c>
      <c r="GS12" s="606"/>
      <c r="GT12" s="545"/>
      <c r="GU12" s="600" t="s">
        <v>362</v>
      </c>
      <c r="GV12" s="601"/>
      <c r="GW12" s="602" t="s">
        <v>445</v>
      </c>
      <c r="GX12" s="607" t="s">
        <v>451</v>
      </c>
      <c r="GY12" s="608"/>
      <c r="GZ12" s="609" t="s">
        <v>447</v>
      </c>
      <c r="HA12" s="610" t="s">
        <v>452</v>
      </c>
      <c r="HB12" s="611"/>
      <c r="HC12" s="612"/>
      <c r="HD12" s="792"/>
      <c r="HE12" s="438"/>
      <c r="HF12" s="1454"/>
      <c r="HG12" s="1454"/>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521</v>
      </c>
      <c r="FS13" s="623"/>
      <c r="FT13" s="618"/>
      <c r="FU13" s="624" t="s">
        <v>522</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524</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524</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556</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524</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3"/>
      <c r="HE14" s="416"/>
      <c r="HF14" s="416"/>
      <c r="HG14" s="416"/>
    </row>
    <row r="15" spans="1:353" ht="24" customHeight="1">
      <c r="A15" s="529" t="s">
        <v>307</v>
      </c>
      <c r="B15" s="655" t="s">
        <v>293</v>
      </c>
      <c r="C15" s="656" t="s">
        <v>294</v>
      </c>
      <c r="D15" s="657" t="s">
        <v>533</v>
      </c>
      <c r="E15" s="657" t="s">
        <v>308</v>
      </c>
      <c r="F15" s="658" t="s">
        <v>112</v>
      </c>
      <c r="G15" s="659" t="s">
        <v>318</v>
      </c>
      <c r="H15" s="660" t="s">
        <v>529</v>
      </c>
      <c r="I15" s="661" t="s">
        <v>311</v>
      </c>
      <c r="J15" s="660" t="s">
        <v>529</v>
      </c>
      <c r="K15" s="661" t="s">
        <v>311</v>
      </c>
      <c r="L15" s="660" t="s">
        <v>528</v>
      </c>
      <c r="M15" s="661" t="s">
        <v>311</v>
      </c>
      <c r="N15" s="660" t="s">
        <v>529</v>
      </c>
      <c r="O15" s="661" t="s">
        <v>311</v>
      </c>
      <c r="P15" s="660" t="s">
        <v>557</v>
      </c>
      <c r="Q15" s="661" t="s">
        <v>311</v>
      </c>
      <c r="R15" s="660" t="s">
        <v>532</v>
      </c>
      <c r="S15" s="661" t="s">
        <v>311</v>
      </c>
      <c r="T15" s="660" t="s">
        <v>557</v>
      </c>
      <c r="U15" s="661" t="s">
        <v>311</v>
      </c>
      <c r="V15" s="660" t="s">
        <v>532</v>
      </c>
      <c r="W15" s="661" t="s">
        <v>311</v>
      </c>
      <c r="X15" s="660" t="s">
        <v>529</v>
      </c>
      <c r="Y15" s="661" t="s">
        <v>311</v>
      </c>
      <c r="Z15" s="660" t="s">
        <v>529</v>
      </c>
      <c r="AA15" s="661" t="s">
        <v>311</v>
      </c>
      <c r="AB15" s="660" t="s">
        <v>529</v>
      </c>
      <c r="AC15" s="661" t="s">
        <v>311</v>
      </c>
      <c r="AD15" s="660" t="s">
        <v>529</v>
      </c>
      <c r="AE15" s="661" t="s">
        <v>311</v>
      </c>
      <c r="AF15" s="660" t="s">
        <v>532</v>
      </c>
      <c r="AG15" s="661" t="s">
        <v>311</v>
      </c>
      <c r="AH15" s="660" t="s">
        <v>529</v>
      </c>
      <c r="AI15" s="661" t="s">
        <v>311</v>
      </c>
      <c r="AJ15" s="660" t="s">
        <v>529</v>
      </c>
      <c r="AK15" s="661" t="s">
        <v>311</v>
      </c>
      <c r="AL15" s="660" t="s">
        <v>532</v>
      </c>
      <c r="AM15" s="661" t="s">
        <v>311</v>
      </c>
      <c r="AN15" s="660" t="s">
        <v>532</v>
      </c>
      <c r="AO15" s="661" t="s">
        <v>311</v>
      </c>
      <c r="AP15" s="660" t="s">
        <v>528</v>
      </c>
      <c r="AQ15" s="661" t="s">
        <v>311</v>
      </c>
      <c r="AR15" s="660" t="s">
        <v>532</v>
      </c>
      <c r="AS15" s="661" t="s">
        <v>311</v>
      </c>
      <c r="AT15" s="660" t="s">
        <v>529</v>
      </c>
      <c r="AU15" s="661" t="s">
        <v>311</v>
      </c>
      <c r="AV15" s="660" t="s">
        <v>532</v>
      </c>
      <c r="AW15" s="661" t="s">
        <v>311</v>
      </c>
      <c r="AX15" s="660" t="s">
        <v>558</v>
      </c>
      <c r="AY15" s="661" t="s">
        <v>311</v>
      </c>
      <c r="AZ15" s="660" t="s">
        <v>529</v>
      </c>
      <c r="BA15" s="661" t="s">
        <v>311</v>
      </c>
      <c r="BB15" s="662" t="s">
        <v>313</v>
      </c>
      <c r="BC15" s="663"/>
      <c r="BD15" s="529" t="s">
        <v>307</v>
      </c>
      <c r="BE15" s="655" t="s">
        <v>293</v>
      </c>
      <c r="BF15" s="656" t="s">
        <v>294</v>
      </c>
      <c r="BG15" s="657" t="s">
        <v>527</v>
      </c>
      <c r="BH15" s="657" t="s">
        <v>308</v>
      </c>
      <c r="BI15" s="658" t="s">
        <v>112</v>
      </c>
      <c r="BJ15" s="659" t="s">
        <v>535</v>
      </c>
      <c r="BK15" s="660" t="s">
        <v>528</v>
      </c>
      <c r="BL15" s="661" t="s">
        <v>311</v>
      </c>
      <c r="BM15" s="660" t="s">
        <v>532</v>
      </c>
      <c r="BN15" s="661" t="s">
        <v>311</v>
      </c>
      <c r="BO15" s="660" t="s">
        <v>532</v>
      </c>
      <c r="BP15" s="661" t="s">
        <v>311</v>
      </c>
      <c r="BQ15" s="660" t="s">
        <v>558</v>
      </c>
      <c r="BR15" s="661" t="s">
        <v>311</v>
      </c>
      <c r="BS15" s="660" t="s">
        <v>528</v>
      </c>
      <c r="BT15" s="661" t="s">
        <v>311</v>
      </c>
      <c r="BU15" s="660" t="s">
        <v>532</v>
      </c>
      <c r="BV15" s="661" t="s">
        <v>311</v>
      </c>
      <c r="BW15" s="660" t="s">
        <v>529</v>
      </c>
      <c r="BX15" s="661" t="s">
        <v>311</v>
      </c>
      <c r="BY15" s="660" t="s">
        <v>529</v>
      </c>
      <c r="BZ15" s="661" t="s">
        <v>311</v>
      </c>
      <c r="CA15" s="660" t="s">
        <v>559</v>
      </c>
      <c r="CB15" s="661" t="s">
        <v>311</v>
      </c>
      <c r="CC15" s="660" t="s">
        <v>558</v>
      </c>
      <c r="CD15" s="661" t="s">
        <v>311</v>
      </c>
      <c r="CE15" s="660" t="s">
        <v>529</v>
      </c>
      <c r="CF15" s="661" t="s">
        <v>311</v>
      </c>
      <c r="CG15" s="660" t="s">
        <v>529</v>
      </c>
      <c r="CH15" s="661" t="s">
        <v>311</v>
      </c>
      <c r="CI15" s="660" t="s">
        <v>528</v>
      </c>
      <c r="CJ15" s="661" t="s">
        <v>311</v>
      </c>
      <c r="CK15" s="660" t="s">
        <v>558</v>
      </c>
      <c r="CL15" s="661" t="s">
        <v>311</v>
      </c>
      <c r="CM15" s="660" t="s">
        <v>529</v>
      </c>
      <c r="CN15" s="661" t="s">
        <v>311</v>
      </c>
      <c r="CO15" s="660" t="s">
        <v>528</v>
      </c>
      <c r="CP15" s="661" t="s">
        <v>311</v>
      </c>
      <c r="CQ15" s="660" t="s">
        <v>528</v>
      </c>
      <c r="CR15" s="661" t="s">
        <v>311</v>
      </c>
      <c r="CS15" s="660" t="s">
        <v>558</v>
      </c>
      <c r="CT15" s="661" t="s">
        <v>311</v>
      </c>
      <c r="CU15" s="660" t="s">
        <v>532</v>
      </c>
      <c r="CV15" s="661" t="s">
        <v>311</v>
      </c>
      <c r="CW15" s="660" t="s">
        <v>529</v>
      </c>
      <c r="CX15" s="661" t="s">
        <v>311</v>
      </c>
      <c r="CY15" s="660" t="s">
        <v>529</v>
      </c>
      <c r="CZ15" s="661" t="s">
        <v>311</v>
      </c>
      <c r="DA15" s="660" t="s">
        <v>558</v>
      </c>
      <c r="DB15" s="661" t="s">
        <v>311</v>
      </c>
      <c r="DC15" s="660" t="s">
        <v>532</v>
      </c>
      <c r="DD15" s="661" t="s">
        <v>311</v>
      </c>
      <c r="DE15" s="662" t="s">
        <v>313</v>
      </c>
      <c r="DF15" s="663"/>
      <c r="DG15" s="529" t="s">
        <v>307</v>
      </c>
      <c r="DH15" s="655" t="s">
        <v>293</v>
      </c>
      <c r="DI15" s="656" t="s">
        <v>294</v>
      </c>
      <c r="DJ15" s="657" t="s">
        <v>560</v>
      </c>
      <c r="DK15" s="657" t="s">
        <v>308</v>
      </c>
      <c r="DL15" s="658" t="s">
        <v>112</v>
      </c>
      <c r="DM15" s="659" t="s">
        <v>561</v>
      </c>
      <c r="DN15" s="660" t="s">
        <v>528</v>
      </c>
      <c r="DO15" s="661" t="s">
        <v>311</v>
      </c>
      <c r="DP15" s="660" t="s">
        <v>532</v>
      </c>
      <c r="DQ15" s="661" t="s">
        <v>311</v>
      </c>
      <c r="DR15" s="660" t="s">
        <v>529</v>
      </c>
      <c r="DS15" s="661" t="s">
        <v>311</v>
      </c>
      <c r="DT15" s="660" t="s">
        <v>558</v>
      </c>
      <c r="DU15" s="661" t="s">
        <v>311</v>
      </c>
      <c r="DV15" s="660" t="s">
        <v>529</v>
      </c>
      <c r="DW15" s="661" t="s">
        <v>311</v>
      </c>
      <c r="DX15" s="660" t="s">
        <v>559</v>
      </c>
      <c r="DY15" s="661" t="s">
        <v>311</v>
      </c>
      <c r="DZ15" s="660" t="s">
        <v>529</v>
      </c>
      <c r="EA15" s="661" t="s">
        <v>311</v>
      </c>
      <c r="EB15" s="660" t="s">
        <v>529</v>
      </c>
      <c r="EC15" s="661" t="s">
        <v>311</v>
      </c>
      <c r="ED15" s="660" t="s">
        <v>532</v>
      </c>
      <c r="EE15" s="661" t="s">
        <v>311</v>
      </c>
      <c r="EF15" s="660" t="s">
        <v>557</v>
      </c>
      <c r="EG15" s="661" t="s">
        <v>311</v>
      </c>
      <c r="EH15" s="660" t="s">
        <v>529</v>
      </c>
      <c r="EI15" s="661" t="s">
        <v>311</v>
      </c>
      <c r="EJ15" s="660" t="s">
        <v>529</v>
      </c>
      <c r="EK15" s="661" t="s">
        <v>311</v>
      </c>
      <c r="EL15" s="660" t="s">
        <v>528</v>
      </c>
      <c r="EM15" s="661" t="s">
        <v>311</v>
      </c>
      <c r="EN15" s="660" t="s">
        <v>558</v>
      </c>
      <c r="EO15" s="661" t="s">
        <v>311</v>
      </c>
      <c r="EP15" s="660" t="s">
        <v>528</v>
      </c>
      <c r="EQ15" s="661" t="s">
        <v>311</v>
      </c>
      <c r="ER15" s="660" t="s">
        <v>529</v>
      </c>
      <c r="ES15" s="661" t="s">
        <v>311</v>
      </c>
      <c r="ET15" s="660" t="s">
        <v>532</v>
      </c>
      <c r="EU15" s="661" t="s">
        <v>311</v>
      </c>
      <c r="EV15" s="660" t="s">
        <v>532</v>
      </c>
      <c r="EW15" s="661" t="s">
        <v>311</v>
      </c>
      <c r="EX15" s="660" t="s">
        <v>532</v>
      </c>
      <c r="EY15" s="661" t="s">
        <v>311</v>
      </c>
      <c r="EZ15" s="660" t="s">
        <v>529</v>
      </c>
      <c r="FA15" s="661" t="s">
        <v>311</v>
      </c>
      <c r="FB15" s="660" t="s">
        <v>558</v>
      </c>
      <c r="FC15" s="661" t="s">
        <v>311</v>
      </c>
      <c r="FD15" s="660" t="s">
        <v>558</v>
      </c>
      <c r="FE15" s="661" t="s">
        <v>311</v>
      </c>
      <c r="FF15" s="660" t="s">
        <v>532</v>
      </c>
      <c r="FG15" s="661" t="s">
        <v>311</v>
      </c>
      <c r="FH15" s="662" t="s">
        <v>313</v>
      </c>
      <c r="FI15" s="664"/>
      <c r="FJ15" s="539" t="s">
        <v>307</v>
      </c>
      <c r="FK15" s="655" t="s">
        <v>293</v>
      </c>
      <c r="FL15" s="656" t="s">
        <v>294</v>
      </c>
      <c r="FM15" s="657" t="s">
        <v>533</v>
      </c>
      <c r="FN15" s="657" t="s">
        <v>308</v>
      </c>
      <c r="FO15" s="658" t="s">
        <v>112</v>
      </c>
      <c r="FP15" s="665" t="s">
        <v>46</v>
      </c>
      <c r="FQ15" s="666" t="s">
        <v>311</v>
      </c>
      <c r="FR15" s="660" t="s">
        <v>313</v>
      </c>
      <c r="FS15" s="667" t="s">
        <v>46</v>
      </c>
      <c r="FT15" s="666" t="s">
        <v>311</v>
      </c>
      <c r="FU15" s="668" t="s">
        <v>313</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222</v>
      </c>
      <c r="C16" s="672" t="s">
        <v>72</v>
      </c>
      <c r="D16" s="552">
        <v>22.47</v>
      </c>
      <c r="E16" s="673">
        <v>0.6</v>
      </c>
      <c r="F16" s="674"/>
      <c r="G16" s="675">
        <v>0</v>
      </c>
      <c r="H16" s="556">
        <f>ROUND(22.47*0.6*0,0)</f>
        <v>0</v>
      </c>
      <c r="I16" s="676">
        <v>0</v>
      </c>
      <c r="J16" s="556">
        <f>ROUND(22.47*0.6*0,0)</f>
        <v>0</v>
      </c>
      <c r="K16" s="676">
        <v>0</v>
      </c>
      <c r="L16" s="556">
        <f>ROUND(22.47*0.6*0,0)</f>
        <v>0</v>
      </c>
      <c r="M16" s="676">
        <v>0</v>
      </c>
      <c r="N16" s="556">
        <f>ROUND(22.47*0.6*0,0)</f>
        <v>0</v>
      </c>
      <c r="O16" s="676">
        <v>0</v>
      </c>
      <c r="P16" s="556">
        <f>ROUND(22.47*0.6*0,0)</f>
        <v>0</v>
      </c>
      <c r="Q16" s="676">
        <v>0</v>
      </c>
      <c r="R16" s="556">
        <f>ROUND(22.47*0.6*0,0)</f>
        <v>0</v>
      </c>
      <c r="S16" s="676">
        <v>0</v>
      </c>
      <c r="T16" s="556">
        <f>ROUND(22.47*0.6*0,0)</f>
        <v>0</v>
      </c>
      <c r="U16" s="676">
        <v>0</v>
      </c>
      <c r="V16" s="556">
        <f>ROUND(22.47*0.6*0,0)</f>
        <v>0</v>
      </c>
      <c r="W16" s="676">
        <v>10.5</v>
      </c>
      <c r="X16" s="556">
        <f>ROUND(22.47*0.6*10.5,0)</f>
        <v>142</v>
      </c>
      <c r="Y16" s="676">
        <v>13.2</v>
      </c>
      <c r="Z16" s="556">
        <f>ROUND(22.47*0.6*13.2,0)</f>
        <v>178</v>
      </c>
      <c r="AA16" s="676">
        <v>15</v>
      </c>
      <c r="AB16" s="556">
        <f>ROUND(22.47*0.6*15,0)</f>
        <v>202</v>
      </c>
      <c r="AC16" s="676">
        <v>15.5</v>
      </c>
      <c r="AD16" s="556">
        <f>ROUND(22.47*0.6*15.5,0)</f>
        <v>209</v>
      </c>
      <c r="AE16" s="676">
        <v>14.9</v>
      </c>
      <c r="AF16" s="556">
        <f>ROUND(22.47*0.6*14.9,0)</f>
        <v>201</v>
      </c>
      <c r="AG16" s="676">
        <v>14.2</v>
      </c>
      <c r="AH16" s="556">
        <f>ROUND(22.47*0.6*14.2,0)</f>
        <v>191</v>
      </c>
      <c r="AI16" s="676">
        <v>13.5</v>
      </c>
      <c r="AJ16" s="556">
        <f>ROUND(22.47*0.6*13.5,0)</f>
        <v>182</v>
      </c>
      <c r="AK16" s="676">
        <v>12.7</v>
      </c>
      <c r="AL16" s="556">
        <f>ROUND(22.47*0.6*12.7,0)</f>
        <v>171</v>
      </c>
      <c r="AM16" s="676">
        <v>11.6</v>
      </c>
      <c r="AN16" s="556">
        <f>ROUND(22.47*0.6*11.6,0)</f>
        <v>156</v>
      </c>
      <c r="AO16" s="676">
        <v>10.199999999999999</v>
      </c>
      <c r="AP16" s="556">
        <f>ROUND(22.47*0.6*10.2,0)</f>
        <v>138</v>
      </c>
      <c r="AQ16" s="676">
        <v>0</v>
      </c>
      <c r="AR16" s="556">
        <f>ROUND(22.47*0.6*0,0)</f>
        <v>0</v>
      </c>
      <c r="AS16" s="676">
        <v>0</v>
      </c>
      <c r="AT16" s="556">
        <f>ROUND(22.47*0.6*0,0)</f>
        <v>0</v>
      </c>
      <c r="AU16" s="676">
        <v>0</v>
      </c>
      <c r="AV16" s="556">
        <f>ROUND(22.47*0.6*0,0)</f>
        <v>0</v>
      </c>
      <c r="AW16" s="676">
        <v>0</v>
      </c>
      <c r="AX16" s="556">
        <f>ROUND(22.47*0.6*0,0)</f>
        <v>0</v>
      </c>
      <c r="AY16" s="676">
        <v>0</v>
      </c>
      <c r="AZ16" s="556">
        <f>ROUND(22.47*0.6*0,0)</f>
        <v>0</v>
      </c>
      <c r="BA16" s="676">
        <v>0</v>
      </c>
      <c r="BB16" s="677">
        <f>ROUND(22.47*0.6*0,0)</f>
        <v>0</v>
      </c>
      <c r="BC16" s="559"/>
      <c r="BD16" s="549"/>
      <c r="BE16" s="551" t="s">
        <v>222</v>
      </c>
      <c r="BF16" s="672" t="s">
        <v>72</v>
      </c>
      <c r="BG16" s="552">
        <v>22.47</v>
      </c>
      <c r="BH16" s="673">
        <v>0.6</v>
      </c>
      <c r="BI16" s="674"/>
      <c r="BJ16" s="675">
        <v>0</v>
      </c>
      <c r="BK16" s="556">
        <f>ROUND(22.47*0.6*0,0)</f>
        <v>0</v>
      </c>
      <c r="BL16" s="676">
        <v>0</v>
      </c>
      <c r="BM16" s="556">
        <f>ROUND(22.47*0.6*0,0)</f>
        <v>0</v>
      </c>
      <c r="BN16" s="676">
        <v>0</v>
      </c>
      <c r="BO16" s="556">
        <f>ROUND(22.47*0.6*0,0)</f>
        <v>0</v>
      </c>
      <c r="BP16" s="676">
        <v>0</v>
      </c>
      <c r="BQ16" s="556">
        <f>ROUND(22.47*0.6*0,0)</f>
        <v>0</v>
      </c>
      <c r="BR16" s="676">
        <v>0</v>
      </c>
      <c r="BS16" s="556">
        <f>ROUND(22.47*0.6*0,0)</f>
        <v>0</v>
      </c>
      <c r="BT16" s="676">
        <v>0</v>
      </c>
      <c r="BU16" s="556">
        <f>ROUND(22.47*0.6*0,0)</f>
        <v>0</v>
      </c>
      <c r="BV16" s="676">
        <v>0</v>
      </c>
      <c r="BW16" s="556">
        <f>ROUND(22.47*0.6*0,0)</f>
        <v>0</v>
      </c>
      <c r="BX16" s="676">
        <v>0</v>
      </c>
      <c r="BY16" s="556">
        <f>ROUND(22.47*0.6*0,0)</f>
        <v>0</v>
      </c>
      <c r="BZ16" s="676">
        <v>15.6</v>
      </c>
      <c r="CA16" s="556">
        <f>ROUND(22.47*0.6*15.6,0)</f>
        <v>210</v>
      </c>
      <c r="CB16" s="676">
        <v>18.5</v>
      </c>
      <c r="CC16" s="556">
        <f>ROUND(22.47*0.6*18.5,0)</f>
        <v>249</v>
      </c>
      <c r="CD16" s="676">
        <v>19.5</v>
      </c>
      <c r="CE16" s="556">
        <f>ROUND(22.47*0.6*19.5,0)</f>
        <v>263</v>
      </c>
      <c r="CF16" s="676">
        <v>18.8</v>
      </c>
      <c r="CG16" s="556">
        <f>ROUND(22.47*0.6*18.8,0)</f>
        <v>253</v>
      </c>
      <c r="CH16" s="676">
        <v>16.8</v>
      </c>
      <c r="CI16" s="556">
        <f>ROUND(22.47*0.6*16.8,0)</f>
        <v>226</v>
      </c>
      <c r="CJ16" s="676">
        <v>14.9</v>
      </c>
      <c r="CK16" s="556">
        <f>ROUND(22.47*0.6*14.9,0)</f>
        <v>201</v>
      </c>
      <c r="CL16" s="676">
        <v>13.6</v>
      </c>
      <c r="CM16" s="556">
        <f>ROUND(22.47*0.6*13.6,0)</f>
        <v>183</v>
      </c>
      <c r="CN16" s="676">
        <v>12.4</v>
      </c>
      <c r="CO16" s="556">
        <f>ROUND(22.47*0.6*12.4,0)</f>
        <v>167</v>
      </c>
      <c r="CP16" s="676">
        <v>11.2</v>
      </c>
      <c r="CQ16" s="556">
        <f>ROUND(22.47*0.6*11.2,0)</f>
        <v>151</v>
      </c>
      <c r="CR16" s="676">
        <v>9.9</v>
      </c>
      <c r="CS16" s="556">
        <f>ROUND(22.47*0.6*9.9,0)</f>
        <v>133</v>
      </c>
      <c r="CT16" s="676">
        <v>0</v>
      </c>
      <c r="CU16" s="556">
        <f>ROUND(22.47*0.6*0,0)</f>
        <v>0</v>
      </c>
      <c r="CV16" s="676">
        <v>0</v>
      </c>
      <c r="CW16" s="556">
        <f>ROUND(22.47*0.6*0,0)</f>
        <v>0</v>
      </c>
      <c r="CX16" s="676">
        <v>0</v>
      </c>
      <c r="CY16" s="556">
        <f>ROUND(22.47*0.6*0,0)</f>
        <v>0</v>
      </c>
      <c r="CZ16" s="676">
        <v>0</v>
      </c>
      <c r="DA16" s="556">
        <f>ROUND(22.47*0.6*0,0)</f>
        <v>0</v>
      </c>
      <c r="DB16" s="676">
        <v>0</v>
      </c>
      <c r="DC16" s="556">
        <f>ROUND(22.47*0.6*0,0)</f>
        <v>0</v>
      </c>
      <c r="DD16" s="676">
        <v>0</v>
      </c>
      <c r="DE16" s="677">
        <f>ROUND(22.47*0.6*0,0)</f>
        <v>0</v>
      </c>
      <c r="DF16" s="559"/>
      <c r="DG16" s="549"/>
      <c r="DH16" s="551" t="s">
        <v>222</v>
      </c>
      <c r="DI16" s="672" t="s">
        <v>72</v>
      </c>
      <c r="DJ16" s="552">
        <v>22.47</v>
      </c>
      <c r="DK16" s="673">
        <v>0.6</v>
      </c>
      <c r="DL16" s="674"/>
      <c r="DM16" s="675">
        <v>0</v>
      </c>
      <c r="DN16" s="556">
        <f>ROUND(22.47*0.6*0,0)</f>
        <v>0</v>
      </c>
      <c r="DO16" s="676">
        <v>0</v>
      </c>
      <c r="DP16" s="556">
        <f>ROUND(22.47*0.6*0,0)</f>
        <v>0</v>
      </c>
      <c r="DQ16" s="676">
        <v>0</v>
      </c>
      <c r="DR16" s="556">
        <f>ROUND(22.47*0.6*0,0)</f>
        <v>0</v>
      </c>
      <c r="DS16" s="676">
        <v>0</v>
      </c>
      <c r="DT16" s="556">
        <f>ROUND(22.47*0.6*0,0)</f>
        <v>0</v>
      </c>
      <c r="DU16" s="676">
        <v>0</v>
      </c>
      <c r="DV16" s="556">
        <f>ROUND(22.47*0.6*0,0)</f>
        <v>0</v>
      </c>
      <c r="DW16" s="676">
        <v>0</v>
      </c>
      <c r="DX16" s="556">
        <f>ROUND(22.47*0.6*0,0)</f>
        <v>0</v>
      </c>
      <c r="DY16" s="676">
        <v>0</v>
      </c>
      <c r="DZ16" s="556">
        <f>ROUND(22.47*0.6*0,0)</f>
        <v>0</v>
      </c>
      <c r="EA16" s="676">
        <v>0</v>
      </c>
      <c r="EB16" s="556">
        <f>ROUND(22.47*0.6*0,0)</f>
        <v>0</v>
      </c>
      <c r="EC16" s="676">
        <v>13.4</v>
      </c>
      <c r="ED16" s="556">
        <f>ROUND(22.47*0.6*13.4,0)</f>
        <v>181</v>
      </c>
      <c r="EE16" s="676">
        <v>16.600000000000001</v>
      </c>
      <c r="EF16" s="556">
        <f>ROUND(22.47*0.6*16.6,0)</f>
        <v>224</v>
      </c>
      <c r="EG16" s="676">
        <v>18</v>
      </c>
      <c r="EH16" s="556">
        <f>ROUND(22.47*0.6*18,0)</f>
        <v>243</v>
      </c>
      <c r="EI16" s="676">
        <v>17.399999999999999</v>
      </c>
      <c r="EJ16" s="556">
        <f>ROUND(22.47*0.6*17.4,0)</f>
        <v>235</v>
      </c>
      <c r="EK16" s="676">
        <v>15.3</v>
      </c>
      <c r="EL16" s="556">
        <f>ROUND(22.47*0.6*15.3,0)</f>
        <v>206</v>
      </c>
      <c r="EM16" s="676">
        <v>13.2</v>
      </c>
      <c r="EN16" s="556">
        <f>ROUND(22.47*0.6*13.2,0)</f>
        <v>178</v>
      </c>
      <c r="EO16" s="676">
        <v>11.6</v>
      </c>
      <c r="EP16" s="556">
        <f>ROUND(22.47*0.6*11.6,0)</f>
        <v>156</v>
      </c>
      <c r="EQ16" s="676">
        <v>10.199999999999999</v>
      </c>
      <c r="ER16" s="556">
        <f>ROUND(22.47*0.6*10.2,0)</f>
        <v>138</v>
      </c>
      <c r="ES16" s="676">
        <v>8.8000000000000007</v>
      </c>
      <c r="ET16" s="556">
        <f>ROUND(22.47*0.6*8.8,0)</f>
        <v>119</v>
      </c>
      <c r="EU16" s="676">
        <v>7.2</v>
      </c>
      <c r="EV16" s="556">
        <f>ROUND(22.47*0.6*7.2,0)</f>
        <v>97</v>
      </c>
      <c r="EW16" s="676">
        <v>0</v>
      </c>
      <c r="EX16" s="556">
        <f>ROUND(22.47*0.6*0,0)</f>
        <v>0</v>
      </c>
      <c r="EY16" s="676">
        <v>0</v>
      </c>
      <c r="EZ16" s="556">
        <f>ROUND(22.47*0.6*0,0)</f>
        <v>0</v>
      </c>
      <c r="FA16" s="676">
        <v>0</v>
      </c>
      <c r="FB16" s="556">
        <f>ROUND(22.47*0.6*0,0)</f>
        <v>0</v>
      </c>
      <c r="FC16" s="676">
        <v>0</v>
      </c>
      <c r="FD16" s="556">
        <f>ROUND(22.47*0.6*0,0)</f>
        <v>0</v>
      </c>
      <c r="FE16" s="676">
        <v>0</v>
      </c>
      <c r="FF16" s="556">
        <f>ROUND(22.47*0.6*0,0)</f>
        <v>0</v>
      </c>
      <c r="FG16" s="676">
        <v>0</v>
      </c>
      <c r="FH16" s="677">
        <f>ROUND(22.47*0.6*0,0)</f>
        <v>0</v>
      </c>
      <c r="FI16" s="560"/>
      <c r="FJ16" s="561"/>
      <c r="FK16" s="551" t="s">
        <v>222</v>
      </c>
      <c r="FL16" s="672" t="s">
        <v>72</v>
      </c>
      <c r="FM16" s="552">
        <v>22.47</v>
      </c>
      <c r="FN16" s="673">
        <v>0.6</v>
      </c>
      <c r="FO16" s="674"/>
      <c r="FP16" s="678">
        <v>9</v>
      </c>
      <c r="FQ16" s="679">
        <v>20</v>
      </c>
      <c r="FR16" s="556">
        <f>ROUND(22.47*0.6*20,0)</f>
        <v>270</v>
      </c>
      <c r="FS16" s="680">
        <v>9</v>
      </c>
      <c r="FT16" s="679">
        <v>20.5</v>
      </c>
      <c r="FU16" s="564">
        <f>ROUND(22.47*0.6*20.5,0)</f>
        <v>276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253</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1.6</v>
      </c>
      <c r="X17" s="584">
        <f>ROUND(8.96*2.5*1.6,0)</f>
        <v>36</v>
      </c>
      <c r="Y17" s="688">
        <v>2</v>
      </c>
      <c r="Z17" s="584">
        <f>ROUND(8.96*2.5*2,0)</f>
        <v>45</v>
      </c>
      <c r="AA17" s="688">
        <v>2.2000000000000002</v>
      </c>
      <c r="AB17" s="584">
        <f>ROUND(8.96*2.5*2.2,0)</f>
        <v>49</v>
      </c>
      <c r="AC17" s="688">
        <v>2.2999999999999998</v>
      </c>
      <c r="AD17" s="584">
        <f>ROUND(8.96*2.5*2.3,0)</f>
        <v>52</v>
      </c>
      <c r="AE17" s="688">
        <v>2.4</v>
      </c>
      <c r="AF17" s="584">
        <f>ROUND(8.96*2.5*2.4,0)</f>
        <v>54</v>
      </c>
      <c r="AG17" s="688">
        <v>2.4</v>
      </c>
      <c r="AH17" s="584">
        <f>ROUND(8.96*2.5*2.4,0)</f>
        <v>54</v>
      </c>
      <c r="AI17" s="688">
        <v>2.2000000000000002</v>
      </c>
      <c r="AJ17" s="584">
        <f>ROUND(8.96*2.5*2.2,0)</f>
        <v>49</v>
      </c>
      <c r="AK17" s="688">
        <v>2.1</v>
      </c>
      <c r="AL17" s="584">
        <f>ROUND(8.96*2.5*2.1,0)</f>
        <v>47</v>
      </c>
      <c r="AM17" s="688">
        <v>1.8</v>
      </c>
      <c r="AN17" s="584">
        <f>ROUND(8.96*2.5*1.8,0)</f>
        <v>40</v>
      </c>
      <c r="AO17" s="688">
        <v>1.6</v>
      </c>
      <c r="AP17" s="584">
        <f>ROUND(8.96*2.5*1.6,0)</f>
        <v>36</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253</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1.5</v>
      </c>
      <c r="CA17" s="584">
        <f>ROUND(8.96*2.5*1.5,0)</f>
        <v>34</v>
      </c>
      <c r="CB17" s="688">
        <v>1.8</v>
      </c>
      <c r="CC17" s="584">
        <f>ROUND(8.96*2.5*1.8,0)</f>
        <v>40</v>
      </c>
      <c r="CD17" s="688">
        <v>2.1</v>
      </c>
      <c r="CE17" s="584">
        <f>ROUND(8.96*2.5*2.1,0)</f>
        <v>47</v>
      </c>
      <c r="CF17" s="688">
        <v>2.2000000000000002</v>
      </c>
      <c r="CG17" s="584">
        <f>ROUND(8.96*2.5*2.2,0)</f>
        <v>49</v>
      </c>
      <c r="CH17" s="688">
        <v>2.2999999999999998</v>
      </c>
      <c r="CI17" s="584">
        <f>ROUND(8.96*2.5*2.3,0)</f>
        <v>52</v>
      </c>
      <c r="CJ17" s="688">
        <v>2.2000000000000002</v>
      </c>
      <c r="CK17" s="584">
        <f>ROUND(8.96*2.5*2.2,0)</f>
        <v>49</v>
      </c>
      <c r="CL17" s="688">
        <v>2.1</v>
      </c>
      <c r="CM17" s="584">
        <f>ROUND(8.96*2.5*2.1,0)</f>
        <v>47</v>
      </c>
      <c r="CN17" s="688">
        <v>2</v>
      </c>
      <c r="CO17" s="584">
        <f>ROUND(8.96*2.5*2,0)</f>
        <v>45</v>
      </c>
      <c r="CP17" s="688">
        <v>1.8</v>
      </c>
      <c r="CQ17" s="584">
        <f>ROUND(8.96*2.5*1.8,0)</f>
        <v>40</v>
      </c>
      <c r="CR17" s="688">
        <v>1.5</v>
      </c>
      <c r="CS17" s="584">
        <f>ROUND(8.96*2.5*1.5,0)</f>
        <v>34</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253</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0.8</v>
      </c>
      <c r="ED17" s="584">
        <f>ROUND(8.96*2.5*0.8,0)</f>
        <v>18</v>
      </c>
      <c r="EE17" s="688">
        <v>1.2</v>
      </c>
      <c r="EF17" s="584">
        <f>ROUND(8.96*2.5*1.2,0)</f>
        <v>27</v>
      </c>
      <c r="EG17" s="688">
        <v>1.5</v>
      </c>
      <c r="EH17" s="584">
        <f>ROUND(8.96*2.5*1.5,0)</f>
        <v>34</v>
      </c>
      <c r="EI17" s="688">
        <v>1.7</v>
      </c>
      <c r="EJ17" s="584">
        <f>ROUND(8.96*2.5*1.7,0)</f>
        <v>38</v>
      </c>
      <c r="EK17" s="688">
        <v>1.7</v>
      </c>
      <c r="EL17" s="584">
        <f>ROUND(8.96*2.5*1.7,0)</f>
        <v>38</v>
      </c>
      <c r="EM17" s="688">
        <v>1.6</v>
      </c>
      <c r="EN17" s="584">
        <f>ROUND(8.96*2.5*1.6,0)</f>
        <v>36</v>
      </c>
      <c r="EO17" s="688">
        <v>1.5</v>
      </c>
      <c r="EP17" s="584">
        <f>ROUND(8.96*2.5*1.5,0)</f>
        <v>34</v>
      </c>
      <c r="EQ17" s="688">
        <v>1.4</v>
      </c>
      <c r="ER17" s="584">
        <f>ROUND(8.96*2.5*1.4,0)</f>
        <v>31</v>
      </c>
      <c r="ES17" s="688">
        <v>1.1000000000000001</v>
      </c>
      <c r="ET17" s="584">
        <f>ROUND(8.96*2.5*1.1,0)</f>
        <v>25</v>
      </c>
      <c r="EU17" s="688">
        <v>0.8</v>
      </c>
      <c r="EV17" s="584">
        <f>ROUND(8.96*2.5*0.8,0)</f>
        <v>18</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253</v>
      </c>
      <c r="FL17" s="684"/>
      <c r="FM17" s="580">
        <v>8.9600000000000009</v>
      </c>
      <c r="FN17" s="685">
        <v>2.5</v>
      </c>
      <c r="FO17" s="686"/>
      <c r="FP17" s="689">
        <v>9</v>
      </c>
      <c r="FQ17" s="690">
        <v>6</v>
      </c>
      <c r="FR17" s="584">
        <f>ROUND(8.96*2.5*6,0)</f>
        <v>134</v>
      </c>
      <c r="FS17" s="691">
        <v>9</v>
      </c>
      <c r="FT17" s="690">
        <v>6.1</v>
      </c>
      <c r="FU17" s="589">
        <f>ROUND(8.96*2.5*6.1,0)</f>
        <v>137</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253</v>
      </c>
      <c r="C18" s="684"/>
      <c r="D18" s="580">
        <v>8.9600000000000009</v>
      </c>
      <c r="E18" s="685">
        <v>2.5</v>
      </c>
      <c r="F18" s="686"/>
      <c r="G18" s="687">
        <v>0</v>
      </c>
      <c r="H18" s="584">
        <f>ROUND(8.96*2.5*0,0)</f>
        <v>0</v>
      </c>
      <c r="I18" s="688">
        <v>0</v>
      </c>
      <c r="J18" s="584">
        <f>ROUND(8.96*2.5*0,0)</f>
        <v>0</v>
      </c>
      <c r="K18" s="688">
        <v>0</v>
      </c>
      <c r="L18" s="584">
        <f>ROUND(8.96*2.5*0,0)</f>
        <v>0</v>
      </c>
      <c r="M18" s="688">
        <v>0</v>
      </c>
      <c r="N18" s="584">
        <f>ROUND(8.96*2.5*0,0)</f>
        <v>0</v>
      </c>
      <c r="O18" s="688">
        <v>0</v>
      </c>
      <c r="P18" s="584">
        <f>ROUND(8.96*2.5*0,0)</f>
        <v>0</v>
      </c>
      <c r="Q18" s="688">
        <v>0</v>
      </c>
      <c r="R18" s="584">
        <f>ROUND(8.96*2.5*0,0)</f>
        <v>0</v>
      </c>
      <c r="S18" s="688">
        <v>0</v>
      </c>
      <c r="T18" s="584">
        <f>ROUND(8.96*2.5*0,0)</f>
        <v>0</v>
      </c>
      <c r="U18" s="688">
        <v>0</v>
      </c>
      <c r="V18" s="584">
        <f>ROUND(8.96*2.5*0,0)</f>
        <v>0</v>
      </c>
      <c r="W18" s="688">
        <v>2.1</v>
      </c>
      <c r="X18" s="584">
        <f>ROUND(8.96*2.5*2.1,0)</f>
        <v>47</v>
      </c>
      <c r="Y18" s="688">
        <v>2.6</v>
      </c>
      <c r="Z18" s="584">
        <f>ROUND(8.96*2.5*2.6,0)</f>
        <v>58</v>
      </c>
      <c r="AA18" s="688">
        <v>2.9</v>
      </c>
      <c r="AB18" s="584">
        <f>ROUND(8.96*2.5*2.9,0)</f>
        <v>65</v>
      </c>
      <c r="AC18" s="688">
        <v>3.1</v>
      </c>
      <c r="AD18" s="584">
        <f>ROUND(8.96*2.5*3.1,0)</f>
        <v>69</v>
      </c>
      <c r="AE18" s="688">
        <v>3.2</v>
      </c>
      <c r="AF18" s="584">
        <f>ROUND(8.96*2.5*3.2,0)</f>
        <v>72</v>
      </c>
      <c r="AG18" s="688">
        <v>3.2</v>
      </c>
      <c r="AH18" s="584">
        <f>ROUND(8.96*2.5*3.2,0)</f>
        <v>72</v>
      </c>
      <c r="AI18" s="688">
        <v>3</v>
      </c>
      <c r="AJ18" s="584">
        <f>ROUND(8.96*2.5*3,0)</f>
        <v>67</v>
      </c>
      <c r="AK18" s="688">
        <v>2.8</v>
      </c>
      <c r="AL18" s="584">
        <f>ROUND(8.96*2.5*2.8,0)</f>
        <v>63</v>
      </c>
      <c r="AM18" s="688">
        <v>2.4</v>
      </c>
      <c r="AN18" s="584">
        <f>ROUND(8.96*2.5*2.4,0)</f>
        <v>54</v>
      </c>
      <c r="AO18" s="688">
        <v>2.1</v>
      </c>
      <c r="AP18" s="584">
        <f>ROUND(8.96*2.5*2.1,0)</f>
        <v>47</v>
      </c>
      <c r="AQ18" s="688">
        <v>0</v>
      </c>
      <c r="AR18" s="584">
        <f>ROUND(8.96*2.5*0,0)</f>
        <v>0</v>
      </c>
      <c r="AS18" s="688">
        <v>0</v>
      </c>
      <c r="AT18" s="584">
        <f>ROUND(8.96*2.5*0,0)</f>
        <v>0</v>
      </c>
      <c r="AU18" s="688">
        <v>0</v>
      </c>
      <c r="AV18" s="584">
        <f>ROUND(8.96*2.5*0,0)</f>
        <v>0</v>
      </c>
      <c r="AW18" s="688">
        <v>0</v>
      </c>
      <c r="AX18" s="584">
        <f>ROUND(8.96*2.5*0,0)</f>
        <v>0</v>
      </c>
      <c r="AY18" s="688">
        <v>0</v>
      </c>
      <c r="AZ18" s="584">
        <f>ROUND(8.96*2.5*0,0)</f>
        <v>0</v>
      </c>
      <c r="BA18" s="688">
        <v>0</v>
      </c>
      <c r="BB18" s="586">
        <f>ROUND(8.96*2.5*0,0)</f>
        <v>0</v>
      </c>
      <c r="BC18" s="559"/>
      <c r="BD18" s="549"/>
      <c r="BE18" s="693" t="s">
        <v>253</v>
      </c>
      <c r="BF18" s="684"/>
      <c r="BG18" s="580">
        <v>8.9600000000000009</v>
      </c>
      <c r="BH18" s="685">
        <v>2.5</v>
      </c>
      <c r="BI18" s="686"/>
      <c r="BJ18" s="687">
        <v>0</v>
      </c>
      <c r="BK18" s="584">
        <f>ROUND(8.96*2.5*0,0)</f>
        <v>0</v>
      </c>
      <c r="BL18" s="688">
        <v>0</v>
      </c>
      <c r="BM18" s="584">
        <f>ROUND(8.96*2.5*0,0)</f>
        <v>0</v>
      </c>
      <c r="BN18" s="688">
        <v>0</v>
      </c>
      <c r="BO18" s="584">
        <f>ROUND(8.96*2.5*0,0)</f>
        <v>0</v>
      </c>
      <c r="BP18" s="688">
        <v>0</v>
      </c>
      <c r="BQ18" s="584">
        <f>ROUND(8.96*2.5*0,0)</f>
        <v>0</v>
      </c>
      <c r="BR18" s="688">
        <v>0</v>
      </c>
      <c r="BS18" s="584">
        <f>ROUND(8.96*2.5*0,0)</f>
        <v>0</v>
      </c>
      <c r="BT18" s="688">
        <v>0</v>
      </c>
      <c r="BU18" s="584">
        <f>ROUND(8.96*2.5*0,0)</f>
        <v>0</v>
      </c>
      <c r="BV18" s="688">
        <v>0</v>
      </c>
      <c r="BW18" s="584">
        <f>ROUND(8.96*2.5*0,0)</f>
        <v>0</v>
      </c>
      <c r="BX18" s="688">
        <v>0</v>
      </c>
      <c r="BY18" s="584">
        <f>ROUND(8.96*2.5*0,0)</f>
        <v>0</v>
      </c>
      <c r="BZ18" s="688">
        <v>2</v>
      </c>
      <c r="CA18" s="584">
        <f>ROUND(8.96*2.5*2,0)</f>
        <v>45</v>
      </c>
      <c r="CB18" s="688">
        <v>2.4</v>
      </c>
      <c r="CC18" s="584">
        <f>ROUND(8.96*2.5*2.4,0)</f>
        <v>54</v>
      </c>
      <c r="CD18" s="688">
        <v>2.8</v>
      </c>
      <c r="CE18" s="584">
        <f>ROUND(8.96*2.5*2.8,0)</f>
        <v>63</v>
      </c>
      <c r="CF18" s="688">
        <v>3</v>
      </c>
      <c r="CG18" s="584">
        <f>ROUND(8.96*2.5*3,0)</f>
        <v>67</v>
      </c>
      <c r="CH18" s="688">
        <v>3</v>
      </c>
      <c r="CI18" s="584">
        <f>ROUND(8.96*2.5*3,0)</f>
        <v>67</v>
      </c>
      <c r="CJ18" s="688">
        <v>3</v>
      </c>
      <c r="CK18" s="584">
        <f>ROUND(8.96*2.5*3,0)</f>
        <v>67</v>
      </c>
      <c r="CL18" s="688">
        <v>2.8</v>
      </c>
      <c r="CM18" s="584">
        <f>ROUND(8.96*2.5*2.8,0)</f>
        <v>63</v>
      </c>
      <c r="CN18" s="688">
        <v>2.6</v>
      </c>
      <c r="CO18" s="584">
        <f>ROUND(8.96*2.5*2.6,0)</f>
        <v>58</v>
      </c>
      <c r="CP18" s="688">
        <v>2.4</v>
      </c>
      <c r="CQ18" s="584">
        <f>ROUND(8.96*2.5*2.4,0)</f>
        <v>54</v>
      </c>
      <c r="CR18" s="688">
        <v>2</v>
      </c>
      <c r="CS18" s="584">
        <f>ROUND(8.96*2.5*2,0)</f>
        <v>45</v>
      </c>
      <c r="CT18" s="688">
        <v>0</v>
      </c>
      <c r="CU18" s="584">
        <f>ROUND(8.96*2.5*0,0)</f>
        <v>0</v>
      </c>
      <c r="CV18" s="688">
        <v>0</v>
      </c>
      <c r="CW18" s="584">
        <f>ROUND(8.96*2.5*0,0)</f>
        <v>0</v>
      </c>
      <c r="CX18" s="688">
        <v>0</v>
      </c>
      <c r="CY18" s="584">
        <f>ROUND(8.96*2.5*0,0)</f>
        <v>0</v>
      </c>
      <c r="CZ18" s="688">
        <v>0</v>
      </c>
      <c r="DA18" s="584">
        <f>ROUND(8.96*2.5*0,0)</f>
        <v>0</v>
      </c>
      <c r="DB18" s="688">
        <v>0</v>
      </c>
      <c r="DC18" s="584">
        <f>ROUND(8.96*2.5*0,0)</f>
        <v>0</v>
      </c>
      <c r="DD18" s="688">
        <v>0</v>
      </c>
      <c r="DE18" s="586">
        <f>ROUND(8.96*2.5*0,0)</f>
        <v>0</v>
      </c>
      <c r="DF18" s="559"/>
      <c r="DG18" s="549"/>
      <c r="DH18" s="693" t="s">
        <v>253</v>
      </c>
      <c r="DI18" s="684"/>
      <c r="DJ18" s="580">
        <v>8.9600000000000009</v>
      </c>
      <c r="DK18" s="685">
        <v>2.5</v>
      </c>
      <c r="DL18" s="686"/>
      <c r="DM18" s="687">
        <v>0</v>
      </c>
      <c r="DN18" s="584">
        <f>ROUND(8.96*2.5*0,0)</f>
        <v>0</v>
      </c>
      <c r="DO18" s="688">
        <v>0</v>
      </c>
      <c r="DP18" s="584">
        <f>ROUND(8.96*2.5*0,0)</f>
        <v>0</v>
      </c>
      <c r="DQ18" s="688">
        <v>0</v>
      </c>
      <c r="DR18" s="584">
        <f>ROUND(8.96*2.5*0,0)</f>
        <v>0</v>
      </c>
      <c r="DS18" s="688">
        <v>0</v>
      </c>
      <c r="DT18" s="584">
        <f>ROUND(8.96*2.5*0,0)</f>
        <v>0</v>
      </c>
      <c r="DU18" s="688">
        <v>0</v>
      </c>
      <c r="DV18" s="584">
        <f>ROUND(8.96*2.5*0,0)</f>
        <v>0</v>
      </c>
      <c r="DW18" s="688">
        <v>0</v>
      </c>
      <c r="DX18" s="584">
        <f>ROUND(8.96*2.5*0,0)</f>
        <v>0</v>
      </c>
      <c r="DY18" s="688">
        <v>0</v>
      </c>
      <c r="DZ18" s="584">
        <f>ROUND(8.96*2.5*0,0)</f>
        <v>0</v>
      </c>
      <c r="EA18" s="688">
        <v>0</v>
      </c>
      <c r="EB18" s="584">
        <f>ROUND(8.96*2.5*0,0)</f>
        <v>0</v>
      </c>
      <c r="EC18" s="688">
        <v>1.1000000000000001</v>
      </c>
      <c r="ED18" s="584">
        <f>ROUND(8.96*2.5*1.1,0)</f>
        <v>25</v>
      </c>
      <c r="EE18" s="688">
        <v>1.6</v>
      </c>
      <c r="EF18" s="584">
        <f>ROUND(8.96*2.5*1.6,0)</f>
        <v>36</v>
      </c>
      <c r="EG18" s="688">
        <v>2</v>
      </c>
      <c r="EH18" s="584">
        <f>ROUND(8.96*2.5*2,0)</f>
        <v>45</v>
      </c>
      <c r="EI18" s="688">
        <v>2.2000000000000002</v>
      </c>
      <c r="EJ18" s="584">
        <f>ROUND(8.96*2.5*2.2,0)</f>
        <v>49</v>
      </c>
      <c r="EK18" s="688">
        <v>2.2999999999999998</v>
      </c>
      <c r="EL18" s="584">
        <f>ROUND(8.96*2.5*2.3,0)</f>
        <v>52</v>
      </c>
      <c r="EM18" s="688">
        <v>2.2000000000000002</v>
      </c>
      <c r="EN18" s="584">
        <f>ROUND(8.96*2.5*2.2,0)</f>
        <v>49</v>
      </c>
      <c r="EO18" s="688">
        <v>2</v>
      </c>
      <c r="EP18" s="584">
        <f>ROUND(8.96*2.5*2,0)</f>
        <v>45</v>
      </c>
      <c r="EQ18" s="688">
        <v>1.9</v>
      </c>
      <c r="ER18" s="584">
        <f>ROUND(8.96*2.5*1.9,0)</f>
        <v>43</v>
      </c>
      <c r="ES18" s="688">
        <v>1.5</v>
      </c>
      <c r="ET18" s="584">
        <f>ROUND(8.96*2.5*1.5,0)</f>
        <v>34</v>
      </c>
      <c r="EU18" s="688">
        <v>1.1000000000000001</v>
      </c>
      <c r="EV18" s="584">
        <f>ROUND(8.96*2.5*1.1,0)</f>
        <v>25</v>
      </c>
      <c r="EW18" s="688">
        <v>0</v>
      </c>
      <c r="EX18" s="584">
        <f>ROUND(8.96*2.5*0,0)</f>
        <v>0</v>
      </c>
      <c r="EY18" s="688">
        <v>0</v>
      </c>
      <c r="EZ18" s="584">
        <f>ROUND(8.96*2.5*0,0)</f>
        <v>0</v>
      </c>
      <c r="FA18" s="688">
        <v>0</v>
      </c>
      <c r="FB18" s="584">
        <f>ROUND(8.96*2.5*0,0)</f>
        <v>0</v>
      </c>
      <c r="FC18" s="688">
        <v>0</v>
      </c>
      <c r="FD18" s="584">
        <f>ROUND(8.96*2.5*0,0)</f>
        <v>0</v>
      </c>
      <c r="FE18" s="688">
        <v>0</v>
      </c>
      <c r="FF18" s="584">
        <f>ROUND(8.96*2.5*0,0)</f>
        <v>0</v>
      </c>
      <c r="FG18" s="688">
        <v>0</v>
      </c>
      <c r="FH18" s="586">
        <f>ROUND(8.96*2.5*0,0)</f>
        <v>0</v>
      </c>
      <c r="FI18" s="560"/>
      <c r="FJ18" s="561"/>
      <c r="FK18" s="693" t="s">
        <v>253</v>
      </c>
      <c r="FL18" s="684"/>
      <c r="FM18" s="580">
        <v>8.9600000000000009</v>
      </c>
      <c r="FN18" s="685">
        <v>2.5</v>
      </c>
      <c r="FO18" s="686"/>
      <c r="FP18" s="689">
        <v>9</v>
      </c>
      <c r="FQ18" s="690">
        <v>8</v>
      </c>
      <c r="FR18" s="584">
        <f>ROUND(8.96*2.5*8,0)</f>
        <v>179</v>
      </c>
      <c r="FS18" s="691">
        <v>9</v>
      </c>
      <c r="FT18" s="690">
        <v>8.1999999999999993</v>
      </c>
      <c r="FU18" s="589">
        <f>ROUND(8.96*2.5*8.2,0)</f>
        <v>184</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241</v>
      </c>
      <c r="C19" s="684"/>
      <c r="D19" s="580">
        <v>13.2</v>
      </c>
      <c r="E19" s="685">
        <v>0.5</v>
      </c>
      <c r="F19" s="686"/>
      <c r="G19" s="687">
        <v>0</v>
      </c>
      <c r="H19" s="584">
        <f>ROUND(13.2*0.5*0,0)</f>
        <v>0</v>
      </c>
      <c r="I19" s="688">
        <v>0</v>
      </c>
      <c r="J19" s="584">
        <f>ROUND(13.2*0.5*0,0)</f>
        <v>0</v>
      </c>
      <c r="K19" s="688">
        <v>0</v>
      </c>
      <c r="L19" s="584">
        <f>ROUND(13.2*0.5*0,0)</f>
        <v>0</v>
      </c>
      <c r="M19" s="688">
        <v>0</v>
      </c>
      <c r="N19" s="584">
        <f>ROUND(13.2*0.5*0,0)</f>
        <v>0</v>
      </c>
      <c r="O19" s="688">
        <v>0</v>
      </c>
      <c r="P19" s="584">
        <f>ROUND(13.2*0.5*0,0)</f>
        <v>0</v>
      </c>
      <c r="Q19" s="688">
        <v>0</v>
      </c>
      <c r="R19" s="584">
        <f>ROUND(13.2*0.5*0,0)</f>
        <v>0</v>
      </c>
      <c r="S19" s="688">
        <v>0</v>
      </c>
      <c r="T19" s="584">
        <f>ROUND(13.2*0.5*0,0)</f>
        <v>0</v>
      </c>
      <c r="U19" s="688">
        <v>0</v>
      </c>
      <c r="V19" s="584">
        <f>ROUND(13.2*0.5*0,0)</f>
        <v>0</v>
      </c>
      <c r="W19" s="688">
        <v>5.3</v>
      </c>
      <c r="X19" s="584">
        <f>ROUND(13.2*0.5*5.3,0)</f>
        <v>35</v>
      </c>
      <c r="Y19" s="688">
        <v>5.2</v>
      </c>
      <c r="Z19" s="584">
        <f>ROUND(13.2*0.5*5.2,0)</f>
        <v>34</v>
      </c>
      <c r="AA19" s="688">
        <v>5.2</v>
      </c>
      <c r="AB19" s="584">
        <f>ROUND(13.2*0.5*5.2,0)</f>
        <v>34</v>
      </c>
      <c r="AC19" s="688">
        <v>5.3</v>
      </c>
      <c r="AD19" s="584">
        <f>ROUND(13.2*0.5*5.3,0)</f>
        <v>35</v>
      </c>
      <c r="AE19" s="688">
        <v>5.7</v>
      </c>
      <c r="AF19" s="584">
        <f>ROUND(13.2*0.5*5.7,0)</f>
        <v>38</v>
      </c>
      <c r="AG19" s="688">
        <v>6.3</v>
      </c>
      <c r="AH19" s="584">
        <f>ROUND(13.2*0.5*6.3,0)</f>
        <v>42</v>
      </c>
      <c r="AI19" s="688">
        <v>7</v>
      </c>
      <c r="AJ19" s="584">
        <f>ROUND(13.2*0.5*7,0)</f>
        <v>46</v>
      </c>
      <c r="AK19" s="688">
        <v>7.8</v>
      </c>
      <c r="AL19" s="584">
        <f>ROUND(13.2*0.5*7.8,0)</f>
        <v>51</v>
      </c>
      <c r="AM19" s="688">
        <v>8.6</v>
      </c>
      <c r="AN19" s="584">
        <f>ROUND(13.2*0.5*8.6,0)</f>
        <v>57</v>
      </c>
      <c r="AO19" s="688">
        <v>9.4</v>
      </c>
      <c r="AP19" s="584">
        <f>ROUND(13.2*0.5*9.4,0)</f>
        <v>62</v>
      </c>
      <c r="AQ19" s="688">
        <v>0</v>
      </c>
      <c r="AR19" s="584">
        <f>ROUND(13.2*0.5*0,0)</f>
        <v>0</v>
      </c>
      <c r="AS19" s="688">
        <v>0</v>
      </c>
      <c r="AT19" s="584">
        <f>ROUND(13.2*0.5*0,0)</f>
        <v>0</v>
      </c>
      <c r="AU19" s="688">
        <v>0</v>
      </c>
      <c r="AV19" s="584">
        <f>ROUND(13.2*0.5*0,0)</f>
        <v>0</v>
      </c>
      <c r="AW19" s="688">
        <v>0</v>
      </c>
      <c r="AX19" s="584">
        <f>ROUND(13.2*0.5*0,0)</f>
        <v>0</v>
      </c>
      <c r="AY19" s="688">
        <v>0</v>
      </c>
      <c r="AZ19" s="584">
        <f>ROUND(13.2*0.5*0,0)</f>
        <v>0</v>
      </c>
      <c r="BA19" s="688">
        <v>0</v>
      </c>
      <c r="BB19" s="586">
        <f>ROUND(13.2*0.5*0,0)</f>
        <v>0</v>
      </c>
      <c r="BC19" s="559"/>
      <c r="BD19" s="549"/>
      <c r="BE19" s="693" t="s">
        <v>241</v>
      </c>
      <c r="BF19" s="684"/>
      <c r="BG19" s="580">
        <v>13.2</v>
      </c>
      <c r="BH19" s="685">
        <v>0.5</v>
      </c>
      <c r="BI19" s="686"/>
      <c r="BJ19" s="687">
        <v>0</v>
      </c>
      <c r="BK19" s="584">
        <f>ROUND(13.2*0.5*0,0)</f>
        <v>0</v>
      </c>
      <c r="BL19" s="688">
        <v>0</v>
      </c>
      <c r="BM19" s="584">
        <f>ROUND(13.2*0.5*0,0)</f>
        <v>0</v>
      </c>
      <c r="BN19" s="688">
        <v>0</v>
      </c>
      <c r="BO19" s="584">
        <f>ROUND(13.2*0.5*0,0)</f>
        <v>0</v>
      </c>
      <c r="BP19" s="688">
        <v>0</v>
      </c>
      <c r="BQ19" s="584">
        <f>ROUND(13.2*0.5*0,0)</f>
        <v>0</v>
      </c>
      <c r="BR19" s="688">
        <v>0</v>
      </c>
      <c r="BS19" s="584">
        <f>ROUND(13.2*0.5*0,0)</f>
        <v>0</v>
      </c>
      <c r="BT19" s="688">
        <v>0</v>
      </c>
      <c r="BU19" s="584">
        <f>ROUND(13.2*0.5*0,0)</f>
        <v>0</v>
      </c>
      <c r="BV19" s="688">
        <v>0</v>
      </c>
      <c r="BW19" s="584">
        <f>ROUND(13.2*0.5*0,0)</f>
        <v>0</v>
      </c>
      <c r="BX19" s="688">
        <v>0</v>
      </c>
      <c r="BY19" s="584">
        <f>ROUND(13.2*0.5*0,0)</f>
        <v>0</v>
      </c>
      <c r="BZ19" s="688">
        <v>5.2</v>
      </c>
      <c r="CA19" s="584">
        <f>ROUND(13.2*0.5*5.2,0)</f>
        <v>34</v>
      </c>
      <c r="CB19" s="688">
        <v>5</v>
      </c>
      <c r="CC19" s="584">
        <f>ROUND(13.2*0.5*5,0)</f>
        <v>33</v>
      </c>
      <c r="CD19" s="688">
        <v>5</v>
      </c>
      <c r="CE19" s="584">
        <f>ROUND(13.2*0.5*5,0)</f>
        <v>33</v>
      </c>
      <c r="CF19" s="688">
        <v>5.0999999999999996</v>
      </c>
      <c r="CG19" s="584">
        <f>ROUND(13.2*0.5*5.1,0)</f>
        <v>34</v>
      </c>
      <c r="CH19" s="688">
        <v>5.4</v>
      </c>
      <c r="CI19" s="584">
        <f>ROUND(13.2*0.5*5.4,0)</f>
        <v>36</v>
      </c>
      <c r="CJ19" s="688">
        <v>6</v>
      </c>
      <c r="CK19" s="584">
        <f>ROUND(13.2*0.5*6,0)</f>
        <v>40</v>
      </c>
      <c r="CL19" s="688">
        <v>6.8</v>
      </c>
      <c r="CM19" s="584">
        <f>ROUND(13.2*0.5*6.8,0)</f>
        <v>45</v>
      </c>
      <c r="CN19" s="688">
        <v>7.8</v>
      </c>
      <c r="CO19" s="584">
        <f>ROUND(13.2*0.5*7.8,0)</f>
        <v>51</v>
      </c>
      <c r="CP19" s="688">
        <v>8.6999999999999993</v>
      </c>
      <c r="CQ19" s="584">
        <f>ROUND(13.2*0.5*8.7,0)</f>
        <v>57</v>
      </c>
      <c r="CR19" s="688">
        <v>9.6</v>
      </c>
      <c r="CS19" s="584">
        <f>ROUND(13.2*0.5*9.6,0)</f>
        <v>63</v>
      </c>
      <c r="CT19" s="688">
        <v>0</v>
      </c>
      <c r="CU19" s="584">
        <f>ROUND(13.2*0.5*0,0)</f>
        <v>0</v>
      </c>
      <c r="CV19" s="688">
        <v>0</v>
      </c>
      <c r="CW19" s="584">
        <f>ROUND(13.2*0.5*0,0)</f>
        <v>0</v>
      </c>
      <c r="CX19" s="688">
        <v>0</v>
      </c>
      <c r="CY19" s="584">
        <f>ROUND(13.2*0.5*0,0)</f>
        <v>0</v>
      </c>
      <c r="CZ19" s="688">
        <v>0</v>
      </c>
      <c r="DA19" s="584">
        <f>ROUND(13.2*0.5*0,0)</f>
        <v>0</v>
      </c>
      <c r="DB19" s="688">
        <v>0</v>
      </c>
      <c r="DC19" s="584">
        <f>ROUND(13.2*0.5*0,0)</f>
        <v>0</v>
      </c>
      <c r="DD19" s="688">
        <v>0</v>
      </c>
      <c r="DE19" s="586">
        <f>ROUND(13.2*0.5*0,0)</f>
        <v>0</v>
      </c>
      <c r="DF19" s="559"/>
      <c r="DG19" s="549"/>
      <c r="DH19" s="693" t="s">
        <v>241</v>
      </c>
      <c r="DI19" s="684"/>
      <c r="DJ19" s="580">
        <v>13.2</v>
      </c>
      <c r="DK19" s="685">
        <v>0.5</v>
      </c>
      <c r="DL19" s="686"/>
      <c r="DM19" s="687">
        <v>0</v>
      </c>
      <c r="DN19" s="584">
        <f>ROUND(13.2*0.5*0,0)</f>
        <v>0</v>
      </c>
      <c r="DO19" s="688">
        <v>0</v>
      </c>
      <c r="DP19" s="584">
        <f>ROUND(13.2*0.5*0,0)</f>
        <v>0</v>
      </c>
      <c r="DQ19" s="688">
        <v>0</v>
      </c>
      <c r="DR19" s="584">
        <f>ROUND(13.2*0.5*0,0)</f>
        <v>0</v>
      </c>
      <c r="DS19" s="688">
        <v>0</v>
      </c>
      <c r="DT19" s="584">
        <f>ROUND(13.2*0.5*0,0)</f>
        <v>0</v>
      </c>
      <c r="DU19" s="688">
        <v>0</v>
      </c>
      <c r="DV19" s="584">
        <f>ROUND(13.2*0.5*0,0)</f>
        <v>0</v>
      </c>
      <c r="DW19" s="688">
        <v>0</v>
      </c>
      <c r="DX19" s="584">
        <f>ROUND(13.2*0.5*0,0)</f>
        <v>0</v>
      </c>
      <c r="DY19" s="688">
        <v>0</v>
      </c>
      <c r="DZ19" s="584">
        <f>ROUND(13.2*0.5*0,0)</f>
        <v>0</v>
      </c>
      <c r="EA19" s="688">
        <v>0</v>
      </c>
      <c r="EB19" s="584">
        <f>ROUND(13.2*0.5*0,0)</f>
        <v>0</v>
      </c>
      <c r="EC19" s="688">
        <v>3.8</v>
      </c>
      <c r="ED19" s="584">
        <f>ROUND(13.2*0.5*3.8,0)</f>
        <v>25</v>
      </c>
      <c r="EE19" s="688">
        <v>3.5</v>
      </c>
      <c r="EF19" s="584">
        <f>ROUND(13.2*0.5*3.5,0)</f>
        <v>23</v>
      </c>
      <c r="EG19" s="688">
        <v>3.4</v>
      </c>
      <c r="EH19" s="584">
        <f>ROUND(13.2*0.5*3.4,0)</f>
        <v>22</v>
      </c>
      <c r="EI19" s="688">
        <v>3.6</v>
      </c>
      <c r="EJ19" s="584">
        <f>ROUND(13.2*0.5*3.6,0)</f>
        <v>24</v>
      </c>
      <c r="EK19" s="688">
        <v>4.0999999999999996</v>
      </c>
      <c r="EL19" s="584">
        <f>ROUND(13.2*0.5*4.1,0)</f>
        <v>27</v>
      </c>
      <c r="EM19" s="688">
        <v>4.9000000000000004</v>
      </c>
      <c r="EN19" s="584">
        <f>ROUND(13.2*0.5*4.9,0)</f>
        <v>32</v>
      </c>
      <c r="EO19" s="688">
        <v>6</v>
      </c>
      <c r="EP19" s="584">
        <f>ROUND(13.2*0.5*6,0)</f>
        <v>40</v>
      </c>
      <c r="EQ19" s="688">
        <v>7.3</v>
      </c>
      <c r="ER19" s="584">
        <f>ROUND(13.2*0.5*7.3,0)</f>
        <v>48</v>
      </c>
      <c r="ES19" s="688">
        <v>8.5</v>
      </c>
      <c r="ET19" s="584">
        <f>ROUND(13.2*0.5*8.5,0)</f>
        <v>56</v>
      </c>
      <c r="EU19" s="688">
        <v>9.6</v>
      </c>
      <c r="EV19" s="584">
        <f>ROUND(13.2*0.5*9.6,0)</f>
        <v>63</v>
      </c>
      <c r="EW19" s="688">
        <v>0</v>
      </c>
      <c r="EX19" s="584">
        <f>ROUND(13.2*0.5*0,0)</f>
        <v>0</v>
      </c>
      <c r="EY19" s="688">
        <v>0</v>
      </c>
      <c r="EZ19" s="584">
        <f>ROUND(13.2*0.5*0,0)</f>
        <v>0</v>
      </c>
      <c r="FA19" s="688">
        <v>0</v>
      </c>
      <c r="FB19" s="584">
        <f>ROUND(13.2*0.5*0,0)</f>
        <v>0</v>
      </c>
      <c r="FC19" s="688">
        <v>0</v>
      </c>
      <c r="FD19" s="584">
        <f>ROUND(13.2*0.5*0,0)</f>
        <v>0</v>
      </c>
      <c r="FE19" s="688">
        <v>0</v>
      </c>
      <c r="FF19" s="584">
        <f>ROUND(13.2*0.5*0,0)</f>
        <v>0</v>
      </c>
      <c r="FG19" s="688">
        <v>0</v>
      </c>
      <c r="FH19" s="586">
        <f>ROUND(13.2*0.5*0,0)</f>
        <v>0</v>
      </c>
      <c r="FI19" s="560"/>
      <c r="FJ19" s="561"/>
      <c r="FK19" s="693" t="s">
        <v>241</v>
      </c>
      <c r="FL19" s="684"/>
      <c r="FM19" s="580">
        <v>13.2</v>
      </c>
      <c r="FN19" s="685">
        <v>0.5</v>
      </c>
      <c r="FO19" s="686"/>
      <c r="FP19" s="689">
        <v>9</v>
      </c>
      <c r="FQ19" s="690">
        <v>20</v>
      </c>
      <c r="FR19" s="584">
        <f>ROUND(13.2*0.5*20,0)</f>
        <v>132</v>
      </c>
      <c r="FS19" s="691">
        <v>9</v>
      </c>
      <c r="FT19" s="690">
        <v>20.5</v>
      </c>
      <c r="FU19" s="589">
        <f>ROUND(13.2*0.5*20.5,0)</f>
        <v>135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264</v>
      </c>
      <c r="C20" s="684"/>
      <c r="D20" s="580">
        <v>13.2</v>
      </c>
      <c r="E20" s="685">
        <v>2.8</v>
      </c>
      <c r="F20" s="686"/>
      <c r="G20" s="687">
        <v>0</v>
      </c>
      <c r="H20" s="584">
        <f>ROUND(13.2*2.8*0,0)</f>
        <v>0</v>
      </c>
      <c r="I20" s="688">
        <v>0</v>
      </c>
      <c r="J20" s="584">
        <f>ROUND(13.2*2.8*0,0)</f>
        <v>0</v>
      </c>
      <c r="K20" s="688">
        <v>0</v>
      </c>
      <c r="L20" s="584">
        <f>ROUND(13.2*2.8*0,0)</f>
        <v>0</v>
      </c>
      <c r="M20" s="688">
        <v>0</v>
      </c>
      <c r="N20" s="584">
        <f>ROUND(13.2*2.8*0,0)</f>
        <v>0</v>
      </c>
      <c r="O20" s="688">
        <v>0</v>
      </c>
      <c r="P20" s="584">
        <f>ROUND(13.2*2.8*0,0)</f>
        <v>0</v>
      </c>
      <c r="Q20" s="688">
        <v>0</v>
      </c>
      <c r="R20" s="584">
        <f>ROUND(13.2*2.8*0,0)</f>
        <v>0</v>
      </c>
      <c r="S20" s="688">
        <v>0</v>
      </c>
      <c r="T20" s="584">
        <f>ROUND(13.2*2.8*0,0)</f>
        <v>0</v>
      </c>
      <c r="U20" s="688">
        <v>0</v>
      </c>
      <c r="V20" s="584">
        <f>ROUND(13.2*2.8*0,0)</f>
        <v>0</v>
      </c>
      <c r="W20" s="688">
        <v>1.6</v>
      </c>
      <c r="X20" s="584">
        <f>ROUND(13.2*2.8*1.6,0)</f>
        <v>59</v>
      </c>
      <c r="Y20" s="688">
        <v>2</v>
      </c>
      <c r="Z20" s="584">
        <f>ROUND(13.2*2.8*2,0)</f>
        <v>74</v>
      </c>
      <c r="AA20" s="688">
        <v>2.2000000000000002</v>
      </c>
      <c r="AB20" s="584">
        <f>ROUND(13.2*2.8*2.2,0)</f>
        <v>81</v>
      </c>
      <c r="AC20" s="688">
        <v>2.2999999999999998</v>
      </c>
      <c r="AD20" s="584">
        <f>ROUND(13.2*2.8*2.3,0)</f>
        <v>85</v>
      </c>
      <c r="AE20" s="688">
        <v>2.4</v>
      </c>
      <c r="AF20" s="584">
        <f>ROUND(13.2*2.8*2.4,0)</f>
        <v>89</v>
      </c>
      <c r="AG20" s="688">
        <v>2.4</v>
      </c>
      <c r="AH20" s="584">
        <f>ROUND(13.2*2.8*2.4,0)</f>
        <v>89</v>
      </c>
      <c r="AI20" s="688">
        <v>2.2000000000000002</v>
      </c>
      <c r="AJ20" s="584">
        <f>ROUND(13.2*2.8*2.2,0)</f>
        <v>81</v>
      </c>
      <c r="AK20" s="688">
        <v>2.1</v>
      </c>
      <c r="AL20" s="584">
        <f>ROUND(13.2*2.8*2.1,0)</f>
        <v>78</v>
      </c>
      <c r="AM20" s="688">
        <v>1.8</v>
      </c>
      <c r="AN20" s="584">
        <f>ROUND(13.2*2.8*1.8,0)</f>
        <v>67</v>
      </c>
      <c r="AO20" s="688">
        <v>1.6</v>
      </c>
      <c r="AP20" s="584">
        <f>ROUND(13.2*2.8*1.6,0)</f>
        <v>59</v>
      </c>
      <c r="AQ20" s="688">
        <v>0</v>
      </c>
      <c r="AR20" s="584">
        <f>ROUND(13.2*2.8*0,0)</f>
        <v>0</v>
      </c>
      <c r="AS20" s="688">
        <v>0</v>
      </c>
      <c r="AT20" s="584">
        <f>ROUND(13.2*2.8*0,0)</f>
        <v>0</v>
      </c>
      <c r="AU20" s="688">
        <v>0</v>
      </c>
      <c r="AV20" s="584">
        <f>ROUND(13.2*2.8*0,0)</f>
        <v>0</v>
      </c>
      <c r="AW20" s="688">
        <v>0</v>
      </c>
      <c r="AX20" s="584">
        <f>ROUND(13.2*2.8*0,0)</f>
        <v>0</v>
      </c>
      <c r="AY20" s="688">
        <v>0</v>
      </c>
      <c r="AZ20" s="584">
        <f>ROUND(13.2*2.8*0,0)</f>
        <v>0</v>
      </c>
      <c r="BA20" s="688">
        <v>0</v>
      </c>
      <c r="BB20" s="586">
        <f>ROUND(13.2*2.8*0,0)</f>
        <v>0</v>
      </c>
      <c r="BC20" s="559"/>
      <c r="BD20" s="549"/>
      <c r="BE20" s="693" t="s">
        <v>264</v>
      </c>
      <c r="BF20" s="684"/>
      <c r="BG20" s="580">
        <v>13.2</v>
      </c>
      <c r="BH20" s="685">
        <v>2.8</v>
      </c>
      <c r="BI20" s="686"/>
      <c r="BJ20" s="687">
        <v>0</v>
      </c>
      <c r="BK20" s="584">
        <f>ROUND(13.2*2.8*0,0)</f>
        <v>0</v>
      </c>
      <c r="BL20" s="688">
        <v>0</v>
      </c>
      <c r="BM20" s="584">
        <f>ROUND(13.2*2.8*0,0)</f>
        <v>0</v>
      </c>
      <c r="BN20" s="688">
        <v>0</v>
      </c>
      <c r="BO20" s="584">
        <f>ROUND(13.2*2.8*0,0)</f>
        <v>0</v>
      </c>
      <c r="BP20" s="688">
        <v>0</v>
      </c>
      <c r="BQ20" s="584">
        <f>ROUND(13.2*2.8*0,0)</f>
        <v>0</v>
      </c>
      <c r="BR20" s="688">
        <v>0</v>
      </c>
      <c r="BS20" s="584">
        <f>ROUND(13.2*2.8*0,0)</f>
        <v>0</v>
      </c>
      <c r="BT20" s="688">
        <v>0</v>
      </c>
      <c r="BU20" s="584">
        <f>ROUND(13.2*2.8*0,0)</f>
        <v>0</v>
      </c>
      <c r="BV20" s="688">
        <v>0</v>
      </c>
      <c r="BW20" s="584">
        <f>ROUND(13.2*2.8*0,0)</f>
        <v>0</v>
      </c>
      <c r="BX20" s="688">
        <v>0</v>
      </c>
      <c r="BY20" s="584">
        <f>ROUND(13.2*2.8*0,0)</f>
        <v>0</v>
      </c>
      <c r="BZ20" s="688">
        <v>1.5</v>
      </c>
      <c r="CA20" s="584">
        <f>ROUND(13.2*2.8*1.5,0)</f>
        <v>55</v>
      </c>
      <c r="CB20" s="688">
        <v>1.8</v>
      </c>
      <c r="CC20" s="584">
        <f>ROUND(13.2*2.8*1.8,0)</f>
        <v>67</v>
      </c>
      <c r="CD20" s="688">
        <v>2.1</v>
      </c>
      <c r="CE20" s="584">
        <f>ROUND(13.2*2.8*2.1,0)</f>
        <v>78</v>
      </c>
      <c r="CF20" s="688">
        <v>2.2000000000000002</v>
      </c>
      <c r="CG20" s="584">
        <f>ROUND(13.2*2.8*2.2,0)</f>
        <v>81</v>
      </c>
      <c r="CH20" s="688">
        <v>2.2999999999999998</v>
      </c>
      <c r="CI20" s="584">
        <f>ROUND(13.2*2.8*2.3,0)</f>
        <v>85</v>
      </c>
      <c r="CJ20" s="688">
        <v>2.2000000000000002</v>
      </c>
      <c r="CK20" s="584">
        <f>ROUND(13.2*2.8*2.2,0)</f>
        <v>81</v>
      </c>
      <c r="CL20" s="688">
        <v>2.1</v>
      </c>
      <c r="CM20" s="584">
        <f>ROUND(13.2*2.8*2.1,0)</f>
        <v>78</v>
      </c>
      <c r="CN20" s="688">
        <v>2</v>
      </c>
      <c r="CO20" s="584">
        <f>ROUND(13.2*2.8*2,0)</f>
        <v>74</v>
      </c>
      <c r="CP20" s="688">
        <v>1.8</v>
      </c>
      <c r="CQ20" s="584">
        <f>ROUND(13.2*2.8*1.8,0)</f>
        <v>67</v>
      </c>
      <c r="CR20" s="688">
        <v>1.5</v>
      </c>
      <c r="CS20" s="584">
        <f>ROUND(13.2*2.8*1.5,0)</f>
        <v>55</v>
      </c>
      <c r="CT20" s="688">
        <v>0</v>
      </c>
      <c r="CU20" s="584">
        <f>ROUND(13.2*2.8*0,0)</f>
        <v>0</v>
      </c>
      <c r="CV20" s="688">
        <v>0</v>
      </c>
      <c r="CW20" s="584">
        <f>ROUND(13.2*2.8*0,0)</f>
        <v>0</v>
      </c>
      <c r="CX20" s="688">
        <v>0</v>
      </c>
      <c r="CY20" s="584">
        <f>ROUND(13.2*2.8*0,0)</f>
        <v>0</v>
      </c>
      <c r="CZ20" s="688">
        <v>0</v>
      </c>
      <c r="DA20" s="584">
        <f>ROUND(13.2*2.8*0,0)</f>
        <v>0</v>
      </c>
      <c r="DB20" s="688">
        <v>0</v>
      </c>
      <c r="DC20" s="584">
        <f>ROUND(13.2*2.8*0,0)</f>
        <v>0</v>
      </c>
      <c r="DD20" s="688">
        <v>0</v>
      </c>
      <c r="DE20" s="586">
        <f>ROUND(13.2*2.8*0,0)</f>
        <v>0</v>
      </c>
      <c r="DF20" s="559"/>
      <c r="DG20" s="549"/>
      <c r="DH20" s="693" t="s">
        <v>264</v>
      </c>
      <c r="DI20" s="684"/>
      <c r="DJ20" s="580">
        <v>13.2</v>
      </c>
      <c r="DK20" s="685">
        <v>2.8</v>
      </c>
      <c r="DL20" s="686"/>
      <c r="DM20" s="687">
        <v>0</v>
      </c>
      <c r="DN20" s="584">
        <f>ROUND(13.2*2.8*0,0)</f>
        <v>0</v>
      </c>
      <c r="DO20" s="688">
        <v>0</v>
      </c>
      <c r="DP20" s="584">
        <f>ROUND(13.2*2.8*0,0)</f>
        <v>0</v>
      </c>
      <c r="DQ20" s="688">
        <v>0</v>
      </c>
      <c r="DR20" s="584">
        <f>ROUND(13.2*2.8*0,0)</f>
        <v>0</v>
      </c>
      <c r="DS20" s="688">
        <v>0</v>
      </c>
      <c r="DT20" s="584">
        <f>ROUND(13.2*2.8*0,0)</f>
        <v>0</v>
      </c>
      <c r="DU20" s="688">
        <v>0</v>
      </c>
      <c r="DV20" s="584">
        <f>ROUND(13.2*2.8*0,0)</f>
        <v>0</v>
      </c>
      <c r="DW20" s="688">
        <v>0</v>
      </c>
      <c r="DX20" s="584">
        <f>ROUND(13.2*2.8*0,0)</f>
        <v>0</v>
      </c>
      <c r="DY20" s="688">
        <v>0</v>
      </c>
      <c r="DZ20" s="584">
        <f>ROUND(13.2*2.8*0,0)</f>
        <v>0</v>
      </c>
      <c r="EA20" s="688">
        <v>0</v>
      </c>
      <c r="EB20" s="584">
        <f>ROUND(13.2*2.8*0,0)</f>
        <v>0</v>
      </c>
      <c r="EC20" s="688">
        <v>0.8</v>
      </c>
      <c r="ED20" s="584">
        <f>ROUND(13.2*2.8*0.8,0)</f>
        <v>30</v>
      </c>
      <c r="EE20" s="688">
        <v>1.2</v>
      </c>
      <c r="EF20" s="584">
        <f>ROUND(13.2*2.8*1.2,0)</f>
        <v>44</v>
      </c>
      <c r="EG20" s="688">
        <v>1.5</v>
      </c>
      <c r="EH20" s="584">
        <f>ROUND(13.2*2.8*1.5,0)</f>
        <v>55</v>
      </c>
      <c r="EI20" s="688">
        <v>1.7</v>
      </c>
      <c r="EJ20" s="584">
        <f>ROUND(13.2*2.8*1.7,0)</f>
        <v>63</v>
      </c>
      <c r="EK20" s="688">
        <v>1.7</v>
      </c>
      <c r="EL20" s="584">
        <f>ROUND(13.2*2.8*1.7,0)</f>
        <v>63</v>
      </c>
      <c r="EM20" s="688">
        <v>1.6</v>
      </c>
      <c r="EN20" s="584">
        <f>ROUND(13.2*2.8*1.6,0)</f>
        <v>59</v>
      </c>
      <c r="EO20" s="688">
        <v>1.5</v>
      </c>
      <c r="EP20" s="584">
        <f>ROUND(13.2*2.8*1.5,0)</f>
        <v>55</v>
      </c>
      <c r="EQ20" s="688">
        <v>1.4</v>
      </c>
      <c r="ER20" s="584">
        <f>ROUND(13.2*2.8*1.4,0)</f>
        <v>52</v>
      </c>
      <c r="ES20" s="688">
        <v>1.1000000000000001</v>
      </c>
      <c r="ET20" s="584">
        <f>ROUND(13.2*2.8*1.1,0)</f>
        <v>41</v>
      </c>
      <c r="EU20" s="688">
        <v>0.8</v>
      </c>
      <c r="EV20" s="584">
        <f>ROUND(13.2*2.8*0.8,0)</f>
        <v>30</v>
      </c>
      <c r="EW20" s="688">
        <v>0</v>
      </c>
      <c r="EX20" s="584">
        <f>ROUND(13.2*2.8*0,0)</f>
        <v>0</v>
      </c>
      <c r="EY20" s="688">
        <v>0</v>
      </c>
      <c r="EZ20" s="584">
        <f>ROUND(13.2*2.8*0,0)</f>
        <v>0</v>
      </c>
      <c r="FA20" s="688">
        <v>0</v>
      </c>
      <c r="FB20" s="584">
        <f>ROUND(13.2*2.8*0,0)</f>
        <v>0</v>
      </c>
      <c r="FC20" s="688">
        <v>0</v>
      </c>
      <c r="FD20" s="584">
        <f>ROUND(13.2*2.8*0,0)</f>
        <v>0</v>
      </c>
      <c r="FE20" s="688">
        <v>0</v>
      </c>
      <c r="FF20" s="584">
        <f>ROUND(13.2*2.8*0,0)</f>
        <v>0</v>
      </c>
      <c r="FG20" s="688">
        <v>0</v>
      </c>
      <c r="FH20" s="586">
        <f>ROUND(13.2*2.8*0,0)</f>
        <v>0</v>
      </c>
      <c r="FI20" s="560"/>
      <c r="FJ20" s="561"/>
      <c r="FK20" s="693" t="s">
        <v>264</v>
      </c>
      <c r="FL20" s="684"/>
      <c r="FM20" s="580">
        <v>13.2</v>
      </c>
      <c r="FN20" s="685">
        <v>2.8</v>
      </c>
      <c r="FO20" s="686"/>
      <c r="FP20" s="689">
        <v>9</v>
      </c>
      <c r="FQ20" s="690">
        <v>6</v>
      </c>
      <c r="FR20" s="584">
        <f>ROUND(13.2*2.8*6,0)</f>
        <v>222</v>
      </c>
      <c r="FS20" s="691">
        <v>9</v>
      </c>
      <c r="FT20" s="690">
        <v>6.1</v>
      </c>
      <c r="FU20" s="589">
        <f>ROUND(13.2*2.8*6.1,0)</f>
        <v>225</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455</v>
      </c>
      <c r="GL21" s="695"/>
      <c r="GM21" s="696"/>
      <c r="GN21" s="635">
        <v>0</v>
      </c>
      <c r="GO21" s="697"/>
      <c r="GP21" s="698"/>
      <c r="GQ21" s="630">
        <v>0</v>
      </c>
      <c r="GR21" s="631">
        <v>0</v>
      </c>
      <c r="GS21" s="575"/>
      <c r="GT21" s="670"/>
      <c r="GU21" s="694" t="s">
        <v>455</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456</v>
      </c>
      <c r="GL22" s="705"/>
      <c r="GM22" s="705"/>
      <c r="GN22" s="706"/>
      <c r="GO22" s="630">
        <v>0</v>
      </c>
      <c r="GP22" s="630">
        <v>1</v>
      </c>
      <c r="GQ22" s="707"/>
      <c r="GR22" s="708"/>
      <c r="GS22" s="575"/>
      <c r="GT22" s="670"/>
      <c r="GU22" s="704" t="s">
        <v>456</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457</v>
      </c>
      <c r="GL23" s="606"/>
      <c r="GM23" s="711"/>
      <c r="GN23" s="712">
        <v>13.2</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536</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319</v>
      </c>
      <c r="Y26" s="728"/>
      <c r="Z26" s="642">
        <f>SUM(Z16:Z25)</f>
        <v>389</v>
      </c>
      <c r="AA26" s="728"/>
      <c r="AB26" s="642">
        <f>SUM(AB16:AB25)</f>
        <v>431</v>
      </c>
      <c r="AC26" s="728"/>
      <c r="AD26" s="642">
        <f>SUM(AD16:AD25)</f>
        <v>450</v>
      </c>
      <c r="AE26" s="728"/>
      <c r="AF26" s="642">
        <f>SUM(AF16:AF25)</f>
        <v>454</v>
      </c>
      <c r="AG26" s="728"/>
      <c r="AH26" s="642">
        <f>SUM(AH16:AH25)</f>
        <v>448</v>
      </c>
      <c r="AI26" s="728"/>
      <c r="AJ26" s="642">
        <f>SUM(AJ16:AJ25)</f>
        <v>425</v>
      </c>
      <c r="AK26" s="728"/>
      <c r="AL26" s="642">
        <f>SUM(AL16:AL25)</f>
        <v>410</v>
      </c>
      <c r="AM26" s="728"/>
      <c r="AN26" s="642">
        <f>SUM(AN16:AN25)</f>
        <v>374</v>
      </c>
      <c r="AO26" s="728"/>
      <c r="AP26" s="642">
        <f>SUM(AP16:AP25)</f>
        <v>342</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562</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378</v>
      </c>
      <c r="CB26" s="728"/>
      <c r="CC26" s="642">
        <f>SUM(CC16:CC25)</f>
        <v>443</v>
      </c>
      <c r="CD26" s="728"/>
      <c r="CE26" s="642">
        <f>SUM(CE16:CE25)</f>
        <v>484</v>
      </c>
      <c r="CF26" s="728"/>
      <c r="CG26" s="642">
        <f>SUM(CG16:CG25)</f>
        <v>484</v>
      </c>
      <c r="CH26" s="728"/>
      <c r="CI26" s="642">
        <f>SUM(CI16:CI25)</f>
        <v>466</v>
      </c>
      <c r="CJ26" s="728"/>
      <c r="CK26" s="642">
        <f>SUM(CK16:CK25)</f>
        <v>438</v>
      </c>
      <c r="CL26" s="728"/>
      <c r="CM26" s="642">
        <f>SUM(CM16:CM25)</f>
        <v>416</v>
      </c>
      <c r="CN26" s="728"/>
      <c r="CO26" s="642">
        <f>SUM(CO16:CO25)</f>
        <v>395</v>
      </c>
      <c r="CP26" s="728"/>
      <c r="CQ26" s="642">
        <f>SUM(CQ16:CQ25)</f>
        <v>369</v>
      </c>
      <c r="CR26" s="728"/>
      <c r="CS26" s="642">
        <f>SUM(CS16:CS25)</f>
        <v>330</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536</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279</v>
      </c>
      <c r="EE26" s="728"/>
      <c r="EF26" s="642">
        <f>SUM(EF16:EF25)</f>
        <v>354</v>
      </c>
      <c r="EG26" s="728"/>
      <c r="EH26" s="642">
        <f>SUM(EH16:EH25)</f>
        <v>399</v>
      </c>
      <c r="EI26" s="728"/>
      <c r="EJ26" s="642">
        <f>SUM(EJ16:EJ25)</f>
        <v>409</v>
      </c>
      <c r="EK26" s="728"/>
      <c r="EL26" s="642">
        <f>SUM(EL16:EL25)</f>
        <v>386</v>
      </c>
      <c r="EM26" s="728"/>
      <c r="EN26" s="642">
        <f>SUM(EN16:EN25)</f>
        <v>354</v>
      </c>
      <c r="EO26" s="728"/>
      <c r="EP26" s="642">
        <f>SUM(EP16:EP25)</f>
        <v>330</v>
      </c>
      <c r="EQ26" s="728"/>
      <c r="ER26" s="642">
        <f>SUM(ER16:ER25)</f>
        <v>312</v>
      </c>
      <c r="ES26" s="728"/>
      <c r="ET26" s="642">
        <f>SUM(ET16:ET25)</f>
        <v>275</v>
      </c>
      <c r="EU26" s="728"/>
      <c r="EV26" s="642">
        <f>SUM(EV16:EV25)</f>
        <v>233</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536</v>
      </c>
      <c r="FN26" s="639"/>
      <c r="FO26" s="639"/>
      <c r="FP26" s="647"/>
      <c r="FQ26" s="648"/>
      <c r="FR26" s="642">
        <f>SUM(FR16:FR25)</f>
        <v>937</v>
      </c>
      <c r="FS26" s="729"/>
      <c r="FT26" s="648"/>
      <c r="FU26" s="650">
        <f>SUM(FU16:FU25)</f>
        <v>957</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v>
      </c>
      <c r="GZ26" s="577"/>
      <c r="HA26" s="527"/>
      <c r="HB26" s="527"/>
      <c r="HC26" s="527"/>
      <c r="HD26" s="645"/>
      <c r="HE26" s="416"/>
      <c r="HF26" s="416"/>
      <c r="HG26" s="577"/>
      <c r="HH26" s="645"/>
      <c r="HI26" s="416"/>
      <c r="HJ26" s="416"/>
    </row>
    <row r="27" spans="1:218" ht="20.100000000000001" customHeight="1">
      <c r="A27" s="730" t="s">
        <v>388</v>
      </c>
      <c r="B27" s="731"/>
      <c r="C27" s="732"/>
      <c r="D27" s="660"/>
      <c r="E27" s="732"/>
      <c r="F27" s="732"/>
      <c r="G27" s="733" t="s">
        <v>389</v>
      </c>
      <c r="H27" s="660" t="s">
        <v>390</v>
      </c>
      <c r="I27" s="734" t="s">
        <v>389</v>
      </c>
      <c r="J27" s="660" t="s">
        <v>390</v>
      </c>
      <c r="K27" s="735" t="s">
        <v>389</v>
      </c>
      <c r="L27" s="660" t="s">
        <v>390</v>
      </c>
      <c r="M27" s="735" t="s">
        <v>389</v>
      </c>
      <c r="N27" s="660" t="s">
        <v>390</v>
      </c>
      <c r="O27" s="735" t="s">
        <v>389</v>
      </c>
      <c r="P27" s="660" t="s">
        <v>390</v>
      </c>
      <c r="Q27" s="735" t="s">
        <v>389</v>
      </c>
      <c r="R27" s="660" t="s">
        <v>390</v>
      </c>
      <c r="S27" s="735" t="s">
        <v>389</v>
      </c>
      <c r="T27" s="660" t="s">
        <v>390</v>
      </c>
      <c r="U27" s="735" t="s">
        <v>389</v>
      </c>
      <c r="V27" s="660" t="s">
        <v>390</v>
      </c>
      <c r="W27" s="735" t="s">
        <v>389</v>
      </c>
      <c r="X27" s="660" t="s">
        <v>390</v>
      </c>
      <c r="Y27" s="735" t="s">
        <v>389</v>
      </c>
      <c r="Z27" s="660" t="s">
        <v>390</v>
      </c>
      <c r="AA27" s="735" t="s">
        <v>389</v>
      </c>
      <c r="AB27" s="660" t="s">
        <v>390</v>
      </c>
      <c r="AC27" s="735" t="s">
        <v>389</v>
      </c>
      <c r="AD27" s="660" t="s">
        <v>390</v>
      </c>
      <c r="AE27" s="735" t="s">
        <v>389</v>
      </c>
      <c r="AF27" s="660" t="s">
        <v>390</v>
      </c>
      <c r="AG27" s="735" t="s">
        <v>389</v>
      </c>
      <c r="AH27" s="660" t="s">
        <v>390</v>
      </c>
      <c r="AI27" s="735" t="s">
        <v>389</v>
      </c>
      <c r="AJ27" s="660" t="s">
        <v>390</v>
      </c>
      <c r="AK27" s="735" t="s">
        <v>389</v>
      </c>
      <c r="AL27" s="660" t="s">
        <v>390</v>
      </c>
      <c r="AM27" s="735" t="s">
        <v>389</v>
      </c>
      <c r="AN27" s="660" t="s">
        <v>390</v>
      </c>
      <c r="AO27" s="735" t="s">
        <v>389</v>
      </c>
      <c r="AP27" s="660" t="s">
        <v>390</v>
      </c>
      <c r="AQ27" s="735" t="s">
        <v>389</v>
      </c>
      <c r="AR27" s="660" t="s">
        <v>390</v>
      </c>
      <c r="AS27" s="735" t="s">
        <v>389</v>
      </c>
      <c r="AT27" s="660" t="s">
        <v>390</v>
      </c>
      <c r="AU27" s="735" t="s">
        <v>389</v>
      </c>
      <c r="AV27" s="660" t="s">
        <v>390</v>
      </c>
      <c r="AW27" s="735" t="s">
        <v>389</v>
      </c>
      <c r="AX27" s="660" t="s">
        <v>390</v>
      </c>
      <c r="AY27" s="735" t="s">
        <v>389</v>
      </c>
      <c r="AZ27" s="660" t="s">
        <v>390</v>
      </c>
      <c r="BA27" s="735" t="s">
        <v>389</v>
      </c>
      <c r="BB27" s="662" t="s">
        <v>390</v>
      </c>
      <c r="BC27" s="716"/>
      <c r="BD27" s="730" t="s">
        <v>391</v>
      </c>
      <c r="BE27" s="731"/>
      <c r="BF27" s="732"/>
      <c r="BG27" s="660"/>
      <c r="BH27" s="732"/>
      <c r="BI27" s="732"/>
      <c r="BJ27" s="733" t="s">
        <v>389</v>
      </c>
      <c r="BK27" s="660" t="s">
        <v>390</v>
      </c>
      <c r="BL27" s="734" t="s">
        <v>389</v>
      </c>
      <c r="BM27" s="660" t="s">
        <v>390</v>
      </c>
      <c r="BN27" s="735" t="s">
        <v>389</v>
      </c>
      <c r="BO27" s="660" t="s">
        <v>390</v>
      </c>
      <c r="BP27" s="735" t="s">
        <v>389</v>
      </c>
      <c r="BQ27" s="660" t="s">
        <v>390</v>
      </c>
      <c r="BR27" s="735" t="s">
        <v>389</v>
      </c>
      <c r="BS27" s="660" t="s">
        <v>390</v>
      </c>
      <c r="BT27" s="735" t="s">
        <v>389</v>
      </c>
      <c r="BU27" s="660" t="s">
        <v>390</v>
      </c>
      <c r="BV27" s="735" t="s">
        <v>389</v>
      </c>
      <c r="BW27" s="660" t="s">
        <v>390</v>
      </c>
      <c r="BX27" s="735" t="s">
        <v>389</v>
      </c>
      <c r="BY27" s="660" t="s">
        <v>390</v>
      </c>
      <c r="BZ27" s="735" t="s">
        <v>389</v>
      </c>
      <c r="CA27" s="660" t="s">
        <v>390</v>
      </c>
      <c r="CB27" s="735" t="s">
        <v>389</v>
      </c>
      <c r="CC27" s="660" t="s">
        <v>390</v>
      </c>
      <c r="CD27" s="735" t="s">
        <v>389</v>
      </c>
      <c r="CE27" s="660" t="s">
        <v>390</v>
      </c>
      <c r="CF27" s="735" t="s">
        <v>389</v>
      </c>
      <c r="CG27" s="660" t="s">
        <v>390</v>
      </c>
      <c r="CH27" s="735" t="s">
        <v>389</v>
      </c>
      <c r="CI27" s="660" t="s">
        <v>390</v>
      </c>
      <c r="CJ27" s="735" t="s">
        <v>389</v>
      </c>
      <c r="CK27" s="660" t="s">
        <v>390</v>
      </c>
      <c r="CL27" s="735" t="s">
        <v>389</v>
      </c>
      <c r="CM27" s="660" t="s">
        <v>390</v>
      </c>
      <c r="CN27" s="735" t="s">
        <v>389</v>
      </c>
      <c r="CO27" s="660" t="s">
        <v>390</v>
      </c>
      <c r="CP27" s="735" t="s">
        <v>389</v>
      </c>
      <c r="CQ27" s="660" t="s">
        <v>390</v>
      </c>
      <c r="CR27" s="735" t="s">
        <v>389</v>
      </c>
      <c r="CS27" s="660" t="s">
        <v>390</v>
      </c>
      <c r="CT27" s="735" t="s">
        <v>389</v>
      </c>
      <c r="CU27" s="660" t="s">
        <v>390</v>
      </c>
      <c r="CV27" s="735" t="s">
        <v>389</v>
      </c>
      <c r="CW27" s="660" t="s">
        <v>390</v>
      </c>
      <c r="CX27" s="735" t="s">
        <v>389</v>
      </c>
      <c r="CY27" s="660" t="s">
        <v>390</v>
      </c>
      <c r="CZ27" s="735" t="s">
        <v>389</v>
      </c>
      <c r="DA27" s="660" t="s">
        <v>390</v>
      </c>
      <c r="DB27" s="735" t="s">
        <v>389</v>
      </c>
      <c r="DC27" s="660" t="s">
        <v>390</v>
      </c>
      <c r="DD27" s="735" t="s">
        <v>389</v>
      </c>
      <c r="DE27" s="662" t="s">
        <v>390</v>
      </c>
      <c r="DF27" s="716"/>
      <c r="DG27" s="730" t="s">
        <v>391</v>
      </c>
      <c r="DH27" s="736"/>
      <c r="DI27" s="737"/>
      <c r="DJ27" s="738"/>
      <c r="DK27" s="737"/>
      <c r="DL27" s="737"/>
      <c r="DM27" s="733" t="s">
        <v>389</v>
      </c>
      <c r="DN27" s="660" t="s">
        <v>390</v>
      </c>
      <c r="DO27" s="734" t="s">
        <v>389</v>
      </c>
      <c r="DP27" s="660" t="s">
        <v>390</v>
      </c>
      <c r="DQ27" s="735" t="s">
        <v>389</v>
      </c>
      <c r="DR27" s="660" t="s">
        <v>390</v>
      </c>
      <c r="DS27" s="735" t="s">
        <v>389</v>
      </c>
      <c r="DT27" s="660" t="s">
        <v>390</v>
      </c>
      <c r="DU27" s="735" t="s">
        <v>389</v>
      </c>
      <c r="DV27" s="660" t="s">
        <v>390</v>
      </c>
      <c r="DW27" s="735" t="s">
        <v>389</v>
      </c>
      <c r="DX27" s="660" t="s">
        <v>390</v>
      </c>
      <c r="DY27" s="735" t="s">
        <v>389</v>
      </c>
      <c r="DZ27" s="660" t="s">
        <v>390</v>
      </c>
      <c r="EA27" s="735" t="s">
        <v>389</v>
      </c>
      <c r="EB27" s="660" t="s">
        <v>390</v>
      </c>
      <c r="EC27" s="735" t="s">
        <v>389</v>
      </c>
      <c r="ED27" s="660" t="s">
        <v>390</v>
      </c>
      <c r="EE27" s="735" t="s">
        <v>389</v>
      </c>
      <c r="EF27" s="660" t="s">
        <v>390</v>
      </c>
      <c r="EG27" s="735" t="s">
        <v>389</v>
      </c>
      <c r="EH27" s="660" t="s">
        <v>390</v>
      </c>
      <c r="EI27" s="735" t="s">
        <v>389</v>
      </c>
      <c r="EJ27" s="660" t="s">
        <v>390</v>
      </c>
      <c r="EK27" s="735" t="s">
        <v>389</v>
      </c>
      <c r="EL27" s="660" t="s">
        <v>390</v>
      </c>
      <c r="EM27" s="735" t="s">
        <v>389</v>
      </c>
      <c r="EN27" s="660" t="s">
        <v>390</v>
      </c>
      <c r="EO27" s="735" t="s">
        <v>389</v>
      </c>
      <c r="EP27" s="660" t="s">
        <v>390</v>
      </c>
      <c r="EQ27" s="735" t="s">
        <v>389</v>
      </c>
      <c r="ER27" s="660" t="s">
        <v>390</v>
      </c>
      <c r="ES27" s="735" t="s">
        <v>389</v>
      </c>
      <c r="ET27" s="660" t="s">
        <v>390</v>
      </c>
      <c r="EU27" s="735" t="s">
        <v>389</v>
      </c>
      <c r="EV27" s="660" t="s">
        <v>390</v>
      </c>
      <c r="EW27" s="735" t="s">
        <v>389</v>
      </c>
      <c r="EX27" s="660" t="s">
        <v>390</v>
      </c>
      <c r="EY27" s="735" t="s">
        <v>389</v>
      </c>
      <c r="EZ27" s="660" t="s">
        <v>390</v>
      </c>
      <c r="FA27" s="735" t="s">
        <v>389</v>
      </c>
      <c r="FB27" s="660" t="s">
        <v>390</v>
      </c>
      <c r="FC27" s="735" t="s">
        <v>389</v>
      </c>
      <c r="FD27" s="660" t="s">
        <v>390</v>
      </c>
      <c r="FE27" s="735" t="s">
        <v>389</v>
      </c>
      <c r="FF27" s="660" t="s">
        <v>390</v>
      </c>
      <c r="FG27" s="735" t="s">
        <v>389</v>
      </c>
      <c r="FH27" s="662" t="s">
        <v>390</v>
      </c>
      <c r="FI27" s="739"/>
      <c r="FJ27" s="539" t="s">
        <v>391</v>
      </c>
      <c r="FK27" s="736"/>
      <c r="FL27" s="737"/>
      <c r="FM27" s="738"/>
      <c r="FN27" s="737"/>
      <c r="FO27" s="737"/>
      <c r="FP27" s="740" t="s">
        <v>392</v>
      </c>
      <c r="FQ27" s="666" t="s">
        <v>389</v>
      </c>
      <c r="FR27" s="660" t="s">
        <v>393</v>
      </c>
      <c r="FS27" s="741" t="s">
        <v>392</v>
      </c>
      <c r="FT27" s="666" t="s">
        <v>389</v>
      </c>
      <c r="FU27" s="668" t="s">
        <v>393</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394</v>
      </c>
      <c r="C28" s="746"/>
      <c r="D28" s="747">
        <v>69</v>
      </c>
      <c r="E28" s="748">
        <v>4</v>
      </c>
      <c r="F28" s="749" t="s">
        <v>395</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394</v>
      </c>
      <c r="BF28" s="746"/>
      <c r="BG28" s="747">
        <v>69</v>
      </c>
      <c r="BH28" s="748">
        <v>4</v>
      </c>
      <c r="BI28" s="749" t="s">
        <v>395</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394</v>
      </c>
      <c r="DI28" s="746"/>
      <c r="DJ28" s="747">
        <v>69</v>
      </c>
      <c r="DK28" s="748">
        <v>4</v>
      </c>
      <c r="DL28" s="749" t="s">
        <v>395</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394</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396</v>
      </c>
      <c r="C29" s="758"/>
      <c r="D29" s="759">
        <v>15</v>
      </c>
      <c r="E29" s="760">
        <v>13.2</v>
      </c>
      <c r="F29" s="761" t="s">
        <v>395</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396</v>
      </c>
      <c r="BF29" s="758"/>
      <c r="BG29" s="759">
        <v>15</v>
      </c>
      <c r="BH29" s="760">
        <v>13.2</v>
      </c>
      <c r="BI29" s="761" t="s">
        <v>395</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396</v>
      </c>
      <c r="DI29" s="758"/>
      <c r="DJ29" s="759">
        <v>15</v>
      </c>
      <c r="DK29" s="760">
        <v>13.2</v>
      </c>
      <c r="DL29" s="761" t="s">
        <v>395</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396</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397</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397</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397</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397</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362</v>
      </c>
      <c r="GV30" s="773"/>
      <c r="GW30" s="774" t="s">
        <v>473</v>
      </c>
      <c r="GX30" s="774"/>
      <c r="GY30" s="774"/>
      <c r="GZ30" s="774"/>
      <c r="HA30" s="775"/>
      <c r="HB30" s="776" t="s">
        <v>474</v>
      </c>
      <c r="HC30" s="576"/>
      <c r="HD30" s="559"/>
      <c r="HE30" s="416"/>
      <c r="HF30" s="416"/>
    </row>
    <row r="31" spans="1:218" ht="20.100000000000001" customHeight="1">
      <c r="A31" s="549"/>
      <c r="B31" s="777" t="s">
        <v>398</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398</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398</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398</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399</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399</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399</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399</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400</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400</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400</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400</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205</v>
      </c>
      <c r="GV33" s="805"/>
      <c r="GW33" s="806">
        <v>0</v>
      </c>
      <c r="GX33" s="807">
        <v>20.079999999999998</v>
      </c>
      <c r="GY33" s="807">
        <v>26.77</v>
      </c>
      <c r="GZ33" s="807">
        <v>0</v>
      </c>
      <c r="HA33" s="807">
        <v>46.849999999999994</v>
      </c>
      <c r="HB33" s="808">
        <v>13.2</v>
      </c>
      <c r="HC33" s="414"/>
      <c r="HD33" s="645"/>
      <c r="HE33" s="416"/>
      <c r="HF33" s="416"/>
    </row>
    <row r="34" spans="1:219" ht="20.100000000000001" customHeight="1">
      <c r="A34" s="809" t="s">
        <v>401</v>
      </c>
      <c r="B34" s="736"/>
      <c r="C34" s="810"/>
      <c r="D34" s="811"/>
      <c r="E34" s="810"/>
      <c r="F34" s="812"/>
      <c r="G34" s="733" t="s">
        <v>402</v>
      </c>
      <c r="H34" s="660" t="s">
        <v>390</v>
      </c>
      <c r="I34" s="734" t="s">
        <v>402</v>
      </c>
      <c r="J34" s="660" t="s">
        <v>390</v>
      </c>
      <c r="K34" s="735" t="s">
        <v>402</v>
      </c>
      <c r="L34" s="660" t="s">
        <v>390</v>
      </c>
      <c r="M34" s="735" t="s">
        <v>402</v>
      </c>
      <c r="N34" s="660" t="s">
        <v>390</v>
      </c>
      <c r="O34" s="735" t="s">
        <v>402</v>
      </c>
      <c r="P34" s="660" t="s">
        <v>390</v>
      </c>
      <c r="Q34" s="735" t="s">
        <v>402</v>
      </c>
      <c r="R34" s="660" t="s">
        <v>390</v>
      </c>
      <c r="S34" s="735" t="s">
        <v>402</v>
      </c>
      <c r="T34" s="660" t="s">
        <v>390</v>
      </c>
      <c r="U34" s="735" t="s">
        <v>402</v>
      </c>
      <c r="V34" s="660" t="s">
        <v>390</v>
      </c>
      <c r="W34" s="735" t="s">
        <v>402</v>
      </c>
      <c r="X34" s="660" t="s">
        <v>390</v>
      </c>
      <c r="Y34" s="735" t="s">
        <v>402</v>
      </c>
      <c r="Z34" s="660" t="s">
        <v>390</v>
      </c>
      <c r="AA34" s="735" t="s">
        <v>402</v>
      </c>
      <c r="AB34" s="660" t="s">
        <v>390</v>
      </c>
      <c r="AC34" s="735" t="s">
        <v>402</v>
      </c>
      <c r="AD34" s="660" t="s">
        <v>390</v>
      </c>
      <c r="AE34" s="735" t="s">
        <v>402</v>
      </c>
      <c r="AF34" s="660" t="s">
        <v>390</v>
      </c>
      <c r="AG34" s="735" t="s">
        <v>402</v>
      </c>
      <c r="AH34" s="660" t="s">
        <v>390</v>
      </c>
      <c r="AI34" s="735" t="s">
        <v>402</v>
      </c>
      <c r="AJ34" s="660" t="s">
        <v>390</v>
      </c>
      <c r="AK34" s="735" t="s">
        <v>402</v>
      </c>
      <c r="AL34" s="660" t="s">
        <v>390</v>
      </c>
      <c r="AM34" s="735" t="s">
        <v>402</v>
      </c>
      <c r="AN34" s="660" t="s">
        <v>390</v>
      </c>
      <c r="AO34" s="735" t="s">
        <v>402</v>
      </c>
      <c r="AP34" s="660" t="s">
        <v>390</v>
      </c>
      <c r="AQ34" s="735" t="s">
        <v>402</v>
      </c>
      <c r="AR34" s="660" t="s">
        <v>390</v>
      </c>
      <c r="AS34" s="735" t="s">
        <v>402</v>
      </c>
      <c r="AT34" s="660" t="s">
        <v>390</v>
      </c>
      <c r="AU34" s="735" t="s">
        <v>402</v>
      </c>
      <c r="AV34" s="660" t="s">
        <v>390</v>
      </c>
      <c r="AW34" s="735" t="s">
        <v>402</v>
      </c>
      <c r="AX34" s="660" t="s">
        <v>390</v>
      </c>
      <c r="AY34" s="735" t="s">
        <v>402</v>
      </c>
      <c r="AZ34" s="660" t="s">
        <v>390</v>
      </c>
      <c r="BA34" s="735" t="s">
        <v>402</v>
      </c>
      <c r="BB34" s="662" t="s">
        <v>390</v>
      </c>
      <c r="BC34" s="716"/>
      <c r="BD34" s="809" t="s">
        <v>401</v>
      </c>
      <c r="BE34" s="731"/>
      <c r="BF34" s="813"/>
      <c r="BG34" s="814"/>
      <c r="BH34" s="813"/>
      <c r="BI34" s="815"/>
      <c r="BJ34" s="733" t="s">
        <v>402</v>
      </c>
      <c r="BK34" s="660" t="s">
        <v>390</v>
      </c>
      <c r="BL34" s="734" t="s">
        <v>402</v>
      </c>
      <c r="BM34" s="660" t="s">
        <v>390</v>
      </c>
      <c r="BN34" s="735" t="s">
        <v>402</v>
      </c>
      <c r="BO34" s="660" t="s">
        <v>390</v>
      </c>
      <c r="BP34" s="735" t="s">
        <v>402</v>
      </c>
      <c r="BQ34" s="660" t="s">
        <v>390</v>
      </c>
      <c r="BR34" s="735" t="s">
        <v>402</v>
      </c>
      <c r="BS34" s="660" t="s">
        <v>390</v>
      </c>
      <c r="BT34" s="735" t="s">
        <v>402</v>
      </c>
      <c r="BU34" s="660" t="s">
        <v>390</v>
      </c>
      <c r="BV34" s="735" t="s">
        <v>402</v>
      </c>
      <c r="BW34" s="660" t="s">
        <v>390</v>
      </c>
      <c r="BX34" s="735" t="s">
        <v>402</v>
      </c>
      <c r="BY34" s="660" t="s">
        <v>390</v>
      </c>
      <c r="BZ34" s="735" t="s">
        <v>402</v>
      </c>
      <c r="CA34" s="660" t="s">
        <v>390</v>
      </c>
      <c r="CB34" s="735" t="s">
        <v>402</v>
      </c>
      <c r="CC34" s="660" t="s">
        <v>390</v>
      </c>
      <c r="CD34" s="735" t="s">
        <v>402</v>
      </c>
      <c r="CE34" s="660" t="s">
        <v>390</v>
      </c>
      <c r="CF34" s="735" t="s">
        <v>402</v>
      </c>
      <c r="CG34" s="660" t="s">
        <v>390</v>
      </c>
      <c r="CH34" s="735" t="s">
        <v>402</v>
      </c>
      <c r="CI34" s="660" t="s">
        <v>390</v>
      </c>
      <c r="CJ34" s="735" t="s">
        <v>402</v>
      </c>
      <c r="CK34" s="660" t="s">
        <v>390</v>
      </c>
      <c r="CL34" s="735" t="s">
        <v>402</v>
      </c>
      <c r="CM34" s="660" t="s">
        <v>390</v>
      </c>
      <c r="CN34" s="735" t="s">
        <v>402</v>
      </c>
      <c r="CO34" s="660" t="s">
        <v>390</v>
      </c>
      <c r="CP34" s="735" t="s">
        <v>402</v>
      </c>
      <c r="CQ34" s="660" t="s">
        <v>390</v>
      </c>
      <c r="CR34" s="735" t="s">
        <v>402</v>
      </c>
      <c r="CS34" s="660" t="s">
        <v>390</v>
      </c>
      <c r="CT34" s="735" t="s">
        <v>402</v>
      </c>
      <c r="CU34" s="660" t="s">
        <v>390</v>
      </c>
      <c r="CV34" s="735" t="s">
        <v>402</v>
      </c>
      <c r="CW34" s="660" t="s">
        <v>390</v>
      </c>
      <c r="CX34" s="735" t="s">
        <v>402</v>
      </c>
      <c r="CY34" s="660" t="s">
        <v>390</v>
      </c>
      <c r="CZ34" s="735" t="s">
        <v>402</v>
      </c>
      <c r="DA34" s="660" t="s">
        <v>390</v>
      </c>
      <c r="DB34" s="735" t="s">
        <v>402</v>
      </c>
      <c r="DC34" s="660" t="s">
        <v>390</v>
      </c>
      <c r="DD34" s="735" t="s">
        <v>402</v>
      </c>
      <c r="DE34" s="662" t="s">
        <v>390</v>
      </c>
      <c r="DF34" s="716"/>
      <c r="DG34" s="809" t="s">
        <v>401</v>
      </c>
      <c r="DH34" s="731"/>
      <c r="DI34" s="813"/>
      <c r="DJ34" s="814"/>
      <c r="DK34" s="813"/>
      <c r="DL34" s="815"/>
      <c r="DM34" s="733" t="s">
        <v>402</v>
      </c>
      <c r="DN34" s="660" t="s">
        <v>390</v>
      </c>
      <c r="DO34" s="734" t="s">
        <v>402</v>
      </c>
      <c r="DP34" s="660" t="s">
        <v>390</v>
      </c>
      <c r="DQ34" s="735" t="s">
        <v>402</v>
      </c>
      <c r="DR34" s="660" t="s">
        <v>390</v>
      </c>
      <c r="DS34" s="735" t="s">
        <v>402</v>
      </c>
      <c r="DT34" s="660" t="s">
        <v>390</v>
      </c>
      <c r="DU34" s="735" t="s">
        <v>402</v>
      </c>
      <c r="DV34" s="660" t="s">
        <v>390</v>
      </c>
      <c r="DW34" s="735" t="s">
        <v>402</v>
      </c>
      <c r="DX34" s="660" t="s">
        <v>390</v>
      </c>
      <c r="DY34" s="735" t="s">
        <v>402</v>
      </c>
      <c r="DZ34" s="660" t="s">
        <v>390</v>
      </c>
      <c r="EA34" s="735" t="s">
        <v>402</v>
      </c>
      <c r="EB34" s="660" t="s">
        <v>390</v>
      </c>
      <c r="EC34" s="735" t="s">
        <v>402</v>
      </c>
      <c r="ED34" s="660" t="s">
        <v>390</v>
      </c>
      <c r="EE34" s="735" t="s">
        <v>402</v>
      </c>
      <c r="EF34" s="660" t="s">
        <v>390</v>
      </c>
      <c r="EG34" s="735" t="s">
        <v>402</v>
      </c>
      <c r="EH34" s="660" t="s">
        <v>390</v>
      </c>
      <c r="EI34" s="735" t="s">
        <v>402</v>
      </c>
      <c r="EJ34" s="660" t="s">
        <v>390</v>
      </c>
      <c r="EK34" s="735" t="s">
        <v>402</v>
      </c>
      <c r="EL34" s="660" t="s">
        <v>390</v>
      </c>
      <c r="EM34" s="735" t="s">
        <v>402</v>
      </c>
      <c r="EN34" s="660" t="s">
        <v>390</v>
      </c>
      <c r="EO34" s="735" t="s">
        <v>402</v>
      </c>
      <c r="EP34" s="660" t="s">
        <v>390</v>
      </c>
      <c r="EQ34" s="735" t="s">
        <v>402</v>
      </c>
      <c r="ER34" s="660" t="s">
        <v>390</v>
      </c>
      <c r="ES34" s="735" t="s">
        <v>402</v>
      </c>
      <c r="ET34" s="660" t="s">
        <v>390</v>
      </c>
      <c r="EU34" s="735" t="s">
        <v>402</v>
      </c>
      <c r="EV34" s="660" t="s">
        <v>390</v>
      </c>
      <c r="EW34" s="735" t="s">
        <v>402</v>
      </c>
      <c r="EX34" s="660" t="s">
        <v>390</v>
      </c>
      <c r="EY34" s="735" t="s">
        <v>402</v>
      </c>
      <c r="EZ34" s="660" t="s">
        <v>390</v>
      </c>
      <c r="FA34" s="735" t="s">
        <v>402</v>
      </c>
      <c r="FB34" s="660" t="s">
        <v>390</v>
      </c>
      <c r="FC34" s="735" t="s">
        <v>402</v>
      </c>
      <c r="FD34" s="660" t="s">
        <v>390</v>
      </c>
      <c r="FE34" s="735" t="s">
        <v>402</v>
      </c>
      <c r="FF34" s="660" t="s">
        <v>390</v>
      </c>
      <c r="FG34" s="735" t="s">
        <v>402</v>
      </c>
      <c r="FH34" s="662" t="s">
        <v>390</v>
      </c>
      <c r="FI34" s="739"/>
      <c r="FJ34" s="816" t="s">
        <v>401</v>
      </c>
      <c r="FK34" s="731"/>
      <c r="FL34" s="813"/>
      <c r="FM34" s="814"/>
      <c r="FN34" s="813"/>
      <c r="FO34" s="815"/>
      <c r="FP34" s="740" t="s">
        <v>392</v>
      </c>
      <c r="FQ34" s="666" t="s">
        <v>402</v>
      </c>
      <c r="FR34" s="660" t="s">
        <v>393</v>
      </c>
      <c r="FS34" s="741" t="s">
        <v>392</v>
      </c>
      <c r="FT34" s="666" t="s">
        <v>402</v>
      </c>
      <c r="FU34" s="668" t="s">
        <v>393</v>
      </c>
      <c r="FV34" s="590"/>
      <c r="FW34" s="591"/>
      <c r="FX34" s="799"/>
      <c r="FY34" s="593"/>
      <c r="FZ34" s="800"/>
      <c r="GA34" s="595"/>
      <c r="GB34" s="801"/>
      <c r="GC34" s="597"/>
      <c r="GD34" s="801"/>
      <c r="GE34" s="598"/>
      <c r="GF34" s="742"/>
      <c r="GG34" s="743"/>
      <c r="GH34" s="743"/>
      <c r="GI34" s="743"/>
      <c r="GJ34" s="576"/>
      <c r="GK34" s="817" t="s">
        <v>546</v>
      </c>
      <c r="GL34" s="817"/>
      <c r="GM34" s="817"/>
      <c r="GN34" s="817"/>
      <c r="GO34" s="817"/>
      <c r="GP34" s="817"/>
      <c r="GQ34" s="612">
        <v>7</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403</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317</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317</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317</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404</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404</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404</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404</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547</v>
      </c>
      <c r="GL36" s="817"/>
      <c r="GM36" s="817"/>
      <c r="GN36" s="817"/>
      <c r="GO36" s="817"/>
      <c r="GP36" s="817"/>
      <c r="GQ36" s="612">
        <v>10</v>
      </c>
      <c r="GR36" s="576" t="s">
        <v>462</v>
      </c>
      <c r="GS36" s="527"/>
      <c r="GT36" s="756"/>
      <c r="GU36" s="818"/>
      <c r="GV36" s="819"/>
      <c r="GW36" s="820"/>
      <c r="GX36" s="630"/>
      <c r="GY36" s="630"/>
      <c r="GZ36" s="630"/>
      <c r="HA36" s="630"/>
      <c r="HB36" s="631"/>
      <c r="HC36" s="527"/>
      <c r="HD36" s="645"/>
      <c r="HE36" s="416"/>
      <c r="HF36" s="416"/>
    </row>
    <row r="37" spans="1:219" ht="24" customHeight="1">
      <c r="A37" s="842" t="s">
        <v>405</v>
      </c>
      <c r="B37" s="843"/>
      <c r="C37" s="844" t="s">
        <v>406</v>
      </c>
      <c r="D37" s="845"/>
      <c r="E37" s="846" t="s">
        <v>407</v>
      </c>
      <c r="F37" s="847"/>
      <c r="G37" s="659" t="s">
        <v>402</v>
      </c>
      <c r="H37" s="660" t="s">
        <v>408</v>
      </c>
      <c r="I37" s="661" t="s">
        <v>402</v>
      </c>
      <c r="J37" s="660" t="s">
        <v>409</v>
      </c>
      <c r="K37" s="661" t="s">
        <v>402</v>
      </c>
      <c r="L37" s="660" t="s">
        <v>409</v>
      </c>
      <c r="M37" s="661" t="s">
        <v>402</v>
      </c>
      <c r="N37" s="660" t="s">
        <v>409</v>
      </c>
      <c r="O37" s="661" t="s">
        <v>402</v>
      </c>
      <c r="P37" s="660" t="s">
        <v>409</v>
      </c>
      <c r="Q37" s="661" t="s">
        <v>402</v>
      </c>
      <c r="R37" s="660" t="s">
        <v>409</v>
      </c>
      <c r="S37" s="661" t="s">
        <v>402</v>
      </c>
      <c r="T37" s="660" t="s">
        <v>409</v>
      </c>
      <c r="U37" s="661" t="s">
        <v>402</v>
      </c>
      <c r="V37" s="660" t="s">
        <v>409</v>
      </c>
      <c r="W37" s="661" t="s">
        <v>402</v>
      </c>
      <c r="X37" s="660" t="s">
        <v>409</v>
      </c>
      <c r="Y37" s="661" t="s">
        <v>402</v>
      </c>
      <c r="Z37" s="660" t="s">
        <v>409</v>
      </c>
      <c r="AA37" s="661" t="s">
        <v>402</v>
      </c>
      <c r="AB37" s="660" t="s">
        <v>409</v>
      </c>
      <c r="AC37" s="661" t="s">
        <v>402</v>
      </c>
      <c r="AD37" s="660" t="s">
        <v>409</v>
      </c>
      <c r="AE37" s="661" t="s">
        <v>402</v>
      </c>
      <c r="AF37" s="660" t="s">
        <v>409</v>
      </c>
      <c r="AG37" s="661" t="s">
        <v>402</v>
      </c>
      <c r="AH37" s="660" t="s">
        <v>409</v>
      </c>
      <c r="AI37" s="661" t="s">
        <v>402</v>
      </c>
      <c r="AJ37" s="660" t="s">
        <v>409</v>
      </c>
      <c r="AK37" s="661" t="s">
        <v>402</v>
      </c>
      <c r="AL37" s="660" t="s">
        <v>409</v>
      </c>
      <c r="AM37" s="661" t="s">
        <v>402</v>
      </c>
      <c r="AN37" s="660" t="s">
        <v>409</v>
      </c>
      <c r="AO37" s="661" t="s">
        <v>402</v>
      </c>
      <c r="AP37" s="660" t="s">
        <v>409</v>
      </c>
      <c r="AQ37" s="661" t="s">
        <v>402</v>
      </c>
      <c r="AR37" s="660" t="s">
        <v>409</v>
      </c>
      <c r="AS37" s="661" t="s">
        <v>402</v>
      </c>
      <c r="AT37" s="660" t="s">
        <v>409</v>
      </c>
      <c r="AU37" s="661" t="s">
        <v>402</v>
      </c>
      <c r="AV37" s="660" t="s">
        <v>409</v>
      </c>
      <c r="AW37" s="661" t="s">
        <v>402</v>
      </c>
      <c r="AX37" s="660" t="s">
        <v>409</v>
      </c>
      <c r="AY37" s="661" t="s">
        <v>402</v>
      </c>
      <c r="AZ37" s="660" t="s">
        <v>409</v>
      </c>
      <c r="BA37" s="661" t="s">
        <v>402</v>
      </c>
      <c r="BB37" s="662" t="s">
        <v>409</v>
      </c>
      <c r="BC37" s="716"/>
      <c r="BD37" s="842" t="s">
        <v>405</v>
      </c>
      <c r="BE37" s="843"/>
      <c r="BF37" s="844" t="s">
        <v>406</v>
      </c>
      <c r="BG37" s="845"/>
      <c r="BH37" s="846" t="s">
        <v>407</v>
      </c>
      <c r="BI37" s="847"/>
      <c r="BJ37" s="659" t="s">
        <v>402</v>
      </c>
      <c r="BK37" s="660" t="s">
        <v>408</v>
      </c>
      <c r="BL37" s="661" t="s">
        <v>402</v>
      </c>
      <c r="BM37" s="660" t="s">
        <v>409</v>
      </c>
      <c r="BN37" s="661" t="s">
        <v>402</v>
      </c>
      <c r="BO37" s="660" t="s">
        <v>409</v>
      </c>
      <c r="BP37" s="661" t="s">
        <v>402</v>
      </c>
      <c r="BQ37" s="660" t="s">
        <v>409</v>
      </c>
      <c r="BR37" s="661" t="s">
        <v>402</v>
      </c>
      <c r="BS37" s="660" t="s">
        <v>409</v>
      </c>
      <c r="BT37" s="661" t="s">
        <v>402</v>
      </c>
      <c r="BU37" s="660" t="s">
        <v>409</v>
      </c>
      <c r="BV37" s="661" t="s">
        <v>402</v>
      </c>
      <c r="BW37" s="660" t="s">
        <v>409</v>
      </c>
      <c r="BX37" s="661" t="s">
        <v>402</v>
      </c>
      <c r="BY37" s="660" t="s">
        <v>409</v>
      </c>
      <c r="BZ37" s="661" t="s">
        <v>402</v>
      </c>
      <c r="CA37" s="660" t="s">
        <v>409</v>
      </c>
      <c r="CB37" s="661" t="s">
        <v>402</v>
      </c>
      <c r="CC37" s="660" t="s">
        <v>409</v>
      </c>
      <c r="CD37" s="661" t="s">
        <v>402</v>
      </c>
      <c r="CE37" s="660" t="s">
        <v>409</v>
      </c>
      <c r="CF37" s="661" t="s">
        <v>402</v>
      </c>
      <c r="CG37" s="660" t="s">
        <v>409</v>
      </c>
      <c r="CH37" s="661" t="s">
        <v>402</v>
      </c>
      <c r="CI37" s="660" t="s">
        <v>409</v>
      </c>
      <c r="CJ37" s="661" t="s">
        <v>402</v>
      </c>
      <c r="CK37" s="660" t="s">
        <v>409</v>
      </c>
      <c r="CL37" s="661" t="s">
        <v>402</v>
      </c>
      <c r="CM37" s="660" t="s">
        <v>409</v>
      </c>
      <c r="CN37" s="661" t="s">
        <v>402</v>
      </c>
      <c r="CO37" s="660" t="s">
        <v>409</v>
      </c>
      <c r="CP37" s="661" t="s">
        <v>402</v>
      </c>
      <c r="CQ37" s="660" t="s">
        <v>409</v>
      </c>
      <c r="CR37" s="661" t="s">
        <v>402</v>
      </c>
      <c r="CS37" s="660" t="s">
        <v>409</v>
      </c>
      <c r="CT37" s="661" t="s">
        <v>402</v>
      </c>
      <c r="CU37" s="660" t="s">
        <v>409</v>
      </c>
      <c r="CV37" s="661" t="s">
        <v>402</v>
      </c>
      <c r="CW37" s="660" t="s">
        <v>409</v>
      </c>
      <c r="CX37" s="661" t="s">
        <v>402</v>
      </c>
      <c r="CY37" s="660" t="s">
        <v>409</v>
      </c>
      <c r="CZ37" s="661" t="s">
        <v>402</v>
      </c>
      <c r="DA37" s="660" t="s">
        <v>409</v>
      </c>
      <c r="DB37" s="661" t="s">
        <v>402</v>
      </c>
      <c r="DC37" s="660" t="s">
        <v>409</v>
      </c>
      <c r="DD37" s="661" t="s">
        <v>402</v>
      </c>
      <c r="DE37" s="662" t="s">
        <v>409</v>
      </c>
      <c r="DF37" s="716"/>
      <c r="DG37" s="842" t="s">
        <v>405</v>
      </c>
      <c r="DH37" s="843"/>
      <c r="DI37" s="844" t="s">
        <v>406</v>
      </c>
      <c r="DJ37" s="845"/>
      <c r="DK37" s="846" t="s">
        <v>407</v>
      </c>
      <c r="DL37" s="847"/>
      <c r="DM37" s="659" t="s">
        <v>402</v>
      </c>
      <c r="DN37" s="660" t="s">
        <v>408</v>
      </c>
      <c r="DO37" s="661" t="s">
        <v>402</v>
      </c>
      <c r="DP37" s="660" t="s">
        <v>409</v>
      </c>
      <c r="DQ37" s="661" t="s">
        <v>402</v>
      </c>
      <c r="DR37" s="660" t="s">
        <v>409</v>
      </c>
      <c r="DS37" s="661" t="s">
        <v>402</v>
      </c>
      <c r="DT37" s="660" t="s">
        <v>409</v>
      </c>
      <c r="DU37" s="661" t="s">
        <v>402</v>
      </c>
      <c r="DV37" s="660" t="s">
        <v>409</v>
      </c>
      <c r="DW37" s="661" t="s">
        <v>402</v>
      </c>
      <c r="DX37" s="660" t="s">
        <v>409</v>
      </c>
      <c r="DY37" s="661" t="s">
        <v>402</v>
      </c>
      <c r="DZ37" s="660" t="s">
        <v>409</v>
      </c>
      <c r="EA37" s="661" t="s">
        <v>402</v>
      </c>
      <c r="EB37" s="660" t="s">
        <v>409</v>
      </c>
      <c r="EC37" s="661" t="s">
        <v>402</v>
      </c>
      <c r="ED37" s="660" t="s">
        <v>409</v>
      </c>
      <c r="EE37" s="661" t="s">
        <v>402</v>
      </c>
      <c r="EF37" s="660" t="s">
        <v>409</v>
      </c>
      <c r="EG37" s="661" t="s">
        <v>402</v>
      </c>
      <c r="EH37" s="660" t="s">
        <v>409</v>
      </c>
      <c r="EI37" s="661" t="s">
        <v>402</v>
      </c>
      <c r="EJ37" s="660" t="s">
        <v>409</v>
      </c>
      <c r="EK37" s="661" t="s">
        <v>402</v>
      </c>
      <c r="EL37" s="660" t="s">
        <v>409</v>
      </c>
      <c r="EM37" s="661" t="s">
        <v>402</v>
      </c>
      <c r="EN37" s="660" t="s">
        <v>409</v>
      </c>
      <c r="EO37" s="661" t="s">
        <v>402</v>
      </c>
      <c r="EP37" s="660" t="s">
        <v>409</v>
      </c>
      <c r="EQ37" s="661" t="s">
        <v>402</v>
      </c>
      <c r="ER37" s="660" t="s">
        <v>409</v>
      </c>
      <c r="ES37" s="661" t="s">
        <v>402</v>
      </c>
      <c r="ET37" s="660" t="s">
        <v>409</v>
      </c>
      <c r="EU37" s="661" t="s">
        <v>402</v>
      </c>
      <c r="EV37" s="660" t="s">
        <v>409</v>
      </c>
      <c r="EW37" s="661" t="s">
        <v>402</v>
      </c>
      <c r="EX37" s="660" t="s">
        <v>409</v>
      </c>
      <c r="EY37" s="661" t="s">
        <v>402</v>
      </c>
      <c r="EZ37" s="660" t="s">
        <v>409</v>
      </c>
      <c r="FA37" s="661" t="s">
        <v>402</v>
      </c>
      <c r="FB37" s="660" t="s">
        <v>409</v>
      </c>
      <c r="FC37" s="661" t="s">
        <v>402</v>
      </c>
      <c r="FD37" s="660" t="s">
        <v>409</v>
      </c>
      <c r="FE37" s="661" t="s">
        <v>402</v>
      </c>
      <c r="FF37" s="660" t="s">
        <v>409</v>
      </c>
      <c r="FG37" s="661" t="s">
        <v>402</v>
      </c>
      <c r="FH37" s="662" t="s">
        <v>409</v>
      </c>
      <c r="FI37" s="739"/>
      <c r="FJ37" s="816" t="s">
        <v>405</v>
      </c>
      <c r="FK37" s="843"/>
      <c r="FL37" s="844" t="s">
        <v>406</v>
      </c>
      <c r="FM37" s="845"/>
      <c r="FN37" s="846" t="s">
        <v>407</v>
      </c>
      <c r="FO37" s="847"/>
      <c r="FP37" s="665"/>
      <c r="FQ37" s="848" t="s">
        <v>410</v>
      </c>
      <c r="FR37" s="660" t="s">
        <v>409</v>
      </c>
      <c r="FS37" s="667"/>
      <c r="FT37" s="848" t="s">
        <v>410</v>
      </c>
      <c r="FU37" s="668" t="s">
        <v>409</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411</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46.849999999999994</v>
      </c>
      <c r="HB38" s="864">
        <v>13.2</v>
      </c>
      <c r="HC38" s="527"/>
      <c r="HD38" s="527"/>
      <c r="HE38" s="388"/>
      <c r="HF38" s="388"/>
      <c r="HK38" s="416"/>
    </row>
    <row r="39" spans="1:219" ht="20.100000000000001" customHeight="1">
      <c r="A39" s="821"/>
      <c r="B39" s="865" t="s">
        <v>412</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3.55</v>
      </c>
      <c r="HB39" s="576"/>
      <c r="HC39" s="527"/>
      <c r="HD39" s="559"/>
    </row>
    <row r="40" spans="1:219" ht="20.100000000000001" customHeight="1">
      <c r="A40" s="878"/>
      <c r="B40" s="639"/>
      <c r="C40" s="639"/>
      <c r="D40" s="640" t="s">
        <v>413</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413</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413</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413</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550</v>
      </c>
      <c r="GV40" s="527"/>
      <c r="GW40" s="527"/>
      <c r="GX40" s="527"/>
      <c r="GY40" s="527"/>
      <c r="GZ40" s="527"/>
      <c r="HA40" s="883">
        <v>60.1</v>
      </c>
      <c r="HB40" s="414"/>
      <c r="HC40" s="527"/>
      <c r="HD40" s="577"/>
      <c r="HK40" s="416"/>
    </row>
    <row r="41" spans="1:219" ht="20.100000000000001" customHeight="1">
      <c r="A41" s="851" t="s">
        <v>414</v>
      </c>
      <c r="B41" s="731"/>
      <c r="C41" s="884"/>
      <c r="D41" s="884"/>
      <c r="E41" s="884"/>
      <c r="F41" s="885"/>
      <c r="G41" s="733"/>
      <c r="H41" s="660" t="s">
        <v>390</v>
      </c>
      <c r="I41" s="734"/>
      <c r="J41" s="660" t="s">
        <v>390</v>
      </c>
      <c r="K41" s="735"/>
      <c r="L41" s="660" t="s">
        <v>390</v>
      </c>
      <c r="M41" s="735"/>
      <c r="N41" s="660" t="s">
        <v>390</v>
      </c>
      <c r="O41" s="735"/>
      <c r="P41" s="660" t="s">
        <v>390</v>
      </c>
      <c r="Q41" s="735"/>
      <c r="R41" s="660" t="s">
        <v>390</v>
      </c>
      <c r="S41" s="735"/>
      <c r="T41" s="660" t="s">
        <v>390</v>
      </c>
      <c r="U41" s="735"/>
      <c r="V41" s="660" t="s">
        <v>390</v>
      </c>
      <c r="W41" s="735"/>
      <c r="X41" s="660" t="s">
        <v>390</v>
      </c>
      <c r="Y41" s="735" t="s">
        <v>402</v>
      </c>
      <c r="Z41" s="660" t="s">
        <v>390</v>
      </c>
      <c r="AA41" s="735" t="s">
        <v>402</v>
      </c>
      <c r="AB41" s="660" t="s">
        <v>390</v>
      </c>
      <c r="AC41" s="735"/>
      <c r="AD41" s="660" t="s">
        <v>390</v>
      </c>
      <c r="AE41" s="735"/>
      <c r="AF41" s="660" t="s">
        <v>390</v>
      </c>
      <c r="AG41" s="735"/>
      <c r="AH41" s="660" t="s">
        <v>390</v>
      </c>
      <c r="AI41" s="735"/>
      <c r="AJ41" s="660" t="s">
        <v>390</v>
      </c>
      <c r="AK41" s="735"/>
      <c r="AL41" s="660" t="s">
        <v>390</v>
      </c>
      <c r="AM41" s="735"/>
      <c r="AN41" s="660" t="s">
        <v>390</v>
      </c>
      <c r="AO41" s="735"/>
      <c r="AP41" s="660" t="s">
        <v>390</v>
      </c>
      <c r="AQ41" s="735"/>
      <c r="AR41" s="660" t="s">
        <v>390</v>
      </c>
      <c r="AS41" s="735"/>
      <c r="AT41" s="660" t="s">
        <v>390</v>
      </c>
      <c r="AU41" s="735"/>
      <c r="AV41" s="660" t="s">
        <v>390</v>
      </c>
      <c r="AW41" s="735"/>
      <c r="AX41" s="660" t="s">
        <v>390</v>
      </c>
      <c r="AY41" s="735"/>
      <c r="AZ41" s="660" t="s">
        <v>390</v>
      </c>
      <c r="BA41" s="735"/>
      <c r="BB41" s="662" t="s">
        <v>390</v>
      </c>
      <c r="BC41" s="716"/>
      <c r="BD41" s="851" t="s">
        <v>414</v>
      </c>
      <c r="BE41" s="731"/>
      <c r="BF41" s="884"/>
      <c r="BG41" s="884"/>
      <c r="BH41" s="884"/>
      <c r="BI41" s="885"/>
      <c r="BJ41" s="733"/>
      <c r="BK41" s="660" t="s">
        <v>390</v>
      </c>
      <c r="BL41" s="734"/>
      <c r="BM41" s="660" t="s">
        <v>390</v>
      </c>
      <c r="BN41" s="735"/>
      <c r="BO41" s="660" t="s">
        <v>390</v>
      </c>
      <c r="BP41" s="735"/>
      <c r="BQ41" s="660" t="s">
        <v>390</v>
      </c>
      <c r="BR41" s="735"/>
      <c r="BS41" s="660" t="s">
        <v>390</v>
      </c>
      <c r="BT41" s="735"/>
      <c r="BU41" s="660" t="s">
        <v>390</v>
      </c>
      <c r="BV41" s="735"/>
      <c r="BW41" s="660" t="s">
        <v>390</v>
      </c>
      <c r="BX41" s="735"/>
      <c r="BY41" s="660" t="s">
        <v>390</v>
      </c>
      <c r="BZ41" s="735"/>
      <c r="CA41" s="660" t="s">
        <v>390</v>
      </c>
      <c r="CB41" s="735" t="s">
        <v>402</v>
      </c>
      <c r="CC41" s="660" t="s">
        <v>390</v>
      </c>
      <c r="CD41" s="735" t="s">
        <v>402</v>
      </c>
      <c r="CE41" s="660" t="s">
        <v>390</v>
      </c>
      <c r="CF41" s="735"/>
      <c r="CG41" s="660" t="s">
        <v>390</v>
      </c>
      <c r="CH41" s="735"/>
      <c r="CI41" s="660" t="s">
        <v>390</v>
      </c>
      <c r="CJ41" s="735"/>
      <c r="CK41" s="660" t="s">
        <v>390</v>
      </c>
      <c r="CL41" s="735"/>
      <c r="CM41" s="660" t="s">
        <v>390</v>
      </c>
      <c r="CN41" s="735"/>
      <c r="CO41" s="660" t="s">
        <v>390</v>
      </c>
      <c r="CP41" s="735"/>
      <c r="CQ41" s="660" t="s">
        <v>390</v>
      </c>
      <c r="CR41" s="735"/>
      <c r="CS41" s="660" t="s">
        <v>390</v>
      </c>
      <c r="CT41" s="735"/>
      <c r="CU41" s="660" t="s">
        <v>390</v>
      </c>
      <c r="CV41" s="735"/>
      <c r="CW41" s="660" t="s">
        <v>390</v>
      </c>
      <c r="CX41" s="735"/>
      <c r="CY41" s="660" t="s">
        <v>390</v>
      </c>
      <c r="CZ41" s="735"/>
      <c r="DA41" s="660" t="s">
        <v>390</v>
      </c>
      <c r="DB41" s="735"/>
      <c r="DC41" s="660" t="s">
        <v>390</v>
      </c>
      <c r="DD41" s="735"/>
      <c r="DE41" s="662" t="s">
        <v>390</v>
      </c>
      <c r="DF41" s="716"/>
      <c r="DG41" s="851" t="s">
        <v>414</v>
      </c>
      <c r="DH41" s="731"/>
      <c r="DI41" s="884"/>
      <c r="DJ41" s="884"/>
      <c r="DK41" s="884"/>
      <c r="DL41" s="885"/>
      <c r="DM41" s="733"/>
      <c r="DN41" s="660" t="s">
        <v>390</v>
      </c>
      <c r="DO41" s="734"/>
      <c r="DP41" s="660" t="s">
        <v>390</v>
      </c>
      <c r="DQ41" s="735"/>
      <c r="DR41" s="660" t="s">
        <v>390</v>
      </c>
      <c r="DS41" s="735"/>
      <c r="DT41" s="660" t="s">
        <v>390</v>
      </c>
      <c r="DU41" s="735"/>
      <c r="DV41" s="660" t="s">
        <v>390</v>
      </c>
      <c r="DW41" s="735"/>
      <c r="DX41" s="660" t="s">
        <v>390</v>
      </c>
      <c r="DY41" s="735"/>
      <c r="DZ41" s="660" t="s">
        <v>390</v>
      </c>
      <c r="EA41" s="735"/>
      <c r="EB41" s="660" t="s">
        <v>390</v>
      </c>
      <c r="EC41" s="735"/>
      <c r="ED41" s="660" t="s">
        <v>390</v>
      </c>
      <c r="EE41" s="735" t="s">
        <v>402</v>
      </c>
      <c r="EF41" s="660" t="s">
        <v>390</v>
      </c>
      <c r="EG41" s="735" t="s">
        <v>402</v>
      </c>
      <c r="EH41" s="660" t="s">
        <v>390</v>
      </c>
      <c r="EI41" s="735"/>
      <c r="EJ41" s="660" t="s">
        <v>390</v>
      </c>
      <c r="EK41" s="735"/>
      <c r="EL41" s="660" t="s">
        <v>390</v>
      </c>
      <c r="EM41" s="735"/>
      <c r="EN41" s="660" t="s">
        <v>390</v>
      </c>
      <c r="EO41" s="735"/>
      <c r="EP41" s="660" t="s">
        <v>390</v>
      </c>
      <c r="EQ41" s="735"/>
      <c r="ER41" s="660" t="s">
        <v>390</v>
      </c>
      <c r="ES41" s="735"/>
      <c r="ET41" s="660" t="s">
        <v>390</v>
      </c>
      <c r="EU41" s="735"/>
      <c r="EV41" s="660" t="s">
        <v>390</v>
      </c>
      <c r="EW41" s="735"/>
      <c r="EX41" s="660" t="s">
        <v>390</v>
      </c>
      <c r="EY41" s="735"/>
      <c r="EZ41" s="660" t="s">
        <v>390</v>
      </c>
      <c r="FA41" s="735"/>
      <c r="FB41" s="660" t="s">
        <v>390</v>
      </c>
      <c r="FC41" s="735"/>
      <c r="FD41" s="660" t="s">
        <v>390</v>
      </c>
      <c r="FE41" s="735"/>
      <c r="FF41" s="660" t="s">
        <v>390</v>
      </c>
      <c r="FG41" s="735"/>
      <c r="FH41" s="662" t="s">
        <v>390</v>
      </c>
      <c r="FI41" s="739"/>
      <c r="FJ41" s="816" t="s">
        <v>414</v>
      </c>
      <c r="FK41" s="736"/>
      <c r="FL41" s="886"/>
      <c r="FM41" s="886"/>
      <c r="FN41" s="886"/>
      <c r="FO41" s="887"/>
      <c r="FP41" s="740"/>
      <c r="FQ41" s="666"/>
      <c r="FR41" s="660" t="s">
        <v>393</v>
      </c>
      <c r="FS41" s="741"/>
      <c r="FT41" s="666"/>
      <c r="FU41" s="668" t="s">
        <v>393</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551</v>
      </c>
      <c r="GV41" s="527"/>
      <c r="GW41" s="527"/>
      <c r="GX41" s="527"/>
      <c r="GY41" s="527"/>
      <c r="GZ41" s="527"/>
      <c r="HA41" s="883">
        <v>39.4</v>
      </c>
      <c r="HB41" s="414"/>
      <c r="HC41" s="527"/>
      <c r="HD41" s="410"/>
    </row>
    <row r="42" spans="1:219" ht="20.100000000000001" customHeight="1">
      <c r="A42" s="821"/>
      <c r="B42" s="892" t="s">
        <v>416</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416</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416</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416</v>
      </c>
      <c r="FL42" s="893"/>
      <c r="FM42" s="893"/>
      <c r="FN42" s="894"/>
      <c r="FO42" s="895"/>
      <c r="FP42" s="831"/>
      <c r="FQ42" s="827"/>
      <c r="FR42" s="826">
        <v>1049</v>
      </c>
      <c r="FS42" s="832"/>
      <c r="FT42" s="827"/>
      <c r="FU42" s="798">
        <v>1049</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417</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417</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417</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417</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418</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418</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418</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418</v>
      </c>
      <c r="FN44" s="639"/>
      <c r="FO44" s="639"/>
      <c r="FP44" s="647"/>
      <c r="FQ44" s="836"/>
      <c r="FR44" s="835">
        <v>1049</v>
      </c>
      <c r="FS44" s="840"/>
      <c r="FT44" s="836"/>
      <c r="FU44" s="841">
        <v>1049</v>
      </c>
      <c r="FV44" s="590" t="s">
        <v>319</v>
      </c>
      <c r="FW44" s="591"/>
      <c r="FX44" s="799" t="s">
        <v>320</v>
      </c>
      <c r="FY44" s="593"/>
      <c r="FZ44" s="800" t="s">
        <v>321</v>
      </c>
      <c r="GA44" s="595"/>
      <c r="GB44" s="801" t="s">
        <v>322</v>
      </c>
      <c r="GC44" s="597"/>
      <c r="GD44" s="801" t="s">
        <v>323</v>
      </c>
      <c r="GE44" s="598"/>
      <c r="GF44" s="651"/>
      <c r="GG44" s="652"/>
      <c r="GH44" s="652"/>
      <c r="GI44" s="652"/>
      <c r="GJ44" s="527"/>
      <c r="GK44" s="897"/>
      <c r="GL44" s="898"/>
      <c r="GM44" s="924">
        <v>4.5999999999999996</v>
      </c>
      <c r="GN44" s="924"/>
      <c r="GO44" s="924">
        <v>7</v>
      </c>
      <c r="GP44" s="924"/>
      <c r="GQ44" s="899">
        <v>11.6</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419</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1017</v>
      </c>
      <c r="Y45" s="933"/>
      <c r="Z45" s="932">
        <v>1011</v>
      </c>
      <c r="AA45" s="933"/>
      <c r="AB45" s="932">
        <v>1049</v>
      </c>
      <c r="AC45" s="933"/>
      <c r="AD45" s="932">
        <v>1064</v>
      </c>
      <c r="AE45" s="933"/>
      <c r="AF45" s="932">
        <v>1064</v>
      </c>
      <c r="AG45" s="933"/>
      <c r="AH45" s="932">
        <v>1054</v>
      </c>
      <c r="AI45" s="933"/>
      <c r="AJ45" s="932">
        <v>1028</v>
      </c>
      <c r="AK45" s="933"/>
      <c r="AL45" s="932">
        <v>1011</v>
      </c>
      <c r="AM45" s="933"/>
      <c r="AN45" s="932">
        <v>971</v>
      </c>
      <c r="AO45" s="933"/>
      <c r="AP45" s="932">
        <v>937</v>
      </c>
      <c r="AQ45" s="933"/>
      <c r="AR45" s="932">
        <v>0</v>
      </c>
      <c r="AS45" s="933"/>
      <c r="AT45" s="932">
        <v>0</v>
      </c>
      <c r="AU45" s="933"/>
      <c r="AV45" s="932">
        <v>0</v>
      </c>
      <c r="AW45" s="933"/>
      <c r="AX45" s="932">
        <v>0</v>
      </c>
      <c r="AY45" s="933"/>
      <c r="AZ45" s="932">
        <v>0</v>
      </c>
      <c r="BA45" s="933"/>
      <c r="BB45" s="934">
        <v>0</v>
      </c>
      <c r="BC45" s="645"/>
      <c r="BD45" s="928" t="s">
        <v>419</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1076</v>
      </c>
      <c r="CB45" s="933"/>
      <c r="CC45" s="932">
        <v>1065</v>
      </c>
      <c r="CD45" s="933"/>
      <c r="CE45" s="932">
        <v>1102</v>
      </c>
      <c r="CF45" s="933"/>
      <c r="CG45" s="932">
        <v>1098</v>
      </c>
      <c r="CH45" s="933"/>
      <c r="CI45" s="932">
        <v>1076</v>
      </c>
      <c r="CJ45" s="933"/>
      <c r="CK45" s="932">
        <v>1044</v>
      </c>
      <c r="CL45" s="933"/>
      <c r="CM45" s="932">
        <v>1019</v>
      </c>
      <c r="CN45" s="933"/>
      <c r="CO45" s="932">
        <v>996</v>
      </c>
      <c r="CP45" s="933"/>
      <c r="CQ45" s="932">
        <v>966</v>
      </c>
      <c r="CR45" s="933"/>
      <c r="CS45" s="932">
        <v>925</v>
      </c>
      <c r="CT45" s="933"/>
      <c r="CU45" s="932">
        <v>0</v>
      </c>
      <c r="CV45" s="933"/>
      <c r="CW45" s="932">
        <v>0</v>
      </c>
      <c r="CX45" s="933"/>
      <c r="CY45" s="932">
        <v>0</v>
      </c>
      <c r="CZ45" s="933"/>
      <c r="DA45" s="932">
        <v>0</v>
      </c>
      <c r="DB45" s="933"/>
      <c r="DC45" s="932">
        <v>0</v>
      </c>
      <c r="DD45" s="933"/>
      <c r="DE45" s="934">
        <v>0</v>
      </c>
      <c r="DF45" s="645"/>
      <c r="DG45" s="928" t="s">
        <v>419</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977</v>
      </c>
      <c r="EE45" s="933"/>
      <c r="EF45" s="932">
        <v>976</v>
      </c>
      <c r="EG45" s="933"/>
      <c r="EH45" s="932">
        <v>1017</v>
      </c>
      <c r="EI45" s="933"/>
      <c r="EJ45" s="932">
        <v>1023</v>
      </c>
      <c r="EK45" s="933"/>
      <c r="EL45" s="932">
        <v>996</v>
      </c>
      <c r="EM45" s="933"/>
      <c r="EN45" s="932">
        <v>960</v>
      </c>
      <c r="EO45" s="933"/>
      <c r="EP45" s="932">
        <v>933</v>
      </c>
      <c r="EQ45" s="933"/>
      <c r="ER45" s="932">
        <v>913</v>
      </c>
      <c r="ES45" s="933"/>
      <c r="ET45" s="932">
        <v>872</v>
      </c>
      <c r="EU45" s="933"/>
      <c r="EV45" s="932">
        <v>828</v>
      </c>
      <c r="EW45" s="933"/>
      <c r="EX45" s="932">
        <v>0</v>
      </c>
      <c r="EY45" s="933"/>
      <c r="EZ45" s="932">
        <v>0</v>
      </c>
      <c r="FA45" s="933"/>
      <c r="FB45" s="932">
        <v>0</v>
      </c>
      <c r="FC45" s="933"/>
      <c r="FD45" s="932">
        <v>0</v>
      </c>
      <c r="FE45" s="933"/>
      <c r="FF45" s="932">
        <v>0</v>
      </c>
      <c r="FG45" s="933"/>
      <c r="FH45" s="934">
        <v>0</v>
      </c>
      <c r="FI45" s="645"/>
      <c r="FJ45" s="928" t="s">
        <v>419</v>
      </c>
      <c r="FK45" s="929"/>
      <c r="FL45" s="929"/>
      <c r="FM45" s="929"/>
      <c r="FN45" s="929"/>
      <c r="FO45" s="930"/>
      <c r="FP45" s="935"/>
      <c r="FQ45" s="936"/>
      <c r="FR45" s="932">
        <v>1986</v>
      </c>
      <c r="FS45" s="937"/>
      <c r="FT45" s="936"/>
      <c r="FU45" s="938">
        <v>2006</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420</v>
      </c>
      <c r="B46" s="944"/>
      <c r="C46" s="944"/>
      <c r="D46" s="944"/>
      <c r="E46" s="944"/>
      <c r="F46" s="945"/>
      <c r="G46" s="946" t="s">
        <v>421</v>
      </c>
      <c r="H46" s="947"/>
      <c r="I46" s="948" t="s">
        <v>421</v>
      </c>
      <c r="J46" s="947"/>
      <c r="K46" s="948" t="s">
        <v>421</v>
      </c>
      <c r="L46" s="947"/>
      <c r="M46" s="948" t="s">
        <v>421</v>
      </c>
      <c r="N46" s="947"/>
      <c r="O46" s="948" t="s">
        <v>421</v>
      </c>
      <c r="P46" s="947"/>
      <c r="Q46" s="948" t="s">
        <v>421</v>
      </c>
      <c r="R46" s="947"/>
      <c r="S46" s="948" t="s">
        <v>421</v>
      </c>
      <c r="T46" s="947"/>
      <c r="U46" s="948" t="s">
        <v>421</v>
      </c>
      <c r="V46" s="947"/>
      <c r="W46" s="948" t="s">
        <v>421</v>
      </c>
      <c r="X46" s="947"/>
      <c r="Y46" s="948" t="s">
        <v>421</v>
      </c>
      <c r="Z46" s="947"/>
      <c r="AA46" s="948" t="s">
        <v>421</v>
      </c>
      <c r="AB46" s="947"/>
      <c r="AC46" s="948" t="s">
        <v>421</v>
      </c>
      <c r="AD46" s="947"/>
      <c r="AE46" s="948" t="s">
        <v>421</v>
      </c>
      <c r="AF46" s="947"/>
      <c r="AG46" s="948" t="s">
        <v>421</v>
      </c>
      <c r="AH46" s="947"/>
      <c r="AI46" s="948" t="s">
        <v>421</v>
      </c>
      <c r="AJ46" s="947"/>
      <c r="AK46" s="948" t="s">
        <v>421</v>
      </c>
      <c r="AL46" s="947"/>
      <c r="AM46" s="948" t="s">
        <v>421</v>
      </c>
      <c r="AN46" s="947"/>
      <c r="AO46" s="948" t="s">
        <v>421</v>
      </c>
      <c r="AP46" s="947"/>
      <c r="AQ46" s="948" t="s">
        <v>421</v>
      </c>
      <c r="AR46" s="947"/>
      <c r="AS46" s="948" t="s">
        <v>421</v>
      </c>
      <c r="AT46" s="947"/>
      <c r="AU46" s="948" t="s">
        <v>421</v>
      </c>
      <c r="AV46" s="947"/>
      <c r="AW46" s="948" t="s">
        <v>421</v>
      </c>
      <c r="AX46" s="947"/>
      <c r="AY46" s="948" t="s">
        <v>421</v>
      </c>
      <c r="AZ46" s="949"/>
      <c r="BA46" s="950" t="s">
        <v>421</v>
      </c>
      <c r="BB46" s="951"/>
      <c r="BC46" s="952"/>
      <c r="BD46" s="943" t="s">
        <v>420</v>
      </c>
      <c r="BE46" s="944"/>
      <c r="BF46" s="944"/>
      <c r="BG46" s="944"/>
      <c r="BH46" s="944"/>
      <c r="BI46" s="945"/>
      <c r="BJ46" s="946" t="s">
        <v>421</v>
      </c>
      <c r="BK46" s="947"/>
      <c r="BL46" s="948" t="s">
        <v>421</v>
      </c>
      <c r="BM46" s="947"/>
      <c r="BN46" s="948" t="s">
        <v>421</v>
      </c>
      <c r="BO46" s="947"/>
      <c r="BP46" s="948" t="s">
        <v>421</v>
      </c>
      <c r="BQ46" s="947"/>
      <c r="BR46" s="948" t="s">
        <v>421</v>
      </c>
      <c r="BS46" s="947"/>
      <c r="BT46" s="948" t="s">
        <v>421</v>
      </c>
      <c r="BU46" s="947"/>
      <c r="BV46" s="948" t="s">
        <v>421</v>
      </c>
      <c r="BW46" s="947"/>
      <c r="BX46" s="948" t="s">
        <v>421</v>
      </c>
      <c r="BY46" s="947"/>
      <c r="BZ46" s="948" t="s">
        <v>421</v>
      </c>
      <c r="CA46" s="947"/>
      <c r="CB46" s="948" t="s">
        <v>421</v>
      </c>
      <c r="CC46" s="947"/>
      <c r="CD46" s="948" t="s">
        <v>421</v>
      </c>
      <c r="CE46" s="947"/>
      <c r="CF46" s="948" t="s">
        <v>421</v>
      </c>
      <c r="CG46" s="947"/>
      <c r="CH46" s="948" t="s">
        <v>421</v>
      </c>
      <c r="CI46" s="947"/>
      <c r="CJ46" s="948" t="s">
        <v>421</v>
      </c>
      <c r="CK46" s="947"/>
      <c r="CL46" s="948" t="s">
        <v>421</v>
      </c>
      <c r="CM46" s="947"/>
      <c r="CN46" s="948" t="s">
        <v>421</v>
      </c>
      <c r="CO46" s="947"/>
      <c r="CP46" s="948" t="s">
        <v>421</v>
      </c>
      <c r="CQ46" s="947"/>
      <c r="CR46" s="948" t="s">
        <v>421</v>
      </c>
      <c r="CS46" s="947"/>
      <c r="CT46" s="948" t="s">
        <v>421</v>
      </c>
      <c r="CU46" s="947"/>
      <c r="CV46" s="948" t="s">
        <v>421</v>
      </c>
      <c r="CW46" s="947"/>
      <c r="CX46" s="948" t="s">
        <v>421</v>
      </c>
      <c r="CY46" s="947"/>
      <c r="CZ46" s="948" t="s">
        <v>421</v>
      </c>
      <c r="DA46" s="947"/>
      <c r="DB46" s="948" t="s">
        <v>421</v>
      </c>
      <c r="DC46" s="949"/>
      <c r="DD46" s="950" t="s">
        <v>421</v>
      </c>
      <c r="DE46" s="951"/>
      <c r="DF46" s="952"/>
      <c r="DG46" s="943" t="s">
        <v>420</v>
      </c>
      <c r="DH46" s="944"/>
      <c r="DI46" s="944"/>
      <c r="DJ46" s="944"/>
      <c r="DK46" s="944"/>
      <c r="DL46" s="945"/>
      <c r="DM46" s="946" t="s">
        <v>421</v>
      </c>
      <c r="DN46" s="947"/>
      <c r="DO46" s="948" t="s">
        <v>421</v>
      </c>
      <c r="DP46" s="947"/>
      <c r="DQ46" s="948" t="s">
        <v>421</v>
      </c>
      <c r="DR46" s="947"/>
      <c r="DS46" s="948" t="s">
        <v>421</v>
      </c>
      <c r="DT46" s="947"/>
      <c r="DU46" s="948" t="s">
        <v>421</v>
      </c>
      <c r="DV46" s="947"/>
      <c r="DW46" s="948" t="s">
        <v>421</v>
      </c>
      <c r="DX46" s="947"/>
      <c r="DY46" s="948" t="s">
        <v>421</v>
      </c>
      <c r="DZ46" s="947"/>
      <c r="EA46" s="948" t="s">
        <v>421</v>
      </c>
      <c r="EB46" s="947"/>
      <c r="EC46" s="948" t="s">
        <v>421</v>
      </c>
      <c r="ED46" s="947"/>
      <c r="EE46" s="948" t="s">
        <v>421</v>
      </c>
      <c r="EF46" s="947"/>
      <c r="EG46" s="948" t="s">
        <v>421</v>
      </c>
      <c r="EH46" s="947"/>
      <c r="EI46" s="948" t="s">
        <v>421</v>
      </c>
      <c r="EJ46" s="947"/>
      <c r="EK46" s="948" t="s">
        <v>421</v>
      </c>
      <c r="EL46" s="947"/>
      <c r="EM46" s="948" t="s">
        <v>421</v>
      </c>
      <c r="EN46" s="947"/>
      <c r="EO46" s="948" t="s">
        <v>421</v>
      </c>
      <c r="EP46" s="947"/>
      <c r="EQ46" s="948" t="s">
        <v>421</v>
      </c>
      <c r="ER46" s="947"/>
      <c r="ES46" s="948" t="s">
        <v>421</v>
      </c>
      <c r="ET46" s="947"/>
      <c r="EU46" s="948" t="s">
        <v>421</v>
      </c>
      <c r="EV46" s="947"/>
      <c r="EW46" s="948" t="s">
        <v>421</v>
      </c>
      <c r="EX46" s="947"/>
      <c r="EY46" s="948" t="s">
        <v>421</v>
      </c>
      <c r="EZ46" s="947"/>
      <c r="FA46" s="948" t="s">
        <v>421</v>
      </c>
      <c r="FB46" s="947"/>
      <c r="FC46" s="948" t="s">
        <v>421</v>
      </c>
      <c r="FD46" s="947"/>
      <c r="FE46" s="948" t="s">
        <v>421</v>
      </c>
      <c r="FF46" s="949"/>
      <c r="FG46" s="950" t="s">
        <v>421</v>
      </c>
      <c r="FH46" s="951"/>
      <c r="FI46" s="952"/>
      <c r="FJ46" s="943" t="s">
        <v>570</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1068</v>
      </c>
      <c r="Y47" s="965"/>
      <c r="Z47" s="964">
        <v>1062</v>
      </c>
      <c r="AA47" s="965"/>
      <c r="AB47" s="964">
        <v>1101</v>
      </c>
      <c r="AC47" s="965"/>
      <c r="AD47" s="964">
        <v>1117</v>
      </c>
      <c r="AE47" s="965"/>
      <c r="AF47" s="964">
        <v>1117</v>
      </c>
      <c r="AG47" s="965"/>
      <c r="AH47" s="964">
        <v>1107</v>
      </c>
      <c r="AI47" s="965"/>
      <c r="AJ47" s="964">
        <v>1079</v>
      </c>
      <c r="AK47" s="965"/>
      <c r="AL47" s="964">
        <v>1062</v>
      </c>
      <c r="AM47" s="965"/>
      <c r="AN47" s="964">
        <v>1020</v>
      </c>
      <c r="AO47" s="965"/>
      <c r="AP47" s="964">
        <v>984</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1130</v>
      </c>
      <c r="CB47" s="965"/>
      <c r="CC47" s="964">
        <v>1118</v>
      </c>
      <c r="CD47" s="965"/>
      <c r="CE47" s="964">
        <v>1157</v>
      </c>
      <c r="CF47" s="965"/>
      <c r="CG47" s="964">
        <v>1153</v>
      </c>
      <c r="CH47" s="965"/>
      <c r="CI47" s="964">
        <v>1130</v>
      </c>
      <c r="CJ47" s="965"/>
      <c r="CK47" s="964">
        <v>1096</v>
      </c>
      <c r="CL47" s="965"/>
      <c r="CM47" s="964">
        <v>1070</v>
      </c>
      <c r="CN47" s="965"/>
      <c r="CO47" s="964">
        <v>1046</v>
      </c>
      <c r="CP47" s="965"/>
      <c r="CQ47" s="964">
        <v>1014</v>
      </c>
      <c r="CR47" s="965"/>
      <c r="CS47" s="964">
        <v>971</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1026</v>
      </c>
      <c r="EE47" s="965"/>
      <c r="EF47" s="964">
        <v>1025</v>
      </c>
      <c r="EG47" s="965"/>
      <c r="EH47" s="964">
        <v>1068</v>
      </c>
      <c r="EI47" s="965"/>
      <c r="EJ47" s="964">
        <v>1074</v>
      </c>
      <c r="EK47" s="965"/>
      <c r="EL47" s="964">
        <v>1046</v>
      </c>
      <c r="EM47" s="965"/>
      <c r="EN47" s="964">
        <v>1008</v>
      </c>
      <c r="EO47" s="965"/>
      <c r="EP47" s="964">
        <v>980</v>
      </c>
      <c r="EQ47" s="965"/>
      <c r="ER47" s="964">
        <v>959</v>
      </c>
      <c r="ES47" s="965"/>
      <c r="ET47" s="964">
        <v>916</v>
      </c>
      <c r="EU47" s="965"/>
      <c r="EV47" s="964">
        <v>869</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1986</v>
      </c>
      <c r="FS47" s="973"/>
      <c r="FT47" s="972"/>
      <c r="FU47" s="974">
        <v>2006</v>
      </c>
      <c r="FV47" s="975">
        <v>13</v>
      </c>
      <c r="FW47" s="964">
        <v>1117</v>
      </c>
      <c r="FX47" s="976">
        <v>11</v>
      </c>
      <c r="FY47" s="964">
        <v>1157</v>
      </c>
      <c r="FZ47" s="976">
        <v>12</v>
      </c>
      <c r="GA47" s="964">
        <v>1074</v>
      </c>
      <c r="GB47" s="977" t="s">
        <v>565</v>
      </c>
      <c r="GC47" s="964">
        <v>1157</v>
      </c>
      <c r="GD47" s="977" t="s">
        <v>352</v>
      </c>
      <c r="GE47" s="978">
        <v>2006</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390</v>
      </c>
      <c r="I48" s="735" t="s">
        <v>427</v>
      </c>
      <c r="J48" s="982" t="s">
        <v>390</v>
      </c>
      <c r="K48" s="735" t="s">
        <v>427</v>
      </c>
      <c r="L48" s="982" t="s">
        <v>390</v>
      </c>
      <c r="M48" s="735" t="s">
        <v>427</v>
      </c>
      <c r="N48" s="982" t="s">
        <v>390</v>
      </c>
      <c r="O48" s="735" t="s">
        <v>427</v>
      </c>
      <c r="P48" s="982" t="s">
        <v>390</v>
      </c>
      <c r="Q48" s="735" t="s">
        <v>427</v>
      </c>
      <c r="R48" s="982" t="s">
        <v>390</v>
      </c>
      <c r="S48" s="735" t="s">
        <v>427</v>
      </c>
      <c r="T48" s="982" t="s">
        <v>390</v>
      </c>
      <c r="U48" s="735" t="s">
        <v>427</v>
      </c>
      <c r="V48" s="982" t="s">
        <v>390</v>
      </c>
      <c r="W48" s="735" t="s">
        <v>427</v>
      </c>
      <c r="X48" s="982" t="s">
        <v>390</v>
      </c>
      <c r="Y48" s="735" t="s">
        <v>427</v>
      </c>
      <c r="Z48" s="982" t="s">
        <v>390</v>
      </c>
      <c r="AA48" s="735" t="s">
        <v>427</v>
      </c>
      <c r="AB48" s="982" t="s">
        <v>390</v>
      </c>
      <c r="AC48" s="735" t="s">
        <v>427</v>
      </c>
      <c r="AD48" s="982" t="s">
        <v>390</v>
      </c>
      <c r="AE48" s="735" t="s">
        <v>427</v>
      </c>
      <c r="AF48" s="982" t="s">
        <v>390</v>
      </c>
      <c r="AG48" s="735" t="s">
        <v>427</v>
      </c>
      <c r="AH48" s="982" t="s">
        <v>390</v>
      </c>
      <c r="AI48" s="735" t="s">
        <v>427</v>
      </c>
      <c r="AJ48" s="982" t="s">
        <v>390</v>
      </c>
      <c r="AK48" s="735" t="s">
        <v>427</v>
      </c>
      <c r="AL48" s="982" t="s">
        <v>390</v>
      </c>
      <c r="AM48" s="735" t="s">
        <v>427</v>
      </c>
      <c r="AN48" s="982" t="s">
        <v>390</v>
      </c>
      <c r="AO48" s="735" t="s">
        <v>427</v>
      </c>
      <c r="AP48" s="982" t="s">
        <v>390</v>
      </c>
      <c r="AQ48" s="735" t="s">
        <v>427</v>
      </c>
      <c r="AR48" s="982" t="s">
        <v>390</v>
      </c>
      <c r="AS48" s="735" t="s">
        <v>427</v>
      </c>
      <c r="AT48" s="982" t="s">
        <v>390</v>
      </c>
      <c r="AU48" s="735" t="s">
        <v>427</v>
      </c>
      <c r="AV48" s="982" t="s">
        <v>390</v>
      </c>
      <c r="AW48" s="735" t="s">
        <v>427</v>
      </c>
      <c r="AX48" s="982" t="s">
        <v>390</v>
      </c>
      <c r="AY48" s="735" t="s">
        <v>427</v>
      </c>
      <c r="AZ48" s="983" t="s">
        <v>390</v>
      </c>
      <c r="BA48" s="984" t="s">
        <v>427</v>
      </c>
      <c r="BB48" s="985" t="s">
        <v>390</v>
      </c>
      <c r="BC48" s="921"/>
      <c r="BD48" s="980" t="s">
        <v>425</v>
      </c>
      <c r="BE48" s="981" t="s">
        <v>426</v>
      </c>
      <c r="BF48" s="884"/>
      <c r="BG48" s="814"/>
      <c r="BH48" s="814"/>
      <c r="BI48" s="815"/>
      <c r="BJ48" s="733" t="s">
        <v>427</v>
      </c>
      <c r="BK48" s="660" t="s">
        <v>390</v>
      </c>
      <c r="BL48" s="735" t="s">
        <v>427</v>
      </c>
      <c r="BM48" s="982" t="s">
        <v>390</v>
      </c>
      <c r="BN48" s="735" t="s">
        <v>427</v>
      </c>
      <c r="BO48" s="982" t="s">
        <v>390</v>
      </c>
      <c r="BP48" s="735" t="s">
        <v>427</v>
      </c>
      <c r="BQ48" s="982" t="s">
        <v>390</v>
      </c>
      <c r="BR48" s="735" t="s">
        <v>427</v>
      </c>
      <c r="BS48" s="982" t="s">
        <v>390</v>
      </c>
      <c r="BT48" s="735" t="s">
        <v>427</v>
      </c>
      <c r="BU48" s="982" t="s">
        <v>390</v>
      </c>
      <c r="BV48" s="735" t="s">
        <v>427</v>
      </c>
      <c r="BW48" s="982" t="s">
        <v>390</v>
      </c>
      <c r="BX48" s="735" t="s">
        <v>427</v>
      </c>
      <c r="BY48" s="982" t="s">
        <v>390</v>
      </c>
      <c r="BZ48" s="735" t="s">
        <v>427</v>
      </c>
      <c r="CA48" s="982" t="s">
        <v>390</v>
      </c>
      <c r="CB48" s="735" t="s">
        <v>427</v>
      </c>
      <c r="CC48" s="982" t="s">
        <v>390</v>
      </c>
      <c r="CD48" s="735" t="s">
        <v>427</v>
      </c>
      <c r="CE48" s="982" t="s">
        <v>390</v>
      </c>
      <c r="CF48" s="735" t="s">
        <v>427</v>
      </c>
      <c r="CG48" s="982" t="s">
        <v>390</v>
      </c>
      <c r="CH48" s="735" t="s">
        <v>427</v>
      </c>
      <c r="CI48" s="982" t="s">
        <v>390</v>
      </c>
      <c r="CJ48" s="735" t="s">
        <v>427</v>
      </c>
      <c r="CK48" s="982" t="s">
        <v>390</v>
      </c>
      <c r="CL48" s="735" t="s">
        <v>427</v>
      </c>
      <c r="CM48" s="982" t="s">
        <v>390</v>
      </c>
      <c r="CN48" s="735" t="s">
        <v>427</v>
      </c>
      <c r="CO48" s="982" t="s">
        <v>390</v>
      </c>
      <c r="CP48" s="735" t="s">
        <v>427</v>
      </c>
      <c r="CQ48" s="982" t="s">
        <v>390</v>
      </c>
      <c r="CR48" s="735" t="s">
        <v>427</v>
      </c>
      <c r="CS48" s="982" t="s">
        <v>390</v>
      </c>
      <c r="CT48" s="735" t="s">
        <v>427</v>
      </c>
      <c r="CU48" s="982" t="s">
        <v>390</v>
      </c>
      <c r="CV48" s="735" t="s">
        <v>427</v>
      </c>
      <c r="CW48" s="982" t="s">
        <v>390</v>
      </c>
      <c r="CX48" s="735" t="s">
        <v>427</v>
      </c>
      <c r="CY48" s="982" t="s">
        <v>390</v>
      </c>
      <c r="CZ48" s="735" t="s">
        <v>427</v>
      </c>
      <c r="DA48" s="982" t="s">
        <v>390</v>
      </c>
      <c r="DB48" s="735" t="s">
        <v>427</v>
      </c>
      <c r="DC48" s="983" t="s">
        <v>390</v>
      </c>
      <c r="DD48" s="984" t="s">
        <v>427</v>
      </c>
      <c r="DE48" s="985" t="s">
        <v>390</v>
      </c>
      <c r="DF48" s="921"/>
      <c r="DG48" s="980" t="s">
        <v>425</v>
      </c>
      <c r="DH48" s="981" t="s">
        <v>426</v>
      </c>
      <c r="DI48" s="884"/>
      <c r="DJ48" s="814"/>
      <c r="DK48" s="814"/>
      <c r="DL48" s="815"/>
      <c r="DM48" s="733" t="s">
        <v>427</v>
      </c>
      <c r="DN48" s="660" t="s">
        <v>390</v>
      </c>
      <c r="DO48" s="735" t="s">
        <v>427</v>
      </c>
      <c r="DP48" s="982" t="s">
        <v>390</v>
      </c>
      <c r="DQ48" s="735" t="s">
        <v>427</v>
      </c>
      <c r="DR48" s="982" t="s">
        <v>390</v>
      </c>
      <c r="DS48" s="735" t="s">
        <v>427</v>
      </c>
      <c r="DT48" s="982" t="s">
        <v>390</v>
      </c>
      <c r="DU48" s="735" t="s">
        <v>427</v>
      </c>
      <c r="DV48" s="982" t="s">
        <v>390</v>
      </c>
      <c r="DW48" s="735" t="s">
        <v>427</v>
      </c>
      <c r="DX48" s="982" t="s">
        <v>390</v>
      </c>
      <c r="DY48" s="735" t="s">
        <v>427</v>
      </c>
      <c r="DZ48" s="982" t="s">
        <v>390</v>
      </c>
      <c r="EA48" s="735" t="s">
        <v>427</v>
      </c>
      <c r="EB48" s="982" t="s">
        <v>390</v>
      </c>
      <c r="EC48" s="735" t="s">
        <v>427</v>
      </c>
      <c r="ED48" s="982" t="s">
        <v>390</v>
      </c>
      <c r="EE48" s="735" t="s">
        <v>427</v>
      </c>
      <c r="EF48" s="982" t="s">
        <v>390</v>
      </c>
      <c r="EG48" s="735" t="s">
        <v>427</v>
      </c>
      <c r="EH48" s="982" t="s">
        <v>390</v>
      </c>
      <c r="EI48" s="735" t="s">
        <v>427</v>
      </c>
      <c r="EJ48" s="982" t="s">
        <v>390</v>
      </c>
      <c r="EK48" s="735" t="s">
        <v>427</v>
      </c>
      <c r="EL48" s="982" t="s">
        <v>390</v>
      </c>
      <c r="EM48" s="735" t="s">
        <v>427</v>
      </c>
      <c r="EN48" s="982" t="s">
        <v>390</v>
      </c>
      <c r="EO48" s="735" t="s">
        <v>427</v>
      </c>
      <c r="EP48" s="982" t="s">
        <v>390</v>
      </c>
      <c r="EQ48" s="735" t="s">
        <v>427</v>
      </c>
      <c r="ER48" s="982" t="s">
        <v>390</v>
      </c>
      <c r="ES48" s="735" t="s">
        <v>427</v>
      </c>
      <c r="ET48" s="982" t="s">
        <v>390</v>
      </c>
      <c r="EU48" s="735" t="s">
        <v>427</v>
      </c>
      <c r="EV48" s="982" t="s">
        <v>390</v>
      </c>
      <c r="EW48" s="735" t="s">
        <v>427</v>
      </c>
      <c r="EX48" s="982" t="s">
        <v>390</v>
      </c>
      <c r="EY48" s="735" t="s">
        <v>427</v>
      </c>
      <c r="EZ48" s="982" t="s">
        <v>390</v>
      </c>
      <c r="FA48" s="735" t="s">
        <v>427</v>
      </c>
      <c r="FB48" s="982" t="s">
        <v>390</v>
      </c>
      <c r="FC48" s="735" t="s">
        <v>427</v>
      </c>
      <c r="FD48" s="982" t="s">
        <v>390</v>
      </c>
      <c r="FE48" s="735" t="s">
        <v>427</v>
      </c>
      <c r="FF48" s="983" t="s">
        <v>390</v>
      </c>
      <c r="FG48" s="984" t="s">
        <v>427</v>
      </c>
      <c r="FH48" s="985" t="s">
        <v>390</v>
      </c>
      <c r="FI48" s="921"/>
      <c r="FJ48" s="980" t="s">
        <v>425</v>
      </c>
      <c r="FK48" s="731" t="s">
        <v>426</v>
      </c>
      <c r="FL48" s="884"/>
      <c r="FM48" s="814"/>
      <c r="FN48" s="814"/>
      <c r="FO48" s="815"/>
      <c r="FP48" s="740" t="s">
        <v>392</v>
      </c>
      <c r="FQ48" s="666" t="s">
        <v>427</v>
      </c>
      <c r="FR48" s="660" t="s">
        <v>393</v>
      </c>
      <c r="FS48" s="986" t="s">
        <v>392</v>
      </c>
      <c r="FT48" s="666" t="s">
        <v>427</v>
      </c>
      <c r="FU48" s="987" t="s">
        <v>393</v>
      </c>
      <c r="FV48" s="988"/>
      <c r="FW48" s="982" t="s">
        <v>315</v>
      </c>
      <c r="FX48" s="986"/>
      <c r="FY48" s="982" t="s">
        <v>315</v>
      </c>
      <c r="FZ48" s="986"/>
      <c r="GA48" s="982" t="s">
        <v>315</v>
      </c>
      <c r="GB48" s="986"/>
      <c r="GC48" s="982" t="s">
        <v>315</v>
      </c>
      <c r="GD48" s="986"/>
      <c r="GE48" s="989" t="s">
        <v>316</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394</v>
      </c>
      <c r="C49" s="991"/>
      <c r="D49" s="747">
        <v>53</v>
      </c>
      <c r="E49" s="748">
        <v>4</v>
      </c>
      <c r="F49" s="992" t="s">
        <v>395</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394</v>
      </c>
      <c r="BF49" s="991"/>
      <c r="BG49" s="747"/>
      <c r="BH49" s="748">
        <v>4</v>
      </c>
      <c r="BI49" s="992" t="s">
        <v>395</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394</v>
      </c>
      <c r="DI49" s="991"/>
      <c r="DJ49" s="747"/>
      <c r="DK49" s="748">
        <v>4</v>
      </c>
      <c r="DL49" s="992" t="s">
        <v>395</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394</v>
      </c>
      <c r="FL49" s="991"/>
      <c r="FM49" s="752"/>
      <c r="FN49" s="748">
        <v>0</v>
      </c>
      <c r="FO49" s="992"/>
      <c r="FP49" s="678"/>
      <c r="FQ49" s="753"/>
      <c r="FR49" s="584">
        <v>0</v>
      </c>
      <c r="FS49" s="754"/>
      <c r="FT49" s="753"/>
      <c r="FU49" s="564">
        <v>0</v>
      </c>
      <c r="FV49" s="997" t="s">
        <v>324</v>
      </c>
      <c r="FW49" s="998"/>
      <c r="FX49" s="999" t="s">
        <v>325</v>
      </c>
      <c r="FY49" s="1000"/>
      <c r="FZ49" s="1001" t="s">
        <v>326</v>
      </c>
      <c r="GA49" s="1002"/>
      <c r="GB49" s="1003" t="s">
        <v>327</v>
      </c>
      <c r="GC49" s="1004"/>
      <c r="GD49" s="1003" t="s">
        <v>328</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401</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401</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401</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401</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571</v>
      </c>
      <c r="GV50" s="577"/>
      <c r="GW50" s="577"/>
      <c r="GX50" s="577"/>
      <c r="GY50" s="612"/>
      <c r="GZ50" s="576"/>
      <c r="HA50" s="612">
        <v>40.1</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392</v>
      </c>
      <c r="GM51" s="1036" t="s">
        <v>505</v>
      </c>
      <c r="GN51" s="1037" t="s">
        <v>506</v>
      </c>
      <c r="GO51" s="1038" t="s">
        <v>507</v>
      </c>
      <c r="GP51" s="1038" t="s">
        <v>486</v>
      </c>
      <c r="GQ51" s="1039" t="s">
        <v>487</v>
      </c>
      <c r="GR51" s="726"/>
      <c r="GS51" s="942"/>
      <c r="GT51" s="756"/>
      <c r="GU51" s="577" t="s">
        <v>508</v>
      </c>
      <c r="GV51" s="577"/>
      <c r="GW51" s="577"/>
      <c r="GX51" s="577"/>
      <c r="GY51" s="414"/>
      <c r="GZ51" s="1040"/>
      <c r="HA51" s="612">
        <v>40.1</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13</v>
      </c>
      <c r="FW52" s="1058">
        <v>212</v>
      </c>
      <c r="FX52" s="1059">
        <v>11</v>
      </c>
      <c r="FY52" s="1058">
        <v>212</v>
      </c>
      <c r="FZ52" s="1059">
        <v>12</v>
      </c>
      <c r="GA52" s="1058">
        <v>212</v>
      </c>
      <c r="GB52" s="1060" t="s">
        <v>565</v>
      </c>
      <c r="GC52" s="1061">
        <v>212</v>
      </c>
      <c r="GD52" s="1060" t="s">
        <v>352</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1280</v>
      </c>
      <c r="Y53" s="1075"/>
      <c r="Z53" s="1074">
        <v>1274</v>
      </c>
      <c r="AA53" s="1075"/>
      <c r="AB53" s="1074">
        <v>1313</v>
      </c>
      <c r="AC53" s="1075"/>
      <c r="AD53" s="1074">
        <v>1329</v>
      </c>
      <c r="AE53" s="1075"/>
      <c r="AF53" s="1074">
        <v>1329</v>
      </c>
      <c r="AG53" s="1075"/>
      <c r="AH53" s="1074">
        <v>1319</v>
      </c>
      <c r="AI53" s="1075"/>
      <c r="AJ53" s="1074">
        <v>1291</v>
      </c>
      <c r="AK53" s="1075"/>
      <c r="AL53" s="1074">
        <v>1274</v>
      </c>
      <c r="AM53" s="1075"/>
      <c r="AN53" s="1074">
        <v>1232</v>
      </c>
      <c r="AO53" s="1075"/>
      <c r="AP53" s="1074">
        <v>1196</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1342</v>
      </c>
      <c r="CB53" s="1075"/>
      <c r="CC53" s="1074">
        <v>1330</v>
      </c>
      <c r="CD53" s="1075"/>
      <c r="CE53" s="1074">
        <v>1369</v>
      </c>
      <c r="CF53" s="1075"/>
      <c r="CG53" s="1074">
        <v>1365</v>
      </c>
      <c r="CH53" s="1075"/>
      <c r="CI53" s="1074">
        <v>1342</v>
      </c>
      <c r="CJ53" s="1075"/>
      <c r="CK53" s="1074">
        <v>1308</v>
      </c>
      <c r="CL53" s="1075"/>
      <c r="CM53" s="1074">
        <v>1282</v>
      </c>
      <c r="CN53" s="1075"/>
      <c r="CO53" s="1074">
        <v>1258</v>
      </c>
      <c r="CP53" s="1075"/>
      <c r="CQ53" s="1074">
        <v>1226</v>
      </c>
      <c r="CR53" s="1075"/>
      <c r="CS53" s="1074">
        <v>1183</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1238</v>
      </c>
      <c r="EE53" s="1075"/>
      <c r="EF53" s="1074">
        <v>1237</v>
      </c>
      <c r="EG53" s="1075"/>
      <c r="EH53" s="1074">
        <v>1280</v>
      </c>
      <c r="EI53" s="1075"/>
      <c r="EJ53" s="1074">
        <v>1286</v>
      </c>
      <c r="EK53" s="1075"/>
      <c r="EL53" s="1074">
        <v>1258</v>
      </c>
      <c r="EM53" s="1075"/>
      <c r="EN53" s="1074">
        <v>1220</v>
      </c>
      <c r="EO53" s="1075"/>
      <c r="EP53" s="1074">
        <v>1192</v>
      </c>
      <c r="EQ53" s="1075"/>
      <c r="ER53" s="1074">
        <v>1171</v>
      </c>
      <c r="ES53" s="1075"/>
      <c r="ET53" s="1074">
        <v>1128</v>
      </c>
      <c r="EU53" s="1075"/>
      <c r="EV53" s="1074">
        <v>1081</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1986</v>
      </c>
      <c r="FS53" s="1082"/>
      <c r="FT53" s="1081"/>
      <c r="FU53" s="1083">
        <v>2006</v>
      </c>
      <c r="FV53" s="1084">
        <v>13</v>
      </c>
      <c r="FW53" s="1085">
        <v>1329</v>
      </c>
      <c r="FX53" s="1086">
        <v>11</v>
      </c>
      <c r="FY53" s="1085">
        <v>1369</v>
      </c>
      <c r="FZ53" s="1086">
        <v>12</v>
      </c>
      <c r="GA53" s="1085">
        <v>1286</v>
      </c>
      <c r="GB53" s="1087" t="s">
        <v>565</v>
      </c>
      <c r="GC53" s="1085">
        <v>1369</v>
      </c>
      <c r="GD53" s="1087" t="s">
        <v>352</v>
      </c>
      <c r="GE53" s="1088">
        <v>2006</v>
      </c>
      <c r="GF53" s="681"/>
      <c r="GG53" s="979"/>
      <c r="GH53" s="979"/>
      <c r="GI53" s="979"/>
      <c r="GJ53" s="942"/>
      <c r="GK53" s="414"/>
      <c r="GL53" s="1089">
        <v>10</v>
      </c>
      <c r="GM53" s="1090">
        <v>1</v>
      </c>
      <c r="GN53" s="1091">
        <v>0.92</v>
      </c>
      <c r="GO53" s="1092">
        <v>4.2</v>
      </c>
      <c r="GP53" s="1092">
        <v>7</v>
      </c>
      <c r="GQ53" s="1093">
        <v>11.2</v>
      </c>
      <c r="GR53" s="577"/>
      <c r="GS53" s="480"/>
      <c r="GT53" s="850"/>
      <c r="GU53" s="577" t="s">
        <v>572</v>
      </c>
      <c r="GV53" s="577"/>
      <c r="GW53" s="577"/>
      <c r="GX53" s="577"/>
      <c r="GY53" s="414"/>
      <c r="GZ53" s="410"/>
      <c r="HA53" s="612">
        <v>39.4</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96.5</v>
      </c>
      <c r="AA54" s="1102"/>
      <c r="AB54" s="1101">
        <v>99.5</v>
      </c>
      <c r="AC54" s="1102"/>
      <c r="AD54" s="1101">
        <v>100.7</v>
      </c>
      <c r="AE54" s="1102"/>
      <c r="AF54" s="1101">
        <v>100.7</v>
      </c>
      <c r="AG54" s="1102"/>
      <c r="AH54" s="1101">
        <v>99.9</v>
      </c>
      <c r="AI54" s="1102"/>
      <c r="AJ54" s="1101">
        <v>97.8</v>
      </c>
      <c r="AK54" s="1102"/>
      <c r="AL54" s="1101">
        <v>96.5</v>
      </c>
      <c r="AM54" s="1102"/>
      <c r="AN54" s="1101">
        <v>93.3</v>
      </c>
      <c r="AO54" s="1102"/>
      <c r="AP54" s="1101">
        <v>90.6</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101.7</v>
      </c>
      <c r="CB54" s="1102"/>
      <c r="CC54" s="1101">
        <v>100.8</v>
      </c>
      <c r="CD54" s="1102"/>
      <c r="CE54" s="1101">
        <v>103.7</v>
      </c>
      <c r="CF54" s="1102"/>
      <c r="CG54" s="1101">
        <v>103.4</v>
      </c>
      <c r="CH54" s="1102"/>
      <c r="CI54" s="1101">
        <v>101.7</v>
      </c>
      <c r="CJ54" s="1102"/>
      <c r="CK54" s="1101">
        <v>99.1</v>
      </c>
      <c r="CL54" s="1102"/>
      <c r="CM54" s="1101">
        <v>97.1</v>
      </c>
      <c r="CN54" s="1102"/>
      <c r="CO54" s="1101">
        <v>95.3</v>
      </c>
      <c r="CP54" s="1102"/>
      <c r="CQ54" s="1101">
        <v>92.9</v>
      </c>
      <c r="CR54" s="1102"/>
      <c r="CS54" s="1101">
        <v>89.6</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93.8</v>
      </c>
      <c r="EE54" s="1102"/>
      <c r="EF54" s="1101">
        <v>93.7</v>
      </c>
      <c r="EG54" s="1102"/>
      <c r="EH54" s="1101">
        <v>97</v>
      </c>
      <c r="EI54" s="1102"/>
      <c r="EJ54" s="1101">
        <v>97.4</v>
      </c>
      <c r="EK54" s="1102"/>
      <c r="EL54" s="1101">
        <v>95.3</v>
      </c>
      <c r="EM54" s="1102"/>
      <c r="EN54" s="1101">
        <v>92.4</v>
      </c>
      <c r="EO54" s="1102"/>
      <c r="EP54" s="1101">
        <v>90.3</v>
      </c>
      <c r="EQ54" s="1102"/>
      <c r="ER54" s="1101">
        <v>88.7</v>
      </c>
      <c r="ES54" s="1102"/>
      <c r="ET54" s="1101">
        <v>85.5</v>
      </c>
      <c r="EU54" s="1102"/>
      <c r="EV54" s="1101">
        <v>81.900000000000006</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150.5</v>
      </c>
      <c r="FS54" s="1105"/>
      <c r="FT54" s="1102"/>
      <c r="FU54" s="1106">
        <v>152</v>
      </c>
      <c r="FV54" s="1105"/>
      <c r="FW54" s="1101">
        <f>IF(面積=0,0,ROUND(FW53/面積,1))</f>
        <v>100.7</v>
      </c>
      <c r="FX54" s="1105"/>
      <c r="FY54" s="1101">
        <f>IF(面積=0,0,ROUND(FY53/面積,1))</f>
        <v>103.7</v>
      </c>
      <c r="FZ54" s="1105"/>
      <c r="GA54" s="1101">
        <f>IF(面積=0,0,ROUND(GA53/面積,1))</f>
        <v>97.4</v>
      </c>
      <c r="GB54" s="1105"/>
      <c r="GC54" s="1101">
        <f>IF(面積=0,0,ROUND(GC53/面積,1))</f>
        <v>103.7</v>
      </c>
      <c r="GD54" s="1105"/>
      <c r="GE54" s="1103">
        <f>IF(面積=0,0,ROUND(GE53/面積,1))</f>
        <v>152</v>
      </c>
      <c r="GF54" s="681"/>
      <c r="GG54" s="926"/>
      <c r="GH54" s="926"/>
      <c r="GI54" s="926"/>
      <c r="GJ54" s="577"/>
      <c r="GK54" s="576"/>
      <c r="GL54" s="1089">
        <v>11</v>
      </c>
      <c r="GM54" s="1090">
        <v>2</v>
      </c>
      <c r="GN54" s="1091">
        <v>0.85</v>
      </c>
      <c r="GO54" s="1092">
        <v>3.9</v>
      </c>
      <c r="GP54" s="1092">
        <v>7</v>
      </c>
      <c r="GQ54" s="1093">
        <v>10.9</v>
      </c>
      <c r="GR54" s="527"/>
      <c r="GS54" s="577"/>
      <c r="GT54" s="850"/>
      <c r="GU54" s="1107" t="s">
        <v>510</v>
      </c>
      <c r="GV54" s="1107"/>
      <c r="GW54" s="1107"/>
      <c r="GX54" s="1107"/>
      <c r="GY54" s="768"/>
      <c r="GZ54" s="1108"/>
      <c r="HA54" s="1109">
        <v>79.5</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329</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329</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329</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330</v>
      </c>
      <c r="FK56" s="1118"/>
      <c r="FL56" s="1118"/>
      <c r="FM56" s="1118"/>
      <c r="FN56" s="1119"/>
      <c r="FO56" s="1119"/>
      <c r="FP56" s="1125" t="s">
        <v>36</v>
      </c>
      <c r="FQ56" s="1126"/>
      <c r="FR56" s="1127"/>
      <c r="FS56" s="1128" t="s">
        <v>291</v>
      </c>
      <c r="FT56" s="1129"/>
      <c r="FU56" s="1130"/>
      <c r="FV56" s="1131" t="s">
        <v>331</v>
      </c>
      <c r="FW56" s="1132"/>
      <c r="FX56" s="1133" t="s">
        <v>332</v>
      </c>
      <c r="FY56" s="1134"/>
      <c r="FZ56" s="1135" t="s">
        <v>333</v>
      </c>
      <c r="GA56" s="1136"/>
      <c r="GB56" s="1137" t="s">
        <v>334</v>
      </c>
      <c r="GC56" s="1122"/>
      <c r="GD56" s="1137" t="s">
        <v>335</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336</v>
      </c>
      <c r="H57" s="1143" t="s">
        <v>315</v>
      </c>
      <c r="I57" s="1144" t="s">
        <v>336</v>
      </c>
      <c r="J57" s="1143" t="s">
        <v>315</v>
      </c>
      <c r="K57" s="1144" t="s">
        <v>336</v>
      </c>
      <c r="L57" s="1143" t="s">
        <v>315</v>
      </c>
      <c r="M57" s="1144" t="s">
        <v>336</v>
      </c>
      <c r="N57" s="1143" t="s">
        <v>315</v>
      </c>
      <c r="O57" s="1144" t="s">
        <v>336</v>
      </c>
      <c r="P57" s="1143" t="s">
        <v>315</v>
      </c>
      <c r="Q57" s="1144" t="s">
        <v>336</v>
      </c>
      <c r="R57" s="1143" t="s">
        <v>315</v>
      </c>
      <c r="S57" s="1144" t="s">
        <v>336</v>
      </c>
      <c r="T57" s="1143" t="s">
        <v>315</v>
      </c>
      <c r="U57" s="1144" t="s">
        <v>336</v>
      </c>
      <c r="V57" s="1143" t="s">
        <v>315</v>
      </c>
      <c r="W57" s="1144" t="s">
        <v>336</v>
      </c>
      <c r="X57" s="1143" t="s">
        <v>315</v>
      </c>
      <c r="Y57" s="1144" t="s">
        <v>336</v>
      </c>
      <c r="Z57" s="1143" t="s">
        <v>315</v>
      </c>
      <c r="AA57" s="1144" t="s">
        <v>336</v>
      </c>
      <c r="AB57" s="1143" t="s">
        <v>315</v>
      </c>
      <c r="AC57" s="1144" t="s">
        <v>336</v>
      </c>
      <c r="AD57" s="1143" t="s">
        <v>336</v>
      </c>
      <c r="AE57" s="1144" t="s">
        <v>336</v>
      </c>
      <c r="AF57" s="1143" t="s">
        <v>315</v>
      </c>
      <c r="AG57" s="1144" t="s">
        <v>336</v>
      </c>
      <c r="AH57" s="1143" t="s">
        <v>315</v>
      </c>
      <c r="AI57" s="1144" t="s">
        <v>336</v>
      </c>
      <c r="AJ57" s="1143" t="s">
        <v>315</v>
      </c>
      <c r="AK57" s="1144" t="s">
        <v>336</v>
      </c>
      <c r="AL57" s="1143" t="s">
        <v>315</v>
      </c>
      <c r="AM57" s="1144" t="s">
        <v>336</v>
      </c>
      <c r="AN57" s="1143" t="s">
        <v>315</v>
      </c>
      <c r="AO57" s="1144" t="s">
        <v>336</v>
      </c>
      <c r="AP57" s="1143" t="s">
        <v>315</v>
      </c>
      <c r="AQ57" s="1144" t="s">
        <v>336</v>
      </c>
      <c r="AR57" s="1143" t="s">
        <v>315</v>
      </c>
      <c r="AS57" s="1144" t="s">
        <v>336</v>
      </c>
      <c r="AT57" s="1143" t="s">
        <v>315</v>
      </c>
      <c r="AU57" s="1144" t="s">
        <v>336</v>
      </c>
      <c r="AV57" s="1143" t="s">
        <v>315</v>
      </c>
      <c r="AW57" s="1144" t="s">
        <v>336</v>
      </c>
      <c r="AX57" s="1143" t="s">
        <v>315</v>
      </c>
      <c r="AY57" s="1144" t="s">
        <v>336</v>
      </c>
      <c r="AZ57" s="1143" t="s">
        <v>315</v>
      </c>
      <c r="BA57" s="1145" t="s">
        <v>336</v>
      </c>
      <c r="BB57" s="1146" t="s">
        <v>315</v>
      </c>
      <c r="BC57" s="1041"/>
      <c r="BD57" s="1138"/>
      <c r="BE57" s="1139"/>
      <c r="BF57" s="1139"/>
      <c r="BG57" s="1139"/>
      <c r="BH57" s="1140"/>
      <c r="BI57" s="1141"/>
      <c r="BJ57" s="1142" t="s">
        <v>336</v>
      </c>
      <c r="BK57" s="1143" t="s">
        <v>315</v>
      </c>
      <c r="BL57" s="1144" t="s">
        <v>336</v>
      </c>
      <c r="BM57" s="1143" t="s">
        <v>315</v>
      </c>
      <c r="BN57" s="1144" t="s">
        <v>336</v>
      </c>
      <c r="BO57" s="1143" t="s">
        <v>315</v>
      </c>
      <c r="BP57" s="1144" t="s">
        <v>336</v>
      </c>
      <c r="BQ57" s="1143" t="s">
        <v>315</v>
      </c>
      <c r="BR57" s="1144" t="s">
        <v>336</v>
      </c>
      <c r="BS57" s="1143" t="s">
        <v>315</v>
      </c>
      <c r="BT57" s="1144" t="s">
        <v>336</v>
      </c>
      <c r="BU57" s="1143" t="s">
        <v>315</v>
      </c>
      <c r="BV57" s="1144" t="s">
        <v>336</v>
      </c>
      <c r="BW57" s="1143" t="s">
        <v>315</v>
      </c>
      <c r="BX57" s="1144" t="s">
        <v>336</v>
      </c>
      <c r="BY57" s="1143" t="s">
        <v>315</v>
      </c>
      <c r="BZ57" s="1144" t="s">
        <v>336</v>
      </c>
      <c r="CA57" s="1143" t="s">
        <v>315</v>
      </c>
      <c r="CB57" s="1144" t="s">
        <v>336</v>
      </c>
      <c r="CC57" s="1143" t="s">
        <v>315</v>
      </c>
      <c r="CD57" s="1144" t="s">
        <v>336</v>
      </c>
      <c r="CE57" s="1143" t="s">
        <v>315</v>
      </c>
      <c r="CF57" s="1144" t="s">
        <v>336</v>
      </c>
      <c r="CG57" s="1143" t="s">
        <v>336</v>
      </c>
      <c r="CH57" s="1144" t="s">
        <v>336</v>
      </c>
      <c r="CI57" s="1143" t="s">
        <v>315</v>
      </c>
      <c r="CJ57" s="1144" t="s">
        <v>336</v>
      </c>
      <c r="CK57" s="1143" t="s">
        <v>315</v>
      </c>
      <c r="CL57" s="1144" t="s">
        <v>336</v>
      </c>
      <c r="CM57" s="1143" t="s">
        <v>315</v>
      </c>
      <c r="CN57" s="1144" t="s">
        <v>336</v>
      </c>
      <c r="CO57" s="1143" t="s">
        <v>315</v>
      </c>
      <c r="CP57" s="1144" t="s">
        <v>336</v>
      </c>
      <c r="CQ57" s="1143" t="s">
        <v>315</v>
      </c>
      <c r="CR57" s="1144" t="s">
        <v>336</v>
      </c>
      <c r="CS57" s="1143" t="s">
        <v>315</v>
      </c>
      <c r="CT57" s="1144" t="s">
        <v>336</v>
      </c>
      <c r="CU57" s="1143" t="s">
        <v>315</v>
      </c>
      <c r="CV57" s="1144" t="s">
        <v>336</v>
      </c>
      <c r="CW57" s="1143" t="s">
        <v>315</v>
      </c>
      <c r="CX57" s="1144" t="s">
        <v>336</v>
      </c>
      <c r="CY57" s="1143" t="s">
        <v>315</v>
      </c>
      <c r="CZ57" s="1144" t="s">
        <v>336</v>
      </c>
      <c r="DA57" s="1143" t="s">
        <v>315</v>
      </c>
      <c r="DB57" s="1144" t="s">
        <v>336</v>
      </c>
      <c r="DC57" s="1143" t="s">
        <v>315</v>
      </c>
      <c r="DD57" s="1145" t="s">
        <v>336</v>
      </c>
      <c r="DE57" s="1146" t="s">
        <v>315</v>
      </c>
      <c r="DF57" s="1041"/>
      <c r="DG57" s="1138"/>
      <c r="DH57" s="1139"/>
      <c r="DI57" s="1139"/>
      <c r="DJ57" s="1139"/>
      <c r="DK57" s="1140"/>
      <c r="DL57" s="1141"/>
      <c r="DM57" s="1142" t="s">
        <v>336</v>
      </c>
      <c r="DN57" s="1143" t="s">
        <v>315</v>
      </c>
      <c r="DO57" s="1144" t="s">
        <v>336</v>
      </c>
      <c r="DP57" s="1143" t="s">
        <v>315</v>
      </c>
      <c r="DQ57" s="1144" t="s">
        <v>336</v>
      </c>
      <c r="DR57" s="1143" t="s">
        <v>315</v>
      </c>
      <c r="DS57" s="1144" t="s">
        <v>336</v>
      </c>
      <c r="DT57" s="1143" t="s">
        <v>315</v>
      </c>
      <c r="DU57" s="1144" t="s">
        <v>336</v>
      </c>
      <c r="DV57" s="1143" t="s">
        <v>315</v>
      </c>
      <c r="DW57" s="1144" t="s">
        <v>336</v>
      </c>
      <c r="DX57" s="1143" t="s">
        <v>315</v>
      </c>
      <c r="DY57" s="1144" t="s">
        <v>336</v>
      </c>
      <c r="DZ57" s="1143" t="s">
        <v>315</v>
      </c>
      <c r="EA57" s="1144" t="s">
        <v>336</v>
      </c>
      <c r="EB57" s="1143" t="s">
        <v>315</v>
      </c>
      <c r="EC57" s="1144" t="s">
        <v>336</v>
      </c>
      <c r="ED57" s="1143" t="s">
        <v>315</v>
      </c>
      <c r="EE57" s="1144" t="s">
        <v>336</v>
      </c>
      <c r="EF57" s="1143" t="s">
        <v>315</v>
      </c>
      <c r="EG57" s="1144" t="s">
        <v>336</v>
      </c>
      <c r="EH57" s="1143" t="s">
        <v>315</v>
      </c>
      <c r="EI57" s="1144" t="s">
        <v>336</v>
      </c>
      <c r="EJ57" s="1143" t="s">
        <v>336</v>
      </c>
      <c r="EK57" s="1144" t="s">
        <v>336</v>
      </c>
      <c r="EL57" s="1143" t="s">
        <v>315</v>
      </c>
      <c r="EM57" s="1144" t="s">
        <v>336</v>
      </c>
      <c r="EN57" s="1143" t="s">
        <v>315</v>
      </c>
      <c r="EO57" s="1144" t="s">
        <v>336</v>
      </c>
      <c r="EP57" s="1143" t="s">
        <v>315</v>
      </c>
      <c r="EQ57" s="1144" t="s">
        <v>336</v>
      </c>
      <c r="ER57" s="1143" t="s">
        <v>315</v>
      </c>
      <c r="ES57" s="1144" t="s">
        <v>336</v>
      </c>
      <c r="ET57" s="1143" t="s">
        <v>315</v>
      </c>
      <c r="EU57" s="1144" t="s">
        <v>336</v>
      </c>
      <c r="EV57" s="1143" t="s">
        <v>315</v>
      </c>
      <c r="EW57" s="1144" t="s">
        <v>336</v>
      </c>
      <c r="EX57" s="1143" t="s">
        <v>315</v>
      </c>
      <c r="EY57" s="1144" t="s">
        <v>336</v>
      </c>
      <c r="EZ57" s="1143" t="s">
        <v>315</v>
      </c>
      <c r="FA57" s="1144" t="s">
        <v>336</v>
      </c>
      <c r="FB57" s="1143" t="s">
        <v>315</v>
      </c>
      <c r="FC57" s="1144" t="s">
        <v>336</v>
      </c>
      <c r="FD57" s="1143" t="s">
        <v>315</v>
      </c>
      <c r="FE57" s="1144" t="s">
        <v>336</v>
      </c>
      <c r="FF57" s="1143" t="s">
        <v>315</v>
      </c>
      <c r="FG57" s="1145" t="s">
        <v>336</v>
      </c>
      <c r="FH57" s="1146" t="s">
        <v>315</v>
      </c>
      <c r="FI57" s="1041"/>
      <c r="FJ57" s="1138"/>
      <c r="FK57" s="1139"/>
      <c r="FL57" s="1139"/>
      <c r="FM57" s="1139"/>
      <c r="FN57" s="1140"/>
      <c r="FO57" s="1141"/>
      <c r="FP57" s="1147" t="s">
        <v>46</v>
      </c>
      <c r="FQ57" s="1145" t="s">
        <v>336</v>
      </c>
      <c r="FR57" s="1143" t="s">
        <v>316</v>
      </c>
      <c r="FS57" s="1148" t="s">
        <v>46</v>
      </c>
      <c r="FT57" s="1145" t="s">
        <v>336</v>
      </c>
      <c r="FU57" s="1149" t="s">
        <v>316</v>
      </c>
      <c r="FV57" s="1150" t="s">
        <v>46</v>
      </c>
      <c r="FW57" s="1143" t="s">
        <v>315</v>
      </c>
      <c r="FX57" s="1148" t="s">
        <v>46</v>
      </c>
      <c r="FY57" s="1143" t="s">
        <v>315</v>
      </c>
      <c r="FZ57" s="1148" t="s">
        <v>46</v>
      </c>
      <c r="GA57" s="1143" t="s">
        <v>315</v>
      </c>
      <c r="GB57" s="1148" t="s">
        <v>46</v>
      </c>
      <c r="GC57" s="1143" t="s">
        <v>315</v>
      </c>
      <c r="GD57" s="1148" t="s">
        <v>46</v>
      </c>
      <c r="GE57" s="1146" t="s">
        <v>316</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660</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25</v>
      </c>
      <c r="X59" s="584">
        <v>1000</v>
      </c>
      <c r="Y59" s="1173">
        <v>25.9</v>
      </c>
      <c r="Z59" s="584">
        <v>1036</v>
      </c>
      <c r="AA59" s="1173">
        <v>26.2</v>
      </c>
      <c r="AB59" s="584">
        <v>1048</v>
      </c>
      <c r="AC59" s="1173">
        <v>27.5</v>
      </c>
      <c r="AD59" s="584">
        <v>1100</v>
      </c>
      <c r="AE59" s="1173">
        <v>27.1</v>
      </c>
      <c r="AF59" s="584">
        <v>1084</v>
      </c>
      <c r="AG59" s="1173">
        <v>26.4</v>
      </c>
      <c r="AH59" s="584">
        <v>1056</v>
      </c>
      <c r="AI59" s="1173">
        <v>26.4</v>
      </c>
      <c r="AJ59" s="584">
        <v>1056</v>
      </c>
      <c r="AK59" s="1173">
        <v>26.1</v>
      </c>
      <c r="AL59" s="584">
        <v>1044</v>
      </c>
      <c r="AM59" s="1173">
        <v>25.4</v>
      </c>
      <c r="AN59" s="584">
        <v>1016</v>
      </c>
      <c r="AO59" s="1173">
        <v>24.7</v>
      </c>
      <c r="AP59" s="584">
        <v>988</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19.899999999999999</v>
      </c>
      <c r="CA59" s="584">
        <v>796</v>
      </c>
      <c r="CB59" s="1173">
        <v>20.7</v>
      </c>
      <c r="CC59" s="584">
        <v>828</v>
      </c>
      <c r="CD59" s="1173">
        <v>21.6</v>
      </c>
      <c r="CE59" s="584">
        <v>864</v>
      </c>
      <c r="CF59" s="1173">
        <v>22.3</v>
      </c>
      <c r="CG59" s="584">
        <v>892</v>
      </c>
      <c r="CH59" s="1173">
        <v>22.7</v>
      </c>
      <c r="CI59" s="584">
        <v>908</v>
      </c>
      <c r="CJ59" s="1173">
        <v>22</v>
      </c>
      <c r="CK59" s="584">
        <v>880</v>
      </c>
      <c r="CL59" s="1173">
        <v>21.8</v>
      </c>
      <c r="CM59" s="584">
        <v>872</v>
      </c>
      <c r="CN59" s="1173">
        <v>21.6</v>
      </c>
      <c r="CO59" s="584">
        <v>864</v>
      </c>
      <c r="CP59" s="1173">
        <v>21.6</v>
      </c>
      <c r="CQ59" s="584">
        <v>864</v>
      </c>
      <c r="CR59" s="1173">
        <v>20.9</v>
      </c>
      <c r="CS59" s="584">
        <v>836</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11.1</v>
      </c>
      <c r="ED59" s="584">
        <v>444</v>
      </c>
      <c r="EE59" s="1173">
        <v>12.2</v>
      </c>
      <c r="EF59" s="584">
        <v>488</v>
      </c>
      <c r="EG59" s="1173">
        <v>12.3</v>
      </c>
      <c r="EH59" s="584">
        <v>492</v>
      </c>
      <c r="EI59" s="1173">
        <v>12.7</v>
      </c>
      <c r="EJ59" s="584">
        <v>508</v>
      </c>
      <c r="EK59" s="1173">
        <v>12.4</v>
      </c>
      <c r="EL59" s="584">
        <v>496</v>
      </c>
      <c r="EM59" s="1173">
        <v>11.9</v>
      </c>
      <c r="EN59" s="584">
        <v>476</v>
      </c>
      <c r="EO59" s="1173">
        <v>11.7</v>
      </c>
      <c r="EP59" s="584">
        <v>468</v>
      </c>
      <c r="EQ59" s="1173">
        <v>11.8</v>
      </c>
      <c r="ER59" s="584">
        <v>472</v>
      </c>
      <c r="ES59" s="1173">
        <v>11.3</v>
      </c>
      <c r="ET59" s="584">
        <v>452</v>
      </c>
      <c r="EU59" s="1173">
        <v>11.8</v>
      </c>
      <c r="EV59" s="584">
        <v>472</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31.5</v>
      </c>
      <c r="FR59" s="1175">
        <v>1260</v>
      </c>
      <c r="FS59" s="1176">
        <v>9</v>
      </c>
      <c r="FT59" s="1174">
        <v>27.8</v>
      </c>
      <c r="FU59" s="1177">
        <v>1112</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t="s">
        <v>664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89</v>
      </c>
      <c r="Y60" s="585"/>
      <c r="Z60" s="584">
        <v>95</v>
      </c>
      <c r="AA60" s="585"/>
      <c r="AB60" s="584">
        <v>56</v>
      </c>
      <c r="AC60" s="585"/>
      <c r="AD60" s="584">
        <v>40</v>
      </c>
      <c r="AE60" s="585"/>
      <c r="AF60" s="584">
        <v>40</v>
      </c>
      <c r="AG60" s="585"/>
      <c r="AH60" s="584">
        <v>50</v>
      </c>
      <c r="AI60" s="585"/>
      <c r="AJ60" s="584">
        <v>78</v>
      </c>
      <c r="AK60" s="585"/>
      <c r="AL60" s="584">
        <v>95</v>
      </c>
      <c r="AM60" s="585"/>
      <c r="AN60" s="584">
        <v>137</v>
      </c>
      <c r="AO60" s="585"/>
      <c r="AP60" s="584">
        <v>173</v>
      </c>
      <c r="AQ60" s="585"/>
      <c r="AR60" s="584"/>
      <c r="AS60" s="585"/>
      <c r="AT60" s="584"/>
      <c r="AU60" s="585"/>
      <c r="AV60" s="584"/>
      <c r="AW60" s="585"/>
      <c r="AX60" s="584"/>
      <c r="AY60" s="585"/>
      <c r="AZ60" s="584"/>
      <c r="BA60" s="585"/>
      <c r="BB60" s="586"/>
      <c r="BC60" s="560"/>
      <c r="BD60" s="1168" t="s">
        <v>665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27</v>
      </c>
      <c r="CB60" s="585"/>
      <c r="CC60" s="584">
        <v>39</v>
      </c>
      <c r="CD60" s="585"/>
      <c r="CE60" s="584">
        <v>0</v>
      </c>
      <c r="CF60" s="585"/>
      <c r="CG60" s="584">
        <v>4</v>
      </c>
      <c r="CH60" s="585"/>
      <c r="CI60" s="584">
        <v>27</v>
      </c>
      <c r="CJ60" s="585"/>
      <c r="CK60" s="584">
        <v>61</v>
      </c>
      <c r="CL60" s="585"/>
      <c r="CM60" s="584">
        <v>87</v>
      </c>
      <c r="CN60" s="585"/>
      <c r="CO60" s="584">
        <v>111</v>
      </c>
      <c r="CP60" s="585"/>
      <c r="CQ60" s="584">
        <v>143</v>
      </c>
      <c r="CR60" s="585"/>
      <c r="CS60" s="584">
        <v>186</v>
      </c>
      <c r="CT60" s="585"/>
      <c r="CU60" s="584"/>
      <c r="CV60" s="585"/>
      <c r="CW60" s="584"/>
      <c r="CX60" s="585"/>
      <c r="CY60" s="584"/>
      <c r="CZ60" s="585"/>
      <c r="DA60" s="584"/>
      <c r="DB60" s="585"/>
      <c r="DC60" s="584"/>
      <c r="DD60" s="585"/>
      <c r="DE60" s="586"/>
      <c r="DF60" s="559"/>
      <c r="DG60" s="1168" t="s">
        <v>665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131</v>
      </c>
      <c r="EE60" s="585"/>
      <c r="EF60" s="584">
        <v>132</v>
      </c>
      <c r="EG60" s="585"/>
      <c r="EH60" s="584">
        <v>89</v>
      </c>
      <c r="EI60" s="585"/>
      <c r="EJ60" s="584">
        <v>83</v>
      </c>
      <c r="EK60" s="585"/>
      <c r="EL60" s="584">
        <v>111</v>
      </c>
      <c r="EM60" s="585"/>
      <c r="EN60" s="584">
        <v>149</v>
      </c>
      <c r="EO60" s="585"/>
      <c r="EP60" s="584">
        <v>177</v>
      </c>
      <c r="EQ60" s="585"/>
      <c r="ER60" s="584">
        <v>198</v>
      </c>
      <c r="ES60" s="585"/>
      <c r="ET60" s="584">
        <v>241</v>
      </c>
      <c r="EU60" s="585"/>
      <c r="EV60" s="584">
        <v>288</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666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2369</v>
      </c>
      <c r="Y61" s="1194"/>
      <c r="Z61" s="1195">
        <v>2405</v>
      </c>
      <c r="AA61" s="1194"/>
      <c r="AB61" s="1195">
        <v>2417</v>
      </c>
      <c r="AC61" s="1194"/>
      <c r="AD61" s="1195">
        <v>2469</v>
      </c>
      <c r="AE61" s="1194"/>
      <c r="AF61" s="1195">
        <v>2453</v>
      </c>
      <c r="AG61" s="1194"/>
      <c r="AH61" s="1195">
        <v>2425</v>
      </c>
      <c r="AI61" s="1194"/>
      <c r="AJ61" s="1195">
        <v>2425</v>
      </c>
      <c r="AK61" s="1194"/>
      <c r="AL61" s="1195">
        <v>2413</v>
      </c>
      <c r="AM61" s="1194"/>
      <c r="AN61" s="1195">
        <v>2385</v>
      </c>
      <c r="AO61" s="1194"/>
      <c r="AP61" s="1195">
        <v>2357</v>
      </c>
      <c r="AQ61" s="1194"/>
      <c r="AR61" s="1195">
        <v>0</v>
      </c>
      <c r="AS61" s="1194"/>
      <c r="AT61" s="1195">
        <v>0</v>
      </c>
      <c r="AU61" s="1194"/>
      <c r="AV61" s="1195">
        <v>0</v>
      </c>
      <c r="AW61" s="1194"/>
      <c r="AX61" s="1195">
        <v>0</v>
      </c>
      <c r="AY61" s="1194"/>
      <c r="AZ61" s="1195">
        <v>0</v>
      </c>
      <c r="BA61" s="1194"/>
      <c r="BB61" s="1196">
        <v>0</v>
      </c>
      <c r="BC61" s="560"/>
      <c r="BD61" s="1189" t="s">
        <v>666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2165</v>
      </c>
      <c r="CB61" s="1194"/>
      <c r="CC61" s="1195">
        <v>2197</v>
      </c>
      <c r="CD61" s="1194"/>
      <c r="CE61" s="1195">
        <v>2233</v>
      </c>
      <c r="CF61" s="1194"/>
      <c r="CG61" s="1195">
        <v>2261</v>
      </c>
      <c r="CH61" s="1194"/>
      <c r="CI61" s="1195">
        <v>2277</v>
      </c>
      <c r="CJ61" s="1194"/>
      <c r="CK61" s="1195">
        <v>2249</v>
      </c>
      <c r="CL61" s="1194"/>
      <c r="CM61" s="1195">
        <v>2241</v>
      </c>
      <c r="CN61" s="1194"/>
      <c r="CO61" s="1195">
        <v>2233</v>
      </c>
      <c r="CP61" s="1194"/>
      <c r="CQ61" s="1195">
        <v>2233</v>
      </c>
      <c r="CR61" s="1194"/>
      <c r="CS61" s="1195">
        <v>2205</v>
      </c>
      <c r="CT61" s="1194"/>
      <c r="CU61" s="1195">
        <v>0</v>
      </c>
      <c r="CV61" s="1194"/>
      <c r="CW61" s="1195">
        <v>0</v>
      </c>
      <c r="CX61" s="1194"/>
      <c r="CY61" s="1195">
        <v>0</v>
      </c>
      <c r="CZ61" s="1194"/>
      <c r="DA61" s="1195">
        <v>0</v>
      </c>
      <c r="DB61" s="1194"/>
      <c r="DC61" s="1195">
        <v>0</v>
      </c>
      <c r="DD61" s="1194"/>
      <c r="DE61" s="1196">
        <v>0</v>
      </c>
      <c r="DF61" s="559"/>
      <c r="DG61" s="1189" t="s">
        <v>666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1813</v>
      </c>
      <c r="EE61" s="1194"/>
      <c r="EF61" s="1195">
        <v>1857</v>
      </c>
      <c r="EG61" s="1194"/>
      <c r="EH61" s="1195">
        <v>1861</v>
      </c>
      <c r="EI61" s="1194"/>
      <c r="EJ61" s="1195">
        <v>1877</v>
      </c>
      <c r="EK61" s="1194"/>
      <c r="EL61" s="1195">
        <v>1865</v>
      </c>
      <c r="EM61" s="1194"/>
      <c r="EN61" s="1195">
        <v>1845</v>
      </c>
      <c r="EO61" s="1194"/>
      <c r="EP61" s="1195">
        <v>1837</v>
      </c>
      <c r="EQ61" s="1194"/>
      <c r="ER61" s="1195">
        <v>1841</v>
      </c>
      <c r="ES61" s="1194"/>
      <c r="ET61" s="1195">
        <v>1821</v>
      </c>
      <c r="EU61" s="1194"/>
      <c r="EV61" s="1195">
        <v>1841</v>
      </c>
      <c r="EW61" s="1194"/>
      <c r="EX61" s="1195">
        <v>0</v>
      </c>
      <c r="EY61" s="1194"/>
      <c r="EZ61" s="1195">
        <v>0</v>
      </c>
      <c r="FA61" s="1194"/>
      <c r="FB61" s="1195">
        <v>0</v>
      </c>
      <c r="FC61" s="1194"/>
      <c r="FD61" s="1195">
        <v>0</v>
      </c>
      <c r="FE61" s="1194"/>
      <c r="FF61" s="1195">
        <v>0</v>
      </c>
      <c r="FG61" s="1194"/>
      <c r="FH61" s="1196">
        <v>0</v>
      </c>
      <c r="FI61" s="560"/>
      <c r="FJ61" s="1189" t="s">
        <v>666</v>
      </c>
      <c r="FK61" s="1190"/>
      <c r="FL61" s="1190"/>
      <c r="FM61" s="1190"/>
      <c r="FN61" s="1190"/>
      <c r="FO61" s="1190"/>
      <c r="FP61" s="1197"/>
      <c r="FQ61" s="1198"/>
      <c r="FR61" s="1199">
        <v>3246</v>
      </c>
      <c r="FS61" s="1200"/>
      <c r="FT61" s="1198"/>
      <c r="FU61" s="1201">
        <v>3118</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337</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338</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337</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337</v>
      </c>
      <c r="FK63" s="1119"/>
      <c r="FL63" s="1119"/>
      <c r="FM63" s="1119"/>
      <c r="FN63" s="1119"/>
      <c r="FO63" s="1120"/>
      <c r="FP63" s="1125" t="s">
        <v>339</v>
      </c>
      <c r="FQ63" s="1126"/>
      <c r="FR63" s="1127"/>
      <c r="FS63" s="1128" t="s">
        <v>291</v>
      </c>
      <c r="FT63" s="1129"/>
      <c r="FU63" s="1130"/>
      <c r="FV63" s="1131" t="s">
        <v>331</v>
      </c>
      <c r="FW63" s="1132"/>
      <c r="FX63" s="1133" t="s">
        <v>332</v>
      </c>
      <c r="FY63" s="1134"/>
      <c r="FZ63" s="1135" t="s">
        <v>333</v>
      </c>
      <c r="GA63" s="1136"/>
      <c r="GB63" s="1137" t="s">
        <v>334</v>
      </c>
      <c r="GC63" s="1122"/>
      <c r="GD63" s="1137" t="s">
        <v>335</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340</v>
      </c>
      <c r="I64" s="1144"/>
      <c r="J64" s="1143" t="s">
        <v>340</v>
      </c>
      <c r="K64" s="1144"/>
      <c r="L64" s="1143" t="s">
        <v>340</v>
      </c>
      <c r="M64" s="1144"/>
      <c r="N64" s="1143" t="s">
        <v>340</v>
      </c>
      <c r="O64" s="1144"/>
      <c r="P64" s="1143" t="s">
        <v>340</v>
      </c>
      <c r="Q64" s="1144"/>
      <c r="R64" s="1143" t="s">
        <v>340</v>
      </c>
      <c r="S64" s="1144"/>
      <c r="T64" s="1143" t="s">
        <v>340</v>
      </c>
      <c r="U64" s="1144"/>
      <c r="V64" s="1143" t="s">
        <v>340</v>
      </c>
      <c r="W64" s="1144"/>
      <c r="X64" s="1143" t="s">
        <v>340</v>
      </c>
      <c r="Y64" s="1144"/>
      <c r="Z64" s="1143" t="s">
        <v>340</v>
      </c>
      <c r="AA64" s="1144"/>
      <c r="AB64" s="1143" t="s">
        <v>340</v>
      </c>
      <c r="AC64" s="1144"/>
      <c r="AD64" s="1143" t="s">
        <v>340</v>
      </c>
      <c r="AE64" s="1144"/>
      <c r="AF64" s="1143" t="s">
        <v>340</v>
      </c>
      <c r="AG64" s="1144"/>
      <c r="AH64" s="1143" t="s">
        <v>340</v>
      </c>
      <c r="AI64" s="1144"/>
      <c r="AJ64" s="1143" t="s">
        <v>340</v>
      </c>
      <c r="AK64" s="1144"/>
      <c r="AL64" s="1143" t="s">
        <v>340</v>
      </c>
      <c r="AM64" s="1144"/>
      <c r="AN64" s="1143" t="s">
        <v>340</v>
      </c>
      <c r="AO64" s="1144"/>
      <c r="AP64" s="1143" t="s">
        <v>340</v>
      </c>
      <c r="AQ64" s="1144"/>
      <c r="AR64" s="1143" t="s">
        <v>340</v>
      </c>
      <c r="AS64" s="1144"/>
      <c r="AT64" s="1143" t="s">
        <v>340</v>
      </c>
      <c r="AU64" s="1144"/>
      <c r="AV64" s="1143" t="s">
        <v>340</v>
      </c>
      <c r="AW64" s="1144"/>
      <c r="AX64" s="1143" t="s">
        <v>340</v>
      </c>
      <c r="AY64" s="1144"/>
      <c r="AZ64" s="1143" t="s">
        <v>340</v>
      </c>
      <c r="BA64" s="1144"/>
      <c r="BB64" s="1146" t="s">
        <v>340</v>
      </c>
      <c r="BC64" s="1041"/>
      <c r="BD64" s="1210"/>
      <c r="BE64" s="1211"/>
      <c r="BF64" s="1211"/>
      <c r="BG64" s="1211"/>
      <c r="BH64" s="1140"/>
      <c r="BI64" s="1141"/>
      <c r="BJ64" s="1142"/>
      <c r="BK64" s="1143" t="s">
        <v>340</v>
      </c>
      <c r="BL64" s="1144"/>
      <c r="BM64" s="1143" t="s">
        <v>340</v>
      </c>
      <c r="BN64" s="1144"/>
      <c r="BO64" s="1143" t="s">
        <v>340</v>
      </c>
      <c r="BP64" s="1144"/>
      <c r="BQ64" s="1143" t="s">
        <v>340</v>
      </c>
      <c r="BR64" s="1144"/>
      <c r="BS64" s="1143" t="s">
        <v>340</v>
      </c>
      <c r="BT64" s="1144"/>
      <c r="BU64" s="1143" t="s">
        <v>340</v>
      </c>
      <c r="BV64" s="1144"/>
      <c r="BW64" s="1143" t="s">
        <v>340</v>
      </c>
      <c r="BX64" s="1144"/>
      <c r="BY64" s="1143" t="s">
        <v>340</v>
      </c>
      <c r="BZ64" s="1144"/>
      <c r="CA64" s="1143" t="s">
        <v>340</v>
      </c>
      <c r="CB64" s="1144"/>
      <c r="CC64" s="1143" t="s">
        <v>340</v>
      </c>
      <c r="CD64" s="1144"/>
      <c r="CE64" s="1143" t="s">
        <v>340</v>
      </c>
      <c r="CF64" s="1144"/>
      <c r="CG64" s="1143" t="s">
        <v>340</v>
      </c>
      <c r="CH64" s="1144"/>
      <c r="CI64" s="1143" t="s">
        <v>340</v>
      </c>
      <c r="CJ64" s="1144"/>
      <c r="CK64" s="1143" t="s">
        <v>340</v>
      </c>
      <c r="CL64" s="1144"/>
      <c r="CM64" s="1143" t="s">
        <v>340</v>
      </c>
      <c r="CN64" s="1144"/>
      <c r="CO64" s="1143" t="s">
        <v>340</v>
      </c>
      <c r="CP64" s="1144"/>
      <c r="CQ64" s="1143" t="s">
        <v>340</v>
      </c>
      <c r="CR64" s="1144"/>
      <c r="CS64" s="1143" t="s">
        <v>340</v>
      </c>
      <c r="CT64" s="1144"/>
      <c r="CU64" s="1143" t="s">
        <v>340</v>
      </c>
      <c r="CV64" s="1144"/>
      <c r="CW64" s="1143" t="s">
        <v>340</v>
      </c>
      <c r="CX64" s="1144"/>
      <c r="CY64" s="1143" t="s">
        <v>340</v>
      </c>
      <c r="CZ64" s="1144"/>
      <c r="DA64" s="1143" t="s">
        <v>340</v>
      </c>
      <c r="DB64" s="1144"/>
      <c r="DC64" s="1143" t="s">
        <v>340</v>
      </c>
      <c r="DD64" s="1144"/>
      <c r="DE64" s="1146" t="s">
        <v>340</v>
      </c>
      <c r="DF64" s="1041"/>
      <c r="DG64" s="1209"/>
      <c r="DH64" s="1140"/>
      <c r="DI64" s="1140"/>
      <c r="DJ64" s="1140"/>
      <c r="DK64" s="1140"/>
      <c r="DL64" s="1141"/>
      <c r="DM64" s="1142"/>
      <c r="DN64" s="1143" t="s">
        <v>340</v>
      </c>
      <c r="DO64" s="1144"/>
      <c r="DP64" s="1143" t="s">
        <v>340</v>
      </c>
      <c r="DQ64" s="1144"/>
      <c r="DR64" s="1143" t="s">
        <v>340</v>
      </c>
      <c r="DS64" s="1144"/>
      <c r="DT64" s="1143" t="s">
        <v>340</v>
      </c>
      <c r="DU64" s="1144"/>
      <c r="DV64" s="1143" t="s">
        <v>340</v>
      </c>
      <c r="DW64" s="1144"/>
      <c r="DX64" s="1143" t="s">
        <v>340</v>
      </c>
      <c r="DY64" s="1144"/>
      <c r="DZ64" s="1143" t="s">
        <v>340</v>
      </c>
      <c r="EA64" s="1144"/>
      <c r="EB64" s="1143" t="s">
        <v>340</v>
      </c>
      <c r="EC64" s="1144"/>
      <c r="ED64" s="1143" t="s">
        <v>340</v>
      </c>
      <c r="EE64" s="1144"/>
      <c r="EF64" s="1143" t="s">
        <v>340</v>
      </c>
      <c r="EG64" s="1144"/>
      <c r="EH64" s="1143" t="s">
        <v>340</v>
      </c>
      <c r="EI64" s="1144"/>
      <c r="EJ64" s="1143" t="s">
        <v>340</v>
      </c>
      <c r="EK64" s="1144"/>
      <c r="EL64" s="1143" t="s">
        <v>340</v>
      </c>
      <c r="EM64" s="1144"/>
      <c r="EN64" s="1143" t="s">
        <v>340</v>
      </c>
      <c r="EO64" s="1144"/>
      <c r="EP64" s="1143" t="s">
        <v>340</v>
      </c>
      <c r="EQ64" s="1144"/>
      <c r="ER64" s="1143" t="s">
        <v>340</v>
      </c>
      <c r="ES64" s="1144"/>
      <c r="ET64" s="1143" t="s">
        <v>340</v>
      </c>
      <c r="EU64" s="1144"/>
      <c r="EV64" s="1143" t="s">
        <v>340</v>
      </c>
      <c r="EW64" s="1144"/>
      <c r="EX64" s="1143" t="s">
        <v>340</v>
      </c>
      <c r="EY64" s="1144"/>
      <c r="EZ64" s="1143" t="s">
        <v>340</v>
      </c>
      <c r="FA64" s="1144"/>
      <c r="FB64" s="1143" t="s">
        <v>340</v>
      </c>
      <c r="FC64" s="1144"/>
      <c r="FD64" s="1143" t="s">
        <v>340</v>
      </c>
      <c r="FE64" s="1144"/>
      <c r="FF64" s="1143" t="s">
        <v>340</v>
      </c>
      <c r="FG64" s="1144"/>
      <c r="FH64" s="1146" t="s">
        <v>340</v>
      </c>
      <c r="FI64" s="1041"/>
      <c r="FJ64" s="1209"/>
      <c r="FK64" s="1140"/>
      <c r="FL64" s="1140"/>
      <c r="FM64" s="1140"/>
      <c r="FN64" s="1140"/>
      <c r="FO64" s="1141"/>
      <c r="FP64" s="1147" t="s">
        <v>46</v>
      </c>
      <c r="FQ64" s="1145" t="s">
        <v>341</v>
      </c>
      <c r="FR64" s="1143" t="s">
        <v>340</v>
      </c>
      <c r="FS64" s="1148" t="s">
        <v>46</v>
      </c>
      <c r="FT64" s="1145" t="s">
        <v>341</v>
      </c>
      <c r="FU64" s="1149" t="s">
        <v>340</v>
      </c>
      <c r="FV64" s="1150" t="s">
        <v>46</v>
      </c>
      <c r="FW64" s="1143" t="s">
        <v>340</v>
      </c>
      <c r="FX64" s="1148" t="s">
        <v>46</v>
      </c>
      <c r="FY64" s="1143" t="s">
        <v>340</v>
      </c>
      <c r="FZ64" s="1148" t="s">
        <v>46</v>
      </c>
      <c r="GA64" s="1143" t="s">
        <v>340</v>
      </c>
      <c r="GB64" s="1148" t="s">
        <v>46</v>
      </c>
      <c r="GC64" s="1143" t="s">
        <v>340</v>
      </c>
      <c r="GD64" s="1148" t="s">
        <v>46</v>
      </c>
      <c r="GE64" s="1146" t="s">
        <v>340</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667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683</v>
      </c>
      <c r="Y65" s="1218"/>
      <c r="Z65" s="1217">
        <v>683</v>
      </c>
      <c r="AA65" s="1218"/>
      <c r="AB65" s="1217">
        <v>683</v>
      </c>
      <c r="AC65" s="1218"/>
      <c r="AD65" s="1217">
        <v>683</v>
      </c>
      <c r="AE65" s="1218"/>
      <c r="AF65" s="1217">
        <v>683</v>
      </c>
      <c r="AG65" s="1218"/>
      <c r="AH65" s="1217">
        <v>683</v>
      </c>
      <c r="AI65" s="1218"/>
      <c r="AJ65" s="1217">
        <v>683</v>
      </c>
      <c r="AK65" s="1218"/>
      <c r="AL65" s="1217">
        <v>683</v>
      </c>
      <c r="AM65" s="1218"/>
      <c r="AN65" s="1217">
        <v>683</v>
      </c>
      <c r="AO65" s="1218"/>
      <c r="AP65" s="1217">
        <v>683</v>
      </c>
      <c r="AQ65" s="1218"/>
      <c r="AR65" s="1217"/>
      <c r="AS65" s="1218"/>
      <c r="AT65" s="1217"/>
      <c r="AU65" s="1218"/>
      <c r="AV65" s="1217"/>
      <c r="AW65" s="1218"/>
      <c r="AX65" s="1217"/>
      <c r="AY65" s="1218"/>
      <c r="AZ65" s="1217"/>
      <c r="BA65" s="1218"/>
      <c r="BB65" s="558"/>
      <c r="BC65" s="560"/>
      <c r="BD65" s="1151" t="s">
        <v>668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683</v>
      </c>
      <c r="CB65" s="1218"/>
      <c r="CC65" s="1217">
        <v>683</v>
      </c>
      <c r="CD65" s="1218"/>
      <c r="CE65" s="1217">
        <v>683</v>
      </c>
      <c r="CF65" s="1218"/>
      <c r="CG65" s="1217">
        <v>683</v>
      </c>
      <c r="CH65" s="1218"/>
      <c r="CI65" s="1217">
        <v>683</v>
      </c>
      <c r="CJ65" s="1218"/>
      <c r="CK65" s="1217">
        <v>683</v>
      </c>
      <c r="CL65" s="1218"/>
      <c r="CM65" s="1217">
        <v>683</v>
      </c>
      <c r="CN65" s="1218"/>
      <c r="CO65" s="1217">
        <v>683</v>
      </c>
      <c r="CP65" s="1218"/>
      <c r="CQ65" s="1217">
        <v>683</v>
      </c>
      <c r="CR65" s="1218"/>
      <c r="CS65" s="1217">
        <v>683</v>
      </c>
      <c r="CT65" s="1218"/>
      <c r="CU65" s="1217"/>
      <c r="CV65" s="1218"/>
      <c r="CW65" s="1217"/>
      <c r="CX65" s="1218"/>
      <c r="CY65" s="1217"/>
      <c r="CZ65" s="1218"/>
      <c r="DA65" s="1217"/>
      <c r="DB65" s="1218"/>
      <c r="DC65" s="1217"/>
      <c r="DD65" s="1218"/>
      <c r="DE65" s="558"/>
      <c r="DF65" s="559"/>
      <c r="DG65" s="1151" t="s">
        <v>668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683</v>
      </c>
      <c r="EE65" s="1218"/>
      <c r="EF65" s="1217">
        <v>683</v>
      </c>
      <c r="EG65" s="1218"/>
      <c r="EH65" s="1217">
        <v>683</v>
      </c>
      <c r="EI65" s="1218"/>
      <c r="EJ65" s="1217">
        <v>683</v>
      </c>
      <c r="EK65" s="1218"/>
      <c r="EL65" s="1217">
        <v>683</v>
      </c>
      <c r="EM65" s="1218"/>
      <c r="EN65" s="1217">
        <v>683</v>
      </c>
      <c r="EO65" s="1218"/>
      <c r="EP65" s="1217">
        <v>683</v>
      </c>
      <c r="EQ65" s="1218"/>
      <c r="ER65" s="1217">
        <v>683</v>
      </c>
      <c r="ES65" s="1218"/>
      <c r="ET65" s="1217">
        <v>683</v>
      </c>
      <c r="EU65" s="1218"/>
      <c r="EV65" s="1217">
        <v>683</v>
      </c>
      <c r="EW65" s="1218"/>
      <c r="EX65" s="1217"/>
      <c r="EY65" s="1218"/>
      <c r="EZ65" s="1217"/>
      <c r="FA65" s="1218"/>
      <c r="FB65" s="1217"/>
      <c r="FC65" s="1218"/>
      <c r="FD65" s="1217"/>
      <c r="FE65" s="1218"/>
      <c r="FF65" s="1217"/>
      <c r="FG65" s="1218"/>
      <c r="FH65" s="558"/>
      <c r="FI65" s="560"/>
      <c r="FJ65" s="1151" t="s">
        <v>668</v>
      </c>
      <c r="FK65" s="1152"/>
      <c r="FL65" s="1219"/>
      <c r="FM65" s="1219"/>
      <c r="FN65" s="1219"/>
      <c r="FO65" s="1214"/>
      <c r="FP65" s="1158"/>
      <c r="FQ65" s="1216"/>
      <c r="FR65" s="1156">
        <v>0</v>
      </c>
      <c r="FS65" s="1220"/>
      <c r="FT65" s="1216"/>
      <c r="FU65" s="1161">
        <v>0</v>
      </c>
      <c r="FV65" s="1220"/>
      <c r="FW65" s="1221">
        <v>683</v>
      </c>
      <c r="FX65" s="1160"/>
      <c r="FY65" s="1221">
        <v>683</v>
      </c>
      <c r="FZ65" s="1160"/>
      <c r="GA65" s="1221">
        <v>683</v>
      </c>
      <c r="GB65" s="1160"/>
      <c r="GC65" s="1221">
        <v>683</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669</v>
      </c>
      <c r="FK66" s="1190"/>
      <c r="FL66" s="1229"/>
      <c r="FM66" s="1230" t="s">
        <v>670</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342</v>
      </c>
      <c r="B68" s="1241"/>
      <c r="C68" s="1241"/>
      <c r="D68" s="1241"/>
      <c r="E68" s="814"/>
      <c r="F68" s="814"/>
      <c r="G68" s="1242" t="s">
        <v>347</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342</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342</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342</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277</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279</v>
      </c>
      <c r="AY1" s="376" t="s">
        <v>584</v>
      </c>
      <c r="AZ1" s="376"/>
      <c r="BA1" s="376"/>
      <c r="BB1" s="379"/>
      <c r="BC1" s="380"/>
      <c r="BD1" s="375" t="s">
        <v>277</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279</v>
      </c>
      <c r="DB1" s="376" t="str">
        <f>$AY1</f>
        <v>9時-18時</v>
      </c>
      <c r="DC1" s="378"/>
      <c r="DD1" s="376"/>
      <c r="DE1" s="379"/>
      <c r="DF1" s="380"/>
      <c r="DG1" s="375" t="s">
        <v>277</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279</v>
      </c>
      <c r="FE1" s="376" t="str">
        <f>$AY1</f>
        <v>9時-18時</v>
      </c>
      <c r="FF1" s="378"/>
      <c r="FG1" s="376"/>
      <c r="FH1" s="379"/>
      <c r="FI1" s="381"/>
      <c r="FJ1" s="375" t="s">
        <v>277</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432</v>
      </c>
      <c r="GZ1" s="376" t="s">
        <v>348</v>
      </c>
      <c r="HA1" s="376"/>
      <c r="HB1" s="379"/>
      <c r="HC1" s="1451" t="s">
        <v>433</v>
      </c>
      <c r="HD1" s="382"/>
      <c r="HE1" s="383"/>
      <c r="HF1" s="382"/>
      <c r="HG1" s="1449"/>
      <c r="HH1" s="384" t="s">
        <v>280</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587</v>
      </c>
      <c r="B3" s="395">
        <v>208</v>
      </c>
      <c r="C3" s="396" t="s">
        <v>573</v>
      </c>
      <c r="D3" s="397" t="s">
        <v>588</v>
      </c>
      <c r="E3" s="397"/>
      <c r="F3" s="397"/>
      <c r="G3" s="397"/>
      <c r="H3" s="397"/>
      <c r="I3" s="397"/>
      <c r="J3" s="398"/>
      <c r="K3" s="399" t="s">
        <v>589</v>
      </c>
      <c r="L3" s="400"/>
      <c r="M3" s="399" t="s">
        <v>360</v>
      </c>
      <c r="N3" s="400"/>
      <c r="O3" s="401" t="s">
        <v>699</v>
      </c>
      <c r="P3" s="402"/>
      <c r="Q3" s="402"/>
      <c r="R3" s="402"/>
      <c r="S3" s="402"/>
      <c r="T3" s="402"/>
      <c r="U3" s="402"/>
      <c r="V3" s="403"/>
      <c r="W3" s="404" t="s">
        <v>361</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362</v>
      </c>
      <c r="BE3" s="395">
        <v>208</v>
      </c>
      <c r="BF3" s="396" t="s">
        <v>356</v>
      </c>
      <c r="BG3" s="408" t="s">
        <v>583</v>
      </c>
      <c r="BH3" s="408"/>
      <c r="BI3" s="408"/>
      <c r="BJ3" s="408"/>
      <c r="BK3" s="408"/>
      <c r="BL3" s="408"/>
      <c r="BM3" s="409"/>
      <c r="BN3" s="399" t="s">
        <v>359</v>
      </c>
      <c r="BO3" s="400"/>
      <c r="BP3" s="399" t="s">
        <v>360</v>
      </c>
      <c r="BQ3" s="400"/>
      <c r="BR3" s="401" t="s">
        <v>647</v>
      </c>
      <c r="BS3" s="402"/>
      <c r="BT3" s="402"/>
      <c r="BU3" s="402"/>
      <c r="BV3" s="402"/>
      <c r="BW3" s="402"/>
      <c r="BX3" s="402"/>
      <c r="BY3" s="403"/>
      <c r="BZ3" s="404" t="s">
        <v>361</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362</v>
      </c>
      <c r="DH3" s="395">
        <v>208</v>
      </c>
      <c r="DI3" s="396" t="s">
        <v>356</v>
      </c>
      <c r="DJ3" s="408" t="s">
        <v>583</v>
      </c>
      <c r="DK3" s="408"/>
      <c r="DL3" s="408"/>
      <c r="DM3" s="408"/>
      <c r="DN3" s="408"/>
      <c r="DO3" s="408"/>
      <c r="DP3" s="409"/>
      <c r="DQ3" s="399" t="s">
        <v>359</v>
      </c>
      <c r="DR3" s="400"/>
      <c r="DS3" s="399" t="s">
        <v>360</v>
      </c>
      <c r="DT3" s="400"/>
      <c r="DU3" s="401" t="s">
        <v>647</v>
      </c>
      <c r="DV3" s="402"/>
      <c r="DW3" s="402"/>
      <c r="DX3" s="402"/>
      <c r="DY3" s="402"/>
      <c r="DZ3" s="402"/>
      <c r="EA3" s="402"/>
      <c r="EB3" s="403"/>
      <c r="EC3" s="404" t="s">
        <v>361</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362</v>
      </c>
      <c r="FK3" s="395">
        <v>208</v>
      </c>
      <c r="FL3" s="396" t="s">
        <v>356</v>
      </c>
      <c r="FM3" s="408" t="s">
        <v>583</v>
      </c>
      <c r="FN3" s="408"/>
      <c r="FO3" s="408"/>
      <c r="FP3" s="408"/>
      <c r="FQ3" s="408"/>
      <c r="FR3" s="408"/>
      <c r="FS3" s="409"/>
      <c r="FT3" s="399" t="s">
        <v>359</v>
      </c>
      <c r="FU3" s="400"/>
      <c r="FV3" s="399" t="s">
        <v>360</v>
      </c>
      <c r="FW3" s="400"/>
      <c r="FX3" s="401" t="s">
        <v>704</v>
      </c>
      <c r="FY3" s="402"/>
      <c r="FZ3" s="402"/>
      <c r="GA3" s="402"/>
      <c r="GB3" s="402"/>
      <c r="GC3" s="402"/>
      <c r="GD3" s="402"/>
      <c r="GE3" s="403"/>
      <c r="GF3" s="404" t="s">
        <v>361</v>
      </c>
      <c r="GG3" s="405"/>
      <c r="GH3" s="406"/>
      <c r="GI3" s="410"/>
      <c r="GJ3" s="411" t="s">
        <v>434</v>
      </c>
      <c r="GK3" s="412"/>
      <c r="GL3" s="412"/>
      <c r="GM3" s="412"/>
      <c r="GN3" s="412"/>
      <c r="GO3" s="412"/>
      <c r="GP3" s="412"/>
      <c r="GQ3" s="412"/>
      <c r="GR3" s="413"/>
      <c r="GS3" s="414"/>
      <c r="GT3" s="411" t="s">
        <v>435</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363</v>
      </c>
      <c r="P4" s="426"/>
      <c r="Q4" s="427" t="s">
        <v>364</v>
      </c>
      <c r="R4" s="426"/>
      <c r="S4" s="428" t="s">
        <v>365</v>
      </c>
      <c r="T4" s="429"/>
      <c r="U4" s="430" t="s">
        <v>366</v>
      </c>
      <c r="V4" s="431"/>
      <c r="W4" s="432" t="s">
        <v>367</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363</v>
      </c>
      <c r="BS4" s="426"/>
      <c r="BT4" s="427" t="s">
        <v>364</v>
      </c>
      <c r="BU4" s="426"/>
      <c r="BV4" s="428" t="s">
        <v>365</v>
      </c>
      <c r="BW4" s="429"/>
      <c r="BX4" s="430" t="s">
        <v>366</v>
      </c>
      <c r="BY4" s="431"/>
      <c r="BZ4" s="432" t="s">
        <v>367</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363</v>
      </c>
      <c r="DV4" s="426"/>
      <c r="DW4" s="427" t="s">
        <v>364</v>
      </c>
      <c r="DX4" s="426"/>
      <c r="DY4" s="428" t="s">
        <v>365</v>
      </c>
      <c r="DZ4" s="429"/>
      <c r="EA4" s="430" t="s">
        <v>366</v>
      </c>
      <c r="EB4" s="431"/>
      <c r="EC4" s="432" t="s">
        <v>367</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363</v>
      </c>
      <c r="FY4" s="426"/>
      <c r="FZ4" s="427" t="s">
        <v>364</v>
      </c>
      <c r="GA4" s="426"/>
      <c r="GB4" s="428" t="s">
        <v>365</v>
      </c>
      <c r="GC4" s="429"/>
      <c r="GD4" s="430" t="s">
        <v>366</v>
      </c>
      <c r="GE4" s="431"/>
      <c r="GF4" s="432" t="s">
        <v>344</v>
      </c>
      <c r="GG4" s="433"/>
      <c r="GH4" s="434"/>
      <c r="GI4" s="410"/>
      <c r="GJ4" s="437"/>
      <c r="GK4" s="437"/>
      <c r="GL4" s="437"/>
      <c r="GM4" s="437"/>
      <c r="GN4" s="437"/>
      <c r="GO4" s="437"/>
      <c r="GP4" s="437"/>
      <c r="GQ4" s="437"/>
      <c r="GR4" s="437"/>
      <c r="GS4" s="414"/>
      <c r="GT4" s="437"/>
      <c r="GU4" s="437"/>
      <c r="GV4" s="437"/>
      <c r="GW4" s="437"/>
      <c r="GX4" s="437"/>
      <c r="GY4" s="437"/>
      <c r="GZ4" s="437"/>
      <c r="HA4" s="437"/>
      <c r="HB4" s="437"/>
      <c r="HC4" s="1452"/>
      <c r="HD4" s="438"/>
      <c r="HE4" s="438"/>
      <c r="HF4" s="501"/>
      <c r="HG4" s="387"/>
      <c r="MO4" s="393" t="s">
        <v>344</v>
      </c>
    </row>
    <row r="5" spans="1:353" ht="24.95" customHeight="1" thickBot="1">
      <c r="A5" s="439" t="s">
        <v>369</v>
      </c>
      <c r="B5" s="440">
        <v>2</v>
      </c>
      <c r="C5" s="441" t="s">
        <v>370</v>
      </c>
      <c r="D5" s="442">
        <v>53.3</v>
      </c>
      <c r="E5" s="443" t="s">
        <v>371</v>
      </c>
      <c r="F5" s="444">
        <v>2.8</v>
      </c>
      <c r="G5" s="445" t="s">
        <v>373</v>
      </c>
      <c r="H5" s="446"/>
      <c r="I5" s="447">
        <v>149.29999999999998</v>
      </c>
      <c r="J5" s="448"/>
      <c r="K5" s="449">
        <v>110</v>
      </c>
      <c r="L5" s="450"/>
      <c r="M5" s="449">
        <v>50</v>
      </c>
      <c r="N5" s="450"/>
      <c r="O5" s="1445" t="s">
        <v>696</v>
      </c>
      <c r="P5" s="451"/>
      <c r="Q5" s="1446" t="s">
        <v>644</v>
      </c>
      <c r="R5" s="452"/>
      <c r="S5" s="1447" t="s">
        <v>697</v>
      </c>
      <c r="T5" s="453"/>
      <c r="U5" s="1448" t="s">
        <v>698</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369</v>
      </c>
      <c r="BE5" s="440">
        <v>2</v>
      </c>
      <c r="BF5" s="441" t="s">
        <v>281</v>
      </c>
      <c r="BG5" s="442">
        <v>53.3</v>
      </c>
      <c r="BH5" s="443" t="s">
        <v>371</v>
      </c>
      <c r="BI5" s="444">
        <v>2.8</v>
      </c>
      <c r="BJ5" s="445" t="s">
        <v>373</v>
      </c>
      <c r="BK5" s="446"/>
      <c r="BL5" s="447">
        <v>149.29999999999998</v>
      </c>
      <c r="BM5" s="448"/>
      <c r="BN5" s="449">
        <v>110</v>
      </c>
      <c r="BO5" s="450"/>
      <c r="BP5" s="449">
        <v>50</v>
      </c>
      <c r="BQ5" s="450"/>
      <c r="BR5" s="1445" t="s">
        <v>684</v>
      </c>
      <c r="BS5" s="451"/>
      <c r="BT5" s="1446" t="s">
        <v>644</v>
      </c>
      <c r="BU5" s="452"/>
      <c r="BV5" s="1447" t="s">
        <v>700</v>
      </c>
      <c r="BW5" s="453"/>
      <c r="BX5" s="1448" t="s">
        <v>646</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369</v>
      </c>
      <c r="DH5" s="440">
        <v>2</v>
      </c>
      <c r="DI5" s="441" t="s">
        <v>281</v>
      </c>
      <c r="DJ5" s="442">
        <v>53.3</v>
      </c>
      <c r="DK5" s="443" t="s">
        <v>371</v>
      </c>
      <c r="DL5" s="444">
        <v>2.8</v>
      </c>
      <c r="DM5" s="445" t="s">
        <v>373</v>
      </c>
      <c r="DN5" s="446"/>
      <c r="DO5" s="447">
        <v>149.29999999999998</v>
      </c>
      <c r="DP5" s="448"/>
      <c r="DQ5" s="449">
        <v>110</v>
      </c>
      <c r="DR5" s="450"/>
      <c r="DS5" s="449">
        <v>50</v>
      </c>
      <c r="DT5" s="450"/>
      <c r="DU5" s="1445" t="s">
        <v>696</v>
      </c>
      <c r="DV5" s="451"/>
      <c r="DW5" s="1446" t="s">
        <v>644</v>
      </c>
      <c r="DX5" s="452"/>
      <c r="DY5" s="1447" t="s">
        <v>700</v>
      </c>
      <c r="DZ5" s="453"/>
      <c r="EA5" s="1448" t="s">
        <v>646</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369</v>
      </c>
      <c r="FK5" s="440">
        <v>2</v>
      </c>
      <c r="FL5" s="441" t="s">
        <v>281</v>
      </c>
      <c r="FM5" s="442">
        <v>53.3</v>
      </c>
      <c r="FN5" s="443" t="s">
        <v>371</v>
      </c>
      <c r="FO5" s="444">
        <v>2.8</v>
      </c>
      <c r="FP5" s="445" t="s">
        <v>373</v>
      </c>
      <c r="FQ5" s="446"/>
      <c r="FR5" s="447">
        <v>149.29999999999998</v>
      </c>
      <c r="FS5" s="448"/>
      <c r="FT5" s="449">
        <v>110</v>
      </c>
      <c r="FU5" s="450"/>
      <c r="FV5" s="449">
        <v>50</v>
      </c>
      <c r="FW5" s="450"/>
      <c r="FX5" s="1445" t="s">
        <v>701</v>
      </c>
      <c r="FY5" s="451"/>
      <c r="FZ5" s="1446" t="s">
        <v>702</v>
      </c>
      <c r="GA5" s="452"/>
      <c r="GB5" s="1447" t="s">
        <v>703</v>
      </c>
      <c r="GC5" s="453"/>
      <c r="GD5" s="1448" t="s">
        <v>657</v>
      </c>
      <c r="GE5" s="454"/>
      <c r="GF5" s="455"/>
      <c r="GG5" s="456"/>
      <c r="GH5" s="457"/>
      <c r="GI5" s="459"/>
      <c r="GJ5" s="410"/>
      <c r="GK5" s="460" t="s">
        <v>436</v>
      </c>
      <c r="GL5" s="460"/>
      <c r="GM5" s="460"/>
      <c r="GN5" s="410" t="s">
        <v>437</v>
      </c>
      <c r="GO5" s="461"/>
      <c r="GP5" s="461"/>
      <c r="GQ5" s="461"/>
      <c r="GR5" s="410"/>
      <c r="GS5" s="410"/>
      <c r="GT5" s="414"/>
      <c r="GU5" s="460" t="s">
        <v>438</v>
      </c>
      <c r="GV5" s="460"/>
      <c r="GW5" s="460"/>
      <c r="GX5" s="410" t="s">
        <v>437</v>
      </c>
      <c r="GY5" s="461"/>
      <c r="GZ5" s="461"/>
      <c r="HA5" s="461"/>
      <c r="HB5" s="410"/>
      <c r="HC5" s="462"/>
      <c r="HD5" s="438"/>
      <c r="HE5" s="438"/>
      <c r="HF5" s="501"/>
      <c r="HG5" s="387"/>
    </row>
    <row r="6" spans="1:353" ht="20.100000000000001" customHeight="1" thickBot="1">
      <c r="A6" s="463" t="s">
        <v>374</v>
      </c>
      <c r="B6" s="464"/>
      <c r="C6" s="465" t="s">
        <v>375</v>
      </c>
      <c r="D6" s="465"/>
      <c r="E6" s="465"/>
      <c r="F6" s="466">
        <v>0</v>
      </c>
      <c r="G6" s="466"/>
      <c r="H6" s="465" t="s">
        <v>376</v>
      </c>
      <c r="I6" s="465"/>
      <c r="J6" s="465"/>
      <c r="K6" s="465"/>
      <c r="L6" s="465"/>
      <c r="M6" s="467">
        <v>0</v>
      </c>
      <c r="N6" s="467"/>
      <c r="O6" s="468"/>
      <c r="P6" s="469"/>
      <c r="Q6" s="469" t="s">
        <v>377</v>
      </c>
      <c r="R6" s="470">
        <v>0</v>
      </c>
      <c r="S6" s="470"/>
      <c r="T6" s="471"/>
      <c r="U6" s="472" t="s">
        <v>378</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380</v>
      </c>
      <c r="BC6" s="476"/>
      <c r="BD6" s="463" t="s">
        <v>374</v>
      </c>
      <c r="BE6" s="464"/>
      <c r="BF6" s="465" t="s">
        <v>375</v>
      </c>
      <c r="BG6" s="465"/>
      <c r="BH6" s="465"/>
      <c r="BI6" s="466">
        <v>0</v>
      </c>
      <c r="BJ6" s="466"/>
      <c r="BK6" s="465" t="s">
        <v>376</v>
      </c>
      <c r="BL6" s="465"/>
      <c r="BM6" s="465"/>
      <c r="BN6" s="465"/>
      <c r="BO6" s="465"/>
      <c r="BP6" s="467">
        <v>0</v>
      </c>
      <c r="BQ6" s="467"/>
      <c r="BR6" s="468"/>
      <c r="BS6" s="469"/>
      <c r="BT6" s="469" t="s">
        <v>282</v>
      </c>
      <c r="BU6" s="470">
        <v>0</v>
      </c>
      <c r="BV6" s="470"/>
      <c r="BW6" s="471"/>
      <c r="BX6" s="472" t="s">
        <v>283</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382</v>
      </c>
      <c r="DF6" s="478"/>
      <c r="DG6" s="463" t="s">
        <v>374</v>
      </c>
      <c r="DH6" s="464"/>
      <c r="DI6" s="465" t="s">
        <v>375</v>
      </c>
      <c r="DJ6" s="465"/>
      <c r="DK6" s="465"/>
      <c r="DL6" s="466">
        <v>0</v>
      </c>
      <c r="DM6" s="466"/>
      <c r="DN6" s="465" t="s">
        <v>376</v>
      </c>
      <c r="DO6" s="465"/>
      <c r="DP6" s="465"/>
      <c r="DQ6" s="465"/>
      <c r="DR6" s="465"/>
      <c r="DS6" s="467">
        <v>0</v>
      </c>
      <c r="DT6" s="467"/>
      <c r="DU6" s="468"/>
      <c r="DV6" s="469"/>
      <c r="DW6" s="469" t="s">
        <v>282</v>
      </c>
      <c r="DX6" s="470">
        <v>0</v>
      </c>
      <c r="DY6" s="470"/>
      <c r="DZ6" s="471"/>
      <c r="EA6" s="472" t="s">
        <v>283</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384</v>
      </c>
      <c r="FI6" s="478"/>
      <c r="FJ6" s="463" t="s">
        <v>385</v>
      </c>
      <c r="FK6" s="464"/>
      <c r="FL6" s="465" t="s">
        <v>375</v>
      </c>
      <c r="FM6" s="465"/>
      <c r="FN6" s="465"/>
      <c r="FO6" s="466">
        <v>0</v>
      </c>
      <c r="FP6" s="466"/>
      <c r="FQ6" s="465" t="s">
        <v>376</v>
      </c>
      <c r="FR6" s="465"/>
      <c r="FS6" s="465"/>
      <c r="FT6" s="465"/>
      <c r="FU6" s="465"/>
      <c r="FV6" s="467">
        <v>0</v>
      </c>
      <c r="FW6" s="467"/>
      <c r="FX6" s="468"/>
      <c r="FY6" s="469"/>
      <c r="FZ6" s="469" t="s">
        <v>386</v>
      </c>
      <c r="GA6" s="470">
        <v>0</v>
      </c>
      <c r="GB6" s="470"/>
      <c r="GC6" s="471"/>
      <c r="GD6" s="472" t="s">
        <v>387</v>
      </c>
      <c r="GE6" s="473">
        <v>0</v>
      </c>
      <c r="GF6" s="473"/>
      <c r="GG6" s="474"/>
      <c r="GH6" s="469"/>
      <c r="GI6" s="469"/>
      <c r="GJ6" s="480"/>
      <c r="GK6" s="481" t="s">
        <v>439</v>
      </c>
      <c r="GL6" s="481"/>
      <c r="GM6" s="481"/>
      <c r="GN6" s="482">
        <v>2</v>
      </c>
      <c r="GO6" s="483"/>
      <c r="GP6" s="483"/>
      <c r="GQ6" s="483"/>
      <c r="GR6" s="480"/>
      <c r="GS6" s="480"/>
      <c r="GT6" s="414"/>
      <c r="GU6" s="481" t="s">
        <v>440</v>
      </c>
      <c r="GV6" s="481"/>
      <c r="GW6" s="481"/>
      <c r="GX6" s="482">
        <v>2</v>
      </c>
      <c r="GY6" s="414"/>
      <c r="GZ6" s="414"/>
      <c r="HA6" s="483"/>
      <c r="HB6" s="483"/>
      <c r="HC6" s="484"/>
      <c r="HD6" s="438"/>
      <c r="HE6" s="438"/>
      <c r="HF6" s="501"/>
      <c r="HG6" s="387"/>
    </row>
    <row r="7" spans="1:353" ht="20.100000000000001" customHeight="1">
      <c r="A7" s="485" t="s">
        <v>284</v>
      </c>
      <c r="B7" s="486"/>
      <c r="C7" s="486"/>
      <c r="D7" s="486"/>
      <c r="E7" s="486"/>
      <c r="F7" s="487"/>
      <c r="G7" s="488" t="s">
        <v>285</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284</v>
      </c>
      <c r="BE7" s="486"/>
      <c r="BF7" s="486"/>
      <c r="BG7" s="486"/>
      <c r="BH7" s="486"/>
      <c r="BI7" s="487"/>
      <c r="BJ7" s="488" t="s">
        <v>286</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284</v>
      </c>
      <c r="DH7" s="486"/>
      <c r="DI7" s="486"/>
      <c r="DJ7" s="486"/>
      <c r="DK7" s="486"/>
      <c r="DL7" s="487"/>
      <c r="DM7" s="488" t="s">
        <v>287</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284</v>
      </c>
      <c r="FK7" s="486"/>
      <c r="FL7" s="486"/>
      <c r="FM7" s="486"/>
      <c r="FN7" s="486"/>
      <c r="FO7" s="487"/>
      <c r="FP7" s="491" t="s">
        <v>288</v>
      </c>
      <c r="FQ7" s="492"/>
      <c r="FR7" s="492"/>
      <c r="FS7" s="492"/>
      <c r="FT7" s="492"/>
      <c r="FU7" s="492"/>
      <c r="FV7" s="493" t="s">
        <v>289</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290</v>
      </c>
      <c r="FQ8" s="518"/>
      <c r="FR8" s="519"/>
      <c r="FS8" s="520" t="s">
        <v>291</v>
      </c>
      <c r="FT8" s="520"/>
      <c r="FU8" s="521"/>
      <c r="FV8" s="522"/>
      <c r="FW8" s="523"/>
      <c r="FX8" s="523"/>
      <c r="FY8" s="523"/>
      <c r="FZ8" s="523"/>
      <c r="GA8" s="523"/>
      <c r="GB8" s="523"/>
      <c r="GC8" s="523"/>
      <c r="GD8" s="523"/>
      <c r="GE8" s="524"/>
      <c r="GF8" s="496"/>
      <c r="GG8" s="480"/>
      <c r="GH8" s="480"/>
      <c r="GI8" s="480"/>
      <c r="GJ8" s="525" t="s">
        <v>416</v>
      </c>
      <c r="GK8" s="525"/>
      <c r="GL8" s="526"/>
      <c r="GM8" s="527"/>
      <c r="GN8" s="526"/>
      <c r="GO8" s="527"/>
      <c r="GP8" s="526"/>
      <c r="GQ8" s="526"/>
      <c r="GR8" s="526"/>
      <c r="GS8" s="526"/>
      <c r="GT8" s="525" t="s">
        <v>416</v>
      </c>
      <c r="GU8" s="525"/>
      <c r="GV8" s="414"/>
      <c r="GW8" s="480"/>
      <c r="GX8" s="483"/>
      <c r="GY8" s="480"/>
      <c r="GZ8" s="483"/>
      <c r="HA8" s="527"/>
      <c r="HB8" s="527"/>
      <c r="HC8" s="527"/>
      <c r="HD8" s="438"/>
      <c r="HE8" s="438"/>
      <c r="HF8" s="1450"/>
      <c r="HG8" s="1450"/>
    </row>
    <row r="9" spans="1:353" ht="22.5" customHeight="1">
      <c r="A9" s="529" t="s">
        <v>292</v>
      </c>
      <c r="B9" s="530" t="s">
        <v>293</v>
      </c>
      <c r="C9" s="531" t="s">
        <v>294</v>
      </c>
      <c r="D9" s="531" t="s">
        <v>574</v>
      </c>
      <c r="E9" s="532" t="s">
        <v>575</v>
      </c>
      <c r="F9" s="533" t="s">
        <v>297</v>
      </c>
      <c r="G9" s="534" t="s">
        <v>576</v>
      </c>
      <c r="H9" s="535" t="s">
        <v>577</v>
      </c>
      <c r="I9" s="536" t="s">
        <v>300</v>
      </c>
      <c r="J9" s="535" t="s">
        <v>577</v>
      </c>
      <c r="K9" s="536" t="s">
        <v>300</v>
      </c>
      <c r="L9" s="535" t="s">
        <v>577</v>
      </c>
      <c r="M9" s="536" t="s">
        <v>300</v>
      </c>
      <c r="N9" s="535" t="s">
        <v>577</v>
      </c>
      <c r="O9" s="536" t="s">
        <v>300</v>
      </c>
      <c r="P9" s="535" t="s">
        <v>577</v>
      </c>
      <c r="Q9" s="536" t="s">
        <v>300</v>
      </c>
      <c r="R9" s="535" t="s">
        <v>577</v>
      </c>
      <c r="S9" s="536" t="s">
        <v>300</v>
      </c>
      <c r="T9" s="535" t="s">
        <v>577</v>
      </c>
      <c r="U9" s="536" t="s">
        <v>300</v>
      </c>
      <c r="V9" s="535" t="s">
        <v>577</v>
      </c>
      <c r="W9" s="536" t="s">
        <v>300</v>
      </c>
      <c r="X9" s="535" t="s">
        <v>577</v>
      </c>
      <c r="Y9" s="536" t="s">
        <v>300</v>
      </c>
      <c r="Z9" s="535" t="s">
        <v>577</v>
      </c>
      <c r="AA9" s="536" t="s">
        <v>300</v>
      </c>
      <c r="AB9" s="535" t="s">
        <v>577</v>
      </c>
      <c r="AC9" s="536" t="s">
        <v>300</v>
      </c>
      <c r="AD9" s="535" t="s">
        <v>577</v>
      </c>
      <c r="AE9" s="536" t="s">
        <v>300</v>
      </c>
      <c r="AF9" s="535" t="s">
        <v>577</v>
      </c>
      <c r="AG9" s="536" t="s">
        <v>300</v>
      </c>
      <c r="AH9" s="535" t="s">
        <v>577</v>
      </c>
      <c r="AI9" s="536" t="s">
        <v>300</v>
      </c>
      <c r="AJ9" s="535" t="s">
        <v>577</v>
      </c>
      <c r="AK9" s="536" t="s">
        <v>300</v>
      </c>
      <c r="AL9" s="535" t="s">
        <v>577</v>
      </c>
      <c r="AM9" s="536" t="s">
        <v>300</v>
      </c>
      <c r="AN9" s="535" t="s">
        <v>577</v>
      </c>
      <c r="AO9" s="536" t="s">
        <v>300</v>
      </c>
      <c r="AP9" s="535" t="s">
        <v>577</v>
      </c>
      <c r="AQ9" s="536" t="s">
        <v>300</v>
      </c>
      <c r="AR9" s="535" t="s">
        <v>577</v>
      </c>
      <c r="AS9" s="536" t="s">
        <v>300</v>
      </c>
      <c r="AT9" s="535" t="s">
        <v>577</v>
      </c>
      <c r="AU9" s="536" t="s">
        <v>300</v>
      </c>
      <c r="AV9" s="535" t="s">
        <v>577</v>
      </c>
      <c r="AW9" s="536" t="s">
        <v>300</v>
      </c>
      <c r="AX9" s="535" t="s">
        <v>577</v>
      </c>
      <c r="AY9" s="536" t="s">
        <v>300</v>
      </c>
      <c r="AZ9" s="535" t="s">
        <v>577</v>
      </c>
      <c r="BA9" s="536" t="s">
        <v>300</v>
      </c>
      <c r="BB9" s="537" t="s">
        <v>301</v>
      </c>
      <c r="BC9" s="500"/>
      <c r="BD9" s="529" t="s">
        <v>292</v>
      </c>
      <c r="BE9" s="530" t="s">
        <v>293</v>
      </c>
      <c r="BF9" s="531" t="s">
        <v>294</v>
      </c>
      <c r="BG9" s="531" t="s">
        <v>574</v>
      </c>
      <c r="BH9" s="532" t="s">
        <v>575</v>
      </c>
      <c r="BI9" s="533" t="s">
        <v>297</v>
      </c>
      <c r="BJ9" s="534" t="s">
        <v>576</v>
      </c>
      <c r="BK9" s="535" t="s">
        <v>577</v>
      </c>
      <c r="BL9" s="536" t="s">
        <v>300</v>
      </c>
      <c r="BM9" s="535" t="s">
        <v>577</v>
      </c>
      <c r="BN9" s="536" t="s">
        <v>300</v>
      </c>
      <c r="BO9" s="535" t="s">
        <v>577</v>
      </c>
      <c r="BP9" s="536" t="s">
        <v>300</v>
      </c>
      <c r="BQ9" s="535" t="s">
        <v>577</v>
      </c>
      <c r="BR9" s="536" t="s">
        <v>300</v>
      </c>
      <c r="BS9" s="535" t="s">
        <v>577</v>
      </c>
      <c r="BT9" s="536" t="s">
        <v>300</v>
      </c>
      <c r="BU9" s="535" t="s">
        <v>577</v>
      </c>
      <c r="BV9" s="536" t="s">
        <v>300</v>
      </c>
      <c r="BW9" s="535" t="s">
        <v>577</v>
      </c>
      <c r="BX9" s="536" t="s">
        <v>300</v>
      </c>
      <c r="BY9" s="535" t="s">
        <v>577</v>
      </c>
      <c r="BZ9" s="536" t="s">
        <v>300</v>
      </c>
      <c r="CA9" s="535" t="s">
        <v>577</v>
      </c>
      <c r="CB9" s="536" t="s">
        <v>300</v>
      </c>
      <c r="CC9" s="535" t="s">
        <v>577</v>
      </c>
      <c r="CD9" s="536" t="s">
        <v>300</v>
      </c>
      <c r="CE9" s="535" t="s">
        <v>577</v>
      </c>
      <c r="CF9" s="536" t="s">
        <v>300</v>
      </c>
      <c r="CG9" s="535" t="s">
        <v>577</v>
      </c>
      <c r="CH9" s="536" t="s">
        <v>300</v>
      </c>
      <c r="CI9" s="535" t="s">
        <v>577</v>
      </c>
      <c r="CJ9" s="536" t="s">
        <v>300</v>
      </c>
      <c r="CK9" s="535" t="s">
        <v>577</v>
      </c>
      <c r="CL9" s="536" t="s">
        <v>300</v>
      </c>
      <c r="CM9" s="535" t="s">
        <v>577</v>
      </c>
      <c r="CN9" s="536" t="s">
        <v>300</v>
      </c>
      <c r="CO9" s="535" t="s">
        <v>577</v>
      </c>
      <c r="CP9" s="536" t="s">
        <v>300</v>
      </c>
      <c r="CQ9" s="535" t="s">
        <v>577</v>
      </c>
      <c r="CR9" s="536" t="s">
        <v>300</v>
      </c>
      <c r="CS9" s="535" t="s">
        <v>577</v>
      </c>
      <c r="CT9" s="536" t="s">
        <v>300</v>
      </c>
      <c r="CU9" s="535" t="s">
        <v>577</v>
      </c>
      <c r="CV9" s="536" t="s">
        <v>300</v>
      </c>
      <c r="CW9" s="535" t="s">
        <v>577</v>
      </c>
      <c r="CX9" s="536" t="s">
        <v>300</v>
      </c>
      <c r="CY9" s="535" t="s">
        <v>577</v>
      </c>
      <c r="CZ9" s="536" t="s">
        <v>300</v>
      </c>
      <c r="DA9" s="535" t="s">
        <v>577</v>
      </c>
      <c r="DB9" s="536" t="s">
        <v>300</v>
      </c>
      <c r="DC9" s="535" t="s">
        <v>577</v>
      </c>
      <c r="DD9" s="536" t="s">
        <v>300</v>
      </c>
      <c r="DE9" s="537" t="s">
        <v>301</v>
      </c>
      <c r="DF9" s="500"/>
      <c r="DG9" s="529" t="s">
        <v>292</v>
      </c>
      <c r="DH9" s="530" t="s">
        <v>293</v>
      </c>
      <c r="DI9" s="531" t="s">
        <v>294</v>
      </c>
      <c r="DJ9" s="531" t="s">
        <v>574</v>
      </c>
      <c r="DK9" s="532" t="s">
        <v>575</v>
      </c>
      <c r="DL9" s="533" t="s">
        <v>297</v>
      </c>
      <c r="DM9" s="534" t="s">
        <v>576</v>
      </c>
      <c r="DN9" s="535" t="s">
        <v>577</v>
      </c>
      <c r="DO9" s="536" t="s">
        <v>300</v>
      </c>
      <c r="DP9" s="535" t="s">
        <v>577</v>
      </c>
      <c r="DQ9" s="536" t="s">
        <v>300</v>
      </c>
      <c r="DR9" s="535" t="s">
        <v>577</v>
      </c>
      <c r="DS9" s="536" t="s">
        <v>300</v>
      </c>
      <c r="DT9" s="535" t="s">
        <v>577</v>
      </c>
      <c r="DU9" s="536" t="s">
        <v>300</v>
      </c>
      <c r="DV9" s="535" t="s">
        <v>577</v>
      </c>
      <c r="DW9" s="536" t="s">
        <v>300</v>
      </c>
      <c r="DX9" s="535" t="s">
        <v>577</v>
      </c>
      <c r="DY9" s="536" t="s">
        <v>300</v>
      </c>
      <c r="DZ9" s="535" t="s">
        <v>577</v>
      </c>
      <c r="EA9" s="536" t="s">
        <v>300</v>
      </c>
      <c r="EB9" s="535" t="s">
        <v>577</v>
      </c>
      <c r="EC9" s="536" t="s">
        <v>300</v>
      </c>
      <c r="ED9" s="535" t="s">
        <v>577</v>
      </c>
      <c r="EE9" s="536" t="s">
        <v>300</v>
      </c>
      <c r="EF9" s="535" t="s">
        <v>577</v>
      </c>
      <c r="EG9" s="536" t="s">
        <v>300</v>
      </c>
      <c r="EH9" s="535" t="s">
        <v>577</v>
      </c>
      <c r="EI9" s="536" t="s">
        <v>300</v>
      </c>
      <c r="EJ9" s="535" t="s">
        <v>577</v>
      </c>
      <c r="EK9" s="536" t="s">
        <v>300</v>
      </c>
      <c r="EL9" s="535" t="s">
        <v>577</v>
      </c>
      <c r="EM9" s="536" t="s">
        <v>300</v>
      </c>
      <c r="EN9" s="535" t="s">
        <v>577</v>
      </c>
      <c r="EO9" s="536" t="s">
        <v>300</v>
      </c>
      <c r="EP9" s="535" t="s">
        <v>577</v>
      </c>
      <c r="EQ9" s="536" t="s">
        <v>300</v>
      </c>
      <c r="ER9" s="535" t="s">
        <v>577</v>
      </c>
      <c r="ES9" s="536" t="s">
        <v>300</v>
      </c>
      <c r="ET9" s="535" t="s">
        <v>577</v>
      </c>
      <c r="EU9" s="536" t="s">
        <v>300</v>
      </c>
      <c r="EV9" s="535" t="s">
        <v>577</v>
      </c>
      <c r="EW9" s="536" t="s">
        <v>300</v>
      </c>
      <c r="EX9" s="535" t="s">
        <v>577</v>
      </c>
      <c r="EY9" s="536" t="s">
        <v>300</v>
      </c>
      <c r="EZ9" s="535" t="s">
        <v>577</v>
      </c>
      <c r="FA9" s="536" t="s">
        <v>300</v>
      </c>
      <c r="FB9" s="535" t="s">
        <v>577</v>
      </c>
      <c r="FC9" s="536" t="s">
        <v>300</v>
      </c>
      <c r="FD9" s="535" t="s">
        <v>577</v>
      </c>
      <c r="FE9" s="536" t="s">
        <v>300</v>
      </c>
      <c r="FF9" s="535" t="s">
        <v>577</v>
      </c>
      <c r="FG9" s="536" t="s">
        <v>300</v>
      </c>
      <c r="FH9" s="537" t="s">
        <v>301</v>
      </c>
      <c r="FI9" s="538"/>
      <c r="FJ9" s="539" t="s">
        <v>292</v>
      </c>
      <c r="FK9" s="530" t="s">
        <v>293</v>
      </c>
      <c r="FL9" s="531" t="s">
        <v>294</v>
      </c>
      <c r="FM9" s="531" t="s">
        <v>574</v>
      </c>
      <c r="FN9" s="532" t="s">
        <v>575</v>
      </c>
      <c r="FO9" s="533" t="s">
        <v>297</v>
      </c>
      <c r="FP9" s="540" t="s">
        <v>46</v>
      </c>
      <c r="FQ9" s="541" t="s">
        <v>300</v>
      </c>
      <c r="FR9" s="535" t="s">
        <v>301</v>
      </c>
      <c r="FS9" s="542" t="s">
        <v>46</v>
      </c>
      <c r="FT9" s="541" t="s">
        <v>300</v>
      </c>
      <c r="FU9" s="535" t="s">
        <v>301</v>
      </c>
      <c r="FV9" s="522"/>
      <c r="FW9" s="523"/>
      <c r="FX9" s="523"/>
      <c r="FY9" s="523"/>
      <c r="FZ9" s="523"/>
      <c r="GA9" s="523"/>
      <c r="GB9" s="523"/>
      <c r="GC9" s="523"/>
      <c r="GD9" s="543"/>
      <c r="GE9" s="544"/>
      <c r="GF9" s="496"/>
      <c r="GG9" s="545"/>
      <c r="GH9" s="545"/>
      <c r="GI9" s="545"/>
      <c r="GJ9" s="526"/>
      <c r="GK9" s="527" t="s">
        <v>441</v>
      </c>
      <c r="GL9" s="526"/>
      <c r="GM9" s="527"/>
      <c r="GN9" s="526"/>
      <c r="GO9" s="546">
        <v>0.92</v>
      </c>
      <c r="GP9" s="526"/>
      <c r="GQ9" s="526"/>
      <c r="GR9" s="526"/>
      <c r="GS9" s="526"/>
      <c r="GT9" s="547"/>
      <c r="GU9" s="480" t="s">
        <v>442</v>
      </c>
      <c r="GV9" s="414"/>
      <c r="GW9" s="480"/>
      <c r="GX9" s="548">
        <v>1</v>
      </c>
      <c r="GY9" s="480"/>
      <c r="GZ9" s="483"/>
      <c r="HA9" s="527"/>
      <c r="HB9" s="527"/>
      <c r="HC9" s="527"/>
      <c r="HD9" s="438"/>
      <c r="HE9" s="438"/>
      <c r="HF9" s="1454"/>
      <c r="HG9" s="1454"/>
    </row>
    <row r="10" spans="1:353" ht="20.100000000000001" customHeight="1">
      <c r="A10" s="549"/>
      <c r="B10" s="550" t="s">
        <v>232</v>
      </c>
      <c r="C10" s="551" t="s">
        <v>72</v>
      </c>
      <c r="D10" s="552">
        <f>ROUND(5.4*0.85,2)</f>
        <v>4.59</v>
      </c>
      <c r="E10" s="550" t="s">
        <v>346</v>
      </c>
      <c r="F10" s="551" t="s">
        <v>191</v>
      </c>
      <c r="G10" s="553">
        <v>0</v>
      </c>
      <c r="H10" s="554">
        <f>ROUND(ROUND(5.4*0.85,2)*0.49*0,0)</f>
        <v>0</v>
      </c>
      <c r="I10" s="555">
        <v>0</v>
      </c>
      <c r="J10" s="556">
        <f>ROUND(ROUND(5.4*0.85,2)*0.49*0,0)</f>
        <v>0</v>
      </c>
      <c r="K10" s="557">
        <v>0</v>
      </c>
      <c r="L10" s="556">
        <f>ROUND(ROUND(5.4*0.85,2)*0.49*0,0)</f>
        <v>0</v>
      </c>
      <c r="M10" s="557">
        <v>0</v>
      </c>
      <c r="N10" s="556">
        <f>ROUND(ROUND(5.4*0.85,2)*0.49*0,0)</f>
        <v>0</v>
      </c>
      <c r="O10" s="557">
        <v>0</v>
      </c>
      <c r="P10" s="556">
        <f>ROUND(ROUND(5.4*0.85,2)*0.49*0,0)</f>
        <v>0</v>
      </c>
      <c r="Q10" s="557">
        <v>0</v>
      </c>
      <c r="R10" s="556">
        <f>ROUND(ROUND(5.4*0.85,2)*0.49*0,0)</f>
        <v>0</v>
      </c>
      <c r="S10" s="557">
        <v>0</v>
      </c>
      <c r="T10" s="556">
        <f>ROUND(ROUND(5.4*0.85,2)*0.49*0,0)</f>
        <v>0</v>
      </c>
      <c r="U10" s="557">
        <v>0</v>
      </c>
      <c r="V10" s="556">
        <f>ROUND(ROUND(5.4*0.85,2)*0.49*0,0)</f>
        <v>0</v>
      </c>
      <c r="W10" s="557">
        <v>116</v>
      </c>
      <c r="X10" s="556">
        <f>ROUND(ROUND(5.4*0.85,2)*0.49*116,0)</f>
        <v>261</v>
      </c>
      <c r="Y10" s="557">
        <v>130</v>
      </c>
      <c r="Z10" s="556">
        <f>ROUND(ROUND(5.4*0.85,2)*0.49*130,0)</f>
        <v>292</v>
      </c>
      <c r="AA10" s="557">
        <v>135</v>
      </c>
      <c r="AB10" s="556">
        <f>ROUND(ROUND(5.4*0.85,2)*0.49*135,0)</f>
        <v>304</v>
      </c>
      <c r="AC10" s="557">
        <v>136</v>
      </c>
      <c r="AD10" s="556">
        <f>ROUND(ROUND(5.4*0.85,2)*0.49*136,0)</f>
        <v>306</v>
      </c>
      <c r="AE10" s="557">
        <v>134</v>
      </c>
      <c r="AF10" s="556">
        <f>ROUND(ROUND(5.4*0.85,2)*0.49*134,0)</f>
        <v>301</v>
      </c>
      <c r="AG10" s="557">
        <v>125</v>
      </c>
      <c r="AH10" s="556">
        <f>ROUND(ROUND(5.4*0.85,2)*0.49*125,0)</f>
        <v>281</v>
      </c>
      <c r="AI10" s="557">
        <v>107</v>
      </c>
      <c r="AJ10" s="556">
        <f>ROUND(ROUND(5.4*0.85,2)*0.49*107,0)</f>
        <v>241</v>
      </c>
      <c r="AK10" s="557">
        <v>80</v>
      </c>
      <c r="AL10" s="556">
        <f>ROUND(ROUND(5.4*0.85,2)*0.49*80,0)</f>
        <v>180</v>
      </c>
      <c r="AM10" s="557">
        <v>50</v>
      </c>
      <c r="AN10" s="556">
        <f>ROUND(ROUND(5.4*0.85,2)*0.49*50,0)</f>
        <v>112</v>
      </c>
      <c r="AO10" s="557">
        <v>14</v>
      </c>
      <c r="AP10" s="556">
        <f>ROUND(ROUND(5.4*0.85,2)*0.49*14,0)</f>
        <v>31</v>
      </c>
      <c r="AQ10" s="557">
        <v>0</v>
      </c>
      <c r="AR10" s="556">
        <f>ROUND(ROUND(5.4*0.85,2)*0.49*0,0)</f>
        <v>0</v>
      </c>
      <c r="AS10" s="557">
        <v>0</v>
      </c>
      <c r="AT10" s="556">
        <f>ROUND(ROUND(5.4*0.85,2)*0.49*0,0)</f>
        <v>0</v>
      </c>
      <c r="AU10" s="557">
        <v>0</v>
      </c>
      <c r="AV10" s="556">
        <f>ROUND(ROUND(5.4*0.85,2)*0.49*0,0)</f>
        <v>0</v>
      </c>
      <c r="AW10" s="557">
        <v>0</v>
      </c>
      <c r="AX10" s="556">
        <f>ROUND(ROUND(5.4*0.85,2)*0.49*0,0)</f>
        <v>0</v>
      </c>
      <c r="AY10" s="557">
        <v>0</v>
      </c>
      <c r="AZ10" s="556">
        <f>ROUND(ROUND(5.4*0.85,2)*0.49*0,0)</f>
        <v>0</v>
      </c>
      <c r="BA10" s="557">
        <v>0</v>
      </c>
      <c r="BB10" s="558">
        <f>ROUND(ROUND(5.4*0.85,2)*0.49*0,0)</f>
        <v>0</v>
      </c>
      <c r="BC10" s="559"/>
      <c r="BD10" s="549"/>
      <c r="BE10" s="550"/>
      <c r="BF10" s="551"/>
      <c r="BG10" s="552"/>
      <c r="BH10" s="550"/>
      <c r="BI10" s="551"/>
      <c r="BJ10" s="553">
        <v>0</v>
      </c>
      <c r="BK10" s="554">
        <f>ROUND(ROUND(5.4*0.85,2)*0.49*0,0)</f>
        <v>0</v>
      </c>
      <c r="BL10" s="555">
        <v>0</v>
      </c>
      <c r="BM10" s="556">
        <f>ROUND(ROUND(5.4*0.85,2)*0.49*0,0)</f>
        <v>0</v>
      </c>
      <c r="BN10" s="557">
        <v>0</v>
      </c>
      <c r="BO10" s="556">
        <f>ROUND(ROUND(5.4*0.85,2)*0.49*0,0)</f>
        <v>0</v>
      </c>
      <c r="BP10" s="557">
        <v>0</v>
      </c>
      <c r="BQ10" s="556">
        <f>ROUND(ROUND(5.4*0.85,2)*0.49*0,0)</f>
        <v>0</v>
      </c>
      <c r="BR10" s="557">
        <v>0</v>
      </c>
      <c r="BS10" s="556">
        <f>ROUND(ROUND(5.4*0.85,2)*0.49*0,0)</f>
        <v>0</v>
      </c>
      <c r="BT10" s="557">
        <v>0</v>
      </c>
      <c r="BU10" s="556">
        <f>ROUND(ROUND(5.4*0.85,2)*0.49*0,0)</f>
        <v>0</v>
      </c>
      <c r="BV10" s="557">
        <v>0</v>
      </c>
      <c r="BW10" s="556">
        <f>ROUND(ROUND(5.4*0.85,2)*0.49*0,0)</f>
        <v>0</v>
      </c>
      <c r="BX10" s="557">
        <v>0</v>
      </c>
      <c r="BY10" s="556">
        <f>ROUND(ROUND(5.4*0.85,2)*0.49*0,0)</f>
        <v>0</v>
      </c>
      <c r="BZ10" s="557">
        <v>103</v>
      </c>
      <c r="CA10" s="556">
        <f>ROUND(ROUND(5.4*0.85,2)*0.49*103,0)</f>
        <v>232</v>
      </c>
      <c r="CB10" s="557">
        <v>110</v>
      </c>
      <c r="CC10" s="556">
        <f>ROUND(ROUND(5.4*0.85,2)*0.49*110,0)</f>
        <v>247</v>
      </c>
      <c r="CD10" s="557">
        <v>111</v>
      </c>
      <c r="CE10" s="556">
        <f>ROUND(ROUND(5.4*0.85,2)*0.49*111,0)</f>
        <v>250</v>
      </c>
      <c r="CF10" s="557">
        <v>110</v>
      </c>
      <c r="CG10" s="556">
        <f>ROUND(ROUND(5.4*0.85,2)*0.49*110,0)</f>
        <v>247</v>
      </c>
      <c r="CH10" s="557">
        <v>112</v>
      </c>
      <c r="CI10" s="556">
        <f>ROUND(ROUND(5.4*0.85,2)*0.49*112,0)</f>
        <v>252</v>
      </c>
      <c r="CJ10" s="557">
        <v>109</v>
      </c>
      <c r="CK10" s="556">
        <f>ROUND(ROUND(5.4*0.85,2)*0.49*109,0)</f>
        <v>245</v>
      </c>
      <c r="CL10" s="557">
        <v>98</v>
      </c>
      <c r="CM10" s="556">
        <f>ROUND(ROUND(5.4*0.85,2)*0.49*98,0)</f>
        <v>220</v>
      </c>
      <c r="CN10" s="557">
        <v>76</v>
      </c>
      <c r="CO10" s="556">
        <f>ROUND(ROUND(5.4*0.85,2)*0.49*76,0)</f>
        <v>171</v>
      </c>
      <c r="CP10" s="557">
        <v>51</v>
      </c>
      <c r="CQ10" s="556">
        <f>ROUND(ROUND(5.4*0.85,2)*0.49*51,0)</f>
        <v>115</v>
      </c>
      <c r="CR10" s="557">
        <v>21</v>
      </c>
      <c r="CS10" s="556">
        <f>ROUND(ROUND(5.4*0.85,2)*0.49*21,0)</f>
        <v>47</v>
      </c>
      <c r="CT10" s="557">
        <v>0</v>
      </c>
      <c r="CU10" s="556">
        <f>ROUND(ROUND(5.4*0.85,2)*0.49*0,0)</f>
        <v>0</v>
      </c>
      <c r="CV10" s="557">
        <v>0</v>
      </c>
      <c r="CW10" s="556">
        <f>ROUND(ROUND(5.4*0.85,2)*0.49*0,0)</f>
        <v>0</v>
      </c>
      <c r="CX10" s="557">
        <v>0</v>
      </c>
      <c r="CY10" s="556">
        <f>ROUND(ROUND(5.4*0.85,2)*0.49*0,0)</f>
        <v>0</v>
      </c>
      <c r="CZ10" s="557">
        <v>0</v>
      </c>
      <c r="DA10" s="556">
        <f>ROUND(ROUND(5.4*0.85,2)*0.49*0,0)</f>
        <v>0</v>
      </c>
      <c r="DB10" s="557">
        <v>0</v>
      </c>
      <c r="DC10" s="556">
        <f>ROUND(ROUND(5.4*0.85,2)*0.49*0,0)</f>
        <v>0</v>
      </c>
      <c r="DD10" s="557">
        <v>0</v>
      </c>
      <c r="DE10" s="558">
        <f>ROUND(ROUND(5.4*0.85,2)*0.49*0,0)</f>
        <v>0</v>
      </c>
      <c r="DF10" s="559"/>
      <c r="DG10" s="549"/>
      <c r="DH10" s="550"/>
      <c r="DI10" s="551"/>
      <c r="DJ10" s="552"/>
      <c r="DK10" s="550"/>
      <c r="DL10" s="551"/>
      <c r="DM10" s="553">
        <v>0</v>
      </c>
      <c r="DN10" s="554">
        <f>ROUND(ROUND(5.4*0.85,2)*0.49*0,0)</f>
        <v>0</v>
      </c>
      <c r="DO10" s="555">
        <v>0</v>
      </c>
      <c r="DP10" s="556">
        <f>ROUND(ROUND(5.4*0.85,2)*0.49*0,0)</f>
        <v>0</v>
      </c>
      <c r="DQ10" s="557">
        <v>0</v>
      </c>
      <c r="DR10" s="556">
        <f>ROUND(ROUND(5.4*0.85,2)*0.49*0,0)</f>
        <v>0</v>
      </c>
      <c r="DS10" s="557">
        <v>0</v>
      </c>
      <c r="DT10" s="556">
        <f>ROUND(ROUND(5.4*0.85,2)*0.49*0,0)</f>
        <v>0</v>
      </c>
      <c r="DU10" s="557">
        <v>0</v>
      </c>
      <c r="DV10" s="556">
        <f>ROUND(ROUND(5.4*0.85,2)*0.49*0,0)</f>
        <v>0</v>
      </c>
      <c r="DW10" s="557">
        <v>0</v>
      </c>
      <c r="DX10" s="556">
        <f>ROUND(ROUND(5.4*0.85,2)*0.49*0,0)</f>
        <v>0</v>
      </c>
      <c r="DY10" s="557">
        <v>0</v>
      </c>
      <c r="DZ10" s="556">
        <f>ROUND(ROUND(5.4*0.85,2)*0.49*0,0)</f>
        <v>0</v>
      </c>
      <c r="EA10" s="557">
        <v>0</v>
      </c>
      <c r="EB10" s="556">
        <f>ROUND(ROUND(5.4*0.85,2)*0.49*0,0)</f>
        <v>0</v>
      </c>
      <c r="EC10" s="557">
        <v>149</v>
      </c>
      <c r="ED10" s="556">
        <f>ROUND(ROUND(5.4*0.85,2)*0.49*149,0)</f>
        <v>335</v>
      </c>
      <c r="EE10" s="557">
        <v>97</v>
      </c>
      <c r="EF10" s="556">
        <f>ROUND(ROUND(5.4*0.85,2)*0.49*97,0)</f>
        <v>218</v>
      </c>
      <c r="EG10" s="557">
        <v>101</v>
      </c>
      <c r="EH10" s="556">
        <f>ROUND(ROUND(5.4*0.85,2)*0.49*101,0)</f>
        <v>227</v>
      </c>
      <c r="EI10" s="557">
        <v>101</v>
      </c>
      <c r="EJ10" s="556">
        <f>ROUND(ROUND(5.4*0.85,2)*0.49*101,0)</f>
        <v>227</v>
      </c>
      <c r="EK10" s="557">
        <v>98</v>
      </c>
      <c r="EL10" s="556">
        <f>ROUND(ROUND(5.4*0.85,2)*0.49*98,0)</f>
        <v>220</v>
      </c>
      <c r="EM10" s="557">
        <v>91</v>
      </c>
      <c r="EN10" s="556">
        <f>ROUND(ROUND(5.4*0.85,2)*0.49*91,0)</f>
        <v>205</v>
      </c>
      <c r="EO10" s="557">
        <v>78</v>
      </c>
      <c r="EP10" s="556">
        <f>ROUND(ROUND(5.4*0.85,2)*0.49*78,0)</f>
        <v>175</v>
      </c>
      <c r="EQ10" s="557">
        <v>55</v>
      </c>
      <c r="ER10" s="556">
        <f>ROUND(ROUND(5.4*0.85,2)*0.49*55,0)</f>
        <v>124</v>
      </c>
      <c r="ES10" s="557">
        <v>24</v>
      </c>
      <c r="ET10" s="556">
        <f>ROUND(ROUND(5.4*0.85,2)*0.49*24,0)</f>
        <v>54</v>
      </c>
      <c r="EU10" s="557">
        <v>3</v>
      </c>
      <c r="EV10" s="556">
        <f>ROUND(ROUND(5.4*0.85,2)*0.49*3,0)</f>
        <v>7</v>
      </c>
      <c r="EW10" s="557">
        <v>0</v>
      </c>
      <c r="EX10" s="556">
        <f>ROUND(ROUND(5.4*0.85,2)*0.49*0,0)</f>
        <v>0</v>
      </c>
      <c r="EY10" s="557">
        <v>0</v>
      </c>
      <c r="EZ10" s="556">
        <f>ROUND(ROUND(5.4*0.85,2)*0.49*0,0)</f>
        <v>0</v>
      </c>
      <c r="FA10" s="557">
        <v>0</v>
      </c>
      <c r="FB10" s="556">
        <f>ROUND(ROUND(5.4*0.85,2)*0.49*0,0)</f>
        <v>0</v>
      </c>
      <c r="FC10" s="557">
        <v>0</v>
      </c>
      <c r="FD10" s="556">
        <f>ROUND(ROUND(5.4*0.85,2)*0.49*0,0)</f>
        <v>0</v>
      </c>
      <c r="FE10" s="557">
        <v>0</v>
      </c>
      <c r="FF10" s="556">
        <f>ROUND(ROUND(5.4*0.85,2)*0.49*0,0)</f>
        <v>0</v>
      </c>
      <c r="FG10" s="557">
        <v>0</v>
      </c>
      <c r="FH10" s="558">
        <f>ROUND(ROUND(5.4*0.85,2)*0.49*0,0)</f>
        <v>0</v>
      </c>
      <c r="FI10" s="560"/>
      <c r="FJ10" s="561"/>
      <c r="FK10" s="550"/>
      <c r="FL10" s="551"/>
      <c r="FM10" s="552"/>
      <c r="FN10" s="550"/>
      <c r="FO10" s="551"/>
      <c r="FP10" s="562"/>
      <c r="FQ10" s="555"/>
      <c r="FR10" s="554" t="s">
        <v>521</v>
      </c>
      <c r="FS10" s="563"/>
      <c r="FT10" s="555"/>
      <c r="FU10" s="564" t="s">
        <v>578</v>
      </c>
      <c r="FV10" s="565" t="s">
        <v>303</v>
      </c>
      <c r="FW10" s="1265"/>
      <c r="FX10" s="1266" t="s">
        <v>304</v>
      </c>
      <c r="FY10" s="1267"/>
      <c r="FZ10" s="1268" t="s">
        <v>305</v>
      </c>
      <c r="GA10" s="1269"/>
      <c r="GB10" s="1270" t="s">
        <v>585</v>
      </c>
      <c r="GC10" s="1271"/>
      <c r="GD10" s="573" t="s">
        <v>586</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54"/>
      <c r="HG10" s="1454"/>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578</v>
      </c>
      <c r="FS11" s="588"/>
      <c r="FT11" s="583"/>
      <c r="FU11" s="589" t="s">
        <v>578</v>
      </c>
      <c r="FV11" s="590"/>
      <c r="FW11" s="591"/>
      <c r="FX11" s="592"/>
      <c r="FY11" s="593"/>
      <c r="FZ11" s="594"/>
      <c r="GA11" s="595"/>
      <c r="GB11" s="596"/>
      <c r="GC11" s="597"/>
      <c r="GD11" s="596"/>
      <c r="GE11" s="598"/>
      <c r="GF11" s="496"/>
      <c r="GG11" s="599"/>
      <c r="GH11" s="599"/>
      <c r="GI11" s="599"/>
      <c r="GJ11" s="526"/>
      <c r="GK11" s="577" t="s">
        <v>443</v>
      </c>
      <c r="GL11" s="414"/>
      <c r="GM11" s="480"/>
      <c r="GN11" s="483"/>
      <c r="GO11" s="480"/>
      <c r="GP11" s="414"/>
      <c r="GQ11" s="526"/>
      <c r="GR11" s="526"/>
      <c r="GS11" s="526"/>
      <c r="GT11" s="545"/>
      <c r="GU11" s="577" t="s">
        <v>444</v>
      </c>
      <c r="GV11" s="414"/>
      <c r="GW11" s="480"/>
      <c r="GX11" s="483"/>
      <c r="GY11" s="480"/>
      <c r="GZ11" s="414"/>
      <c r="HA11" s="527"/>
      <c r="HB11" s="527"/>
      <c r="HC11" s="410"/>
      <c r="HD11" s="792"/>
      <c r="HE11" s="438"/>
      <c r="HF11" s="1454"/>
      <c r="HG11" s="1454"/>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578</v>
      </c>
      <c r="FS12" s="588"/>
      <c r="FT12" s="583"/>
      <c r="FU12" s="589" t="s">
        <v>578</v>
      </c>
      <c r="FV12" s="590"/>
      <c r="FW12" s="591"/>
      <c r="FX12" s="592"/>
      <c r="FY12" s="593"/>
      <c r="FZ12" s="594"/>
      <c r="GA12" s="595"/>
      <c r="GB12" s="596"/>
      <c r="GC12" s="597"/>
      <c r="GD12" s="596"/>
      <c r="GE12" s="598"/>
      <c r="GF12" s="496"/>
      <c r="GG12" s="599"/>
      <c r="GH12" s="599"/>
      <c r="GI12" s="599"/>
      <c r="GJ12" s="414"/>
      <c r="GK12" s="600" t="s">
        <v>362</v>
      </c>
      <c r="GL12" s="601"/>
      <c r="GM12" s="602" t="s">
        <v>445</v>
      </c>
      <c r="GN12" s="603" t="s">
        <v>446</v>
      </c>
      <c r="GO12" s="604" t="s">
        <v>447</v>
      </c>
      <c r="GP12" s="605" t="s">
        <v>448</v>
      </c>
      <c r="GQ12" s="604" t="s">
        <v>449</v>
      </c>
      <c r="GR12" s="604" t="s">
        <v>450</v>
      </c>
      <c r="GS12" s="606"/>
      <c r="GT12" s="545"/>
      <c r="GU12" s="600" t="s">
        <v>362</v>
      </c>
      <c r="GV12" s="601"/>
      <c r="GW12" s="602" t="s">
        <v>445</v>
      </c>
      <c r="GX12" s="607" t="s">
        <v>451</v>
      </c>
      <c r="GY12" s="608"/>
      <c r="GZ12" s="609" t="s">
        <v>447</v>
      </c>
      <c r="HA12" s="610" t="s">
        <v>452</v>
      </c>
      <c r="HB12" s="611"/>
      <c r="HC12" s="612"/>
      <c r="HD12" s="792"/>
      <c r="HE12" s="438"/>
      <c r="HF12" s="1454"/>
      <c r="HG12" s="1454"/>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521</v>
      </c>
      <c r="FS13" s="623"/>
      <c r="FT13" s="618"/>
      <c r="FU13" s="624" t="s">
        <v>521</v>
      </c>
      <c r="FV13" s="590"/>
      <c r="FW13" s="591"/>
      <c r="FX13" s="592"/>
      <c r="FY13" s="593"/>
      <c r="FZ13" s="594"/>
      <c r="GA13" s="595"/>
      <c r="GB13" s="596"/>
      <c r="GC13" s="597"/>
      <c r="GD13" s="596"/>
      <c r="GE13" s="598"/>
      <c r="GF13" s="496"/>
      <c r="GG13" s="599"/>
      <c r="GH13" s="599"/>
      <c r="GI13" s="599"/>
      <c r="GJ13" s="414"/>
      <c r="GK13" s="625">
        <v>208</v>
      </c>
      <c r="GL13" s="626"/>
      <c r="GM13" s="627" t="s">
        <v>591</v>
      </c>
      <c r="GN13" s="628">
        <v>5.4</v>
      </c>
      <c r="GO13" s="629">
        <v>1.8</v>
      </c>
      <c r="GP13" s="629">
        <v>1</v>
      </c>
      <c r="GQ13" s="630">
        <v>9.7200000000000006</v>
      </c>
      <c r="GR13" s="631">
        <v>5.4</v>
      </c>
      <c r="GS13" s="575"/>
      <c r="GT13" s="414"/>
      <c r="GU13" s="625">
        <v>208</v>
      </c>
      <c r="GV13" s="626"/>
      <c r="GW13" s="632" t="s">
        <v>592</v>
      </c>
      <c r="GX13" s="633">
        <v>5.4</v>
      </c>
      <c r="GY13" s="634"/>
      <c r="GZ13" s="635">
        <v>0.3</v>
      </c>
      <c r="HA13" s="636">
        <v>1.62</v>
      </c>
      <c r="HB13" s="637"/>
      <c r="HC13" s="527"/>
      <c r="HD13" s="792"/>
      <c r="HE13" s="438"/>
      <c r="HF13" s="387"/>
      <c r="HG13" s="387"/>
    </row>
    <row r="14" spans="1:353" ht="20.100000000000001" customHeight="1">
      <c r="A14" s="638"/>
      <c r="B14" s="639"/>
      <c r="C14" s="639"/>
      <c r="D14" s="640" t="s">
        <v>525</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261</v>
      </c>
      <c r="Y14" s="728"/>
      <c r="Z14" s="642">
        <f>SUM(Z10:Z13)</f>
        <v>292</v>
      </c>
      <c r="AA14" s="728"/>
      <c r="AB14" s="642">
        <f>SUM(AB10:AB13)</f>
        <v>304</v>
      </c>
      <c r="AC14" s="728"/>
      <c r="AD14" s="642">
        <f>SUM(AD10:AD13)</f>
        <v>306</v>
      </c>
      <c r="AE14" s="728"/>
      <c r="AF14" s="642">
        <f>SUM(AF10:AF13)</f>
        <v>301</v>
      </c>
      <c r="AG14" s="728"/>
      <c r="AH14" s="642">
        <f>SUM(AH10:AH13)</f>
        <v>281</v>
      </c>
      <c r="AI14" s="728"/>
      <c r="AJ14" s="642">
        <f>SUM(AJ10:AJ13)</f>
        <v>241</v>
      </c>
      <c r="AK14" s="728"/>
      <c r="AL14" s="642">
        <f>SUM(AL10:AL13)</f>
        <v>180</v>
      </c>
      <c r="AM14" s="728"/>
      <c r="AN14" s="642">
        <f>SUM(AN10:AN13)</f>
        <v>112</v>
      </c>
      <c r="AO14" s="728"/>
      <c r="AP14" s="642">
        <f>SUM(AP10:AP13)</f>
        <v>31</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525</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232</v>
      </c>
      <c r="CB14" s="728"/>
      <c r="CC14" s="642">
        <f>SUM(CC10:CC13)</f>
        <v>247</v>
      </c>
      <c r="CD14" s="728"/>
      <c r="CE14" s="642">
        <f>SUM(CE10:CE13)</f>
        <v>250</v>
      </c>
      <c r="CF14" s="728"/>
      <c r="CG14" s="642">
        <f>SUM(CG10:CG13)</f>
        <v>247</v>
      </c>
      <c r="CH14" s="728"/>
      <c r="CI14" s="642">
        <f>SUM(CI10:CI13)</f>
        <v>252</v>
      </c>
      <c r="CJ14" s="728"/>
      <c r="CK14" s="642">
        <f>SUM(CK10:CK13)</f>
        <v>245</v>
      </c>
      <c r="CL14" s="728"/>
      <c r="CM14" s="642">
        <f>SUM(CM10:CM13)</f>
        <v>220</v>
      </c>
      <c r="CN14" s="728"/>
      <c r="CO14" s="642">
        <f>SUM(CO10:CO13)</f>
        <v>171</v>
      </c>
      <c r="CP14" s="728"/>
      <c r="CQ14" s="642">
        <f>SUM(CQ10:CQ13)</f>
        <v>115</v>
      </c>
      <c r="CR14" s="728"/>
      <c r="CS14" s="642">
        <f>SUM(CS10:CS13)</f>
        <v>47</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526</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335</v>
      </c>
      <c r="EE14" s="728"/>
      <c r="EF14" s="642">
        <f>SUM(EF10:EF13)</f>
        <v>218</v>
      </c>
      <c r="EG14" s="728"/>
      <c r="EH14" s="642">
        <f>SUM(EH10:EH13)</f>
        <v>227</v>
      </c>
      <c r="EI14" s="728"/>
      <c r="EJ14" s="642">
        <f>SUM(EJ10:EJ13)</f>
        <v>227</v>
      </c>
      <c r="EK14" s="728"/>
      <c r="EL14" s="642">
        <f>SUM(EL10:EL13)</f>
        <v>220</v>
      </c>
      <c r="EM14" s="728"/>
      <c r="EN14" s="642">
        <f>SUM(EN10:EN13)</f>
        <v>205</v>
      </c>
      <c r="EO14" s="728"/>
      <c r="EP14" s="642">
        <f>SUM(EP10:EP13)</f>
        <v>175</v>
      </c>
      <c r="EQ14" s="728"/>
      <c r="ER14" s="642">
        <f>SUM(ER10:ER13)</f>
        <v>124</v>
      </c>
      <c r="ES14" s="728"/>
      <c r="ET14" s="642">
        <f>SUM(ET10:ET13)</f>
        <v>54</v>
      </c>
      <c r="EU14" s="728"/>
      <c r="EV14" s="642">
        <f>SUM(EV10:EV13)</f>
        <v>7</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525</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53"/>
      <c r="HE14" s="416"/>
      <c r="HF14" s="416"/>
      <c r="HG14" s="416"/>
    </row>
    <row r="15" spans="1:353" ht="24" customHeight="1">
      <c r="A15" s="529" t="s">
        <v>307</v>
      </c>
      <c r="B15" s="655" t="s">
        <v>293</v>
      </c>
      <c r="C15" s="656" t="s">
        <v>294</v>
      </c>
      <c r="D15" s="657" t="s">
        <v>574</v>
      </c>
      <c r="E15" s="657" t="s">
        <v>308</v>
      </c>
      <c r="F15" s="658" t="s">
        <v>112</v>
      </c>
      <c r="G15" s="659" t="s">
        <v>561</v>
      </c>
      <c r="H15" s="660" t="s">
        <v>532</v>
      </c>
      <c r="I15" s="661" t="s">
        <v>311</v>
      </c>
      <c r="J15" s="660" t="s">
        <v>529</v>
      </c>
      <c r="K15" s="661" t="s">
        <v>311</v>
      </c>
      <c r="L15" s="660" t="s">
        <v>529</v>
      </c>
      <c r="M15" s="661" t="s">
        <v>311</v>
      </c>
      <c r="N15" s="660" t="s">
        <v>529</v>
      </c>
      <c r="O15" s="661" t="s">
        <v>311</v>
      </c>
      <c r="P15" s="660" t="s">
        <v>579</v>
      </c>
      <c r="Q15" s="661" t="s">
        <v>311</v>
      </c>
      <c r="R15" s="660" t="s">
        <v>579</v>
      </c>
      <c r="S15" s="661" t="s">
        <v>311</v>
      </c>
      <c r="T15" s="660" t="s">
        <v>532</v>
      </c>
      <c r="U15" s="661" t="s">
        <v>311</v>
      </c>
      <c r="V15" s="660" t="s">
        <v>579</v>
      </c>
      <c r="W15" s="661" t="s">
        <v>311</v>
      </c>
      <c r="X15" s="660" t="s">
        <v>579</v>
      </c>
      <c r="Y15" s="661" t="s">
        <v>311</v>
      </c>
      <c r="Z15" s="660" t="s">
        <v>532</v>
      </c>
      <c r="AA15" s="661" t="s">
        <v>311</v>
      </c>
      <c r="AB15" s="660" t="s">
        <v>529</v>
      </c>
      <c r="AC15" s="661" t="s">
        <v>311</v>
      </c>
      <c r="AD15" s="660" t="s">
        <v>529</v>
      </c>
      <c r="AE15" s="661" t="s">
        <v>311</v>
      </c>
      <c r="AF15" s="660" t="s">
        <v>529</v>
      </c>
      <c r="AG15" s="661" t="s">
        <v>311</v>
      </c>
      <c r="AH15" s="660" t="s">
        <v>579</v>
      </c>
      <c r="AI15" s="661" t="s">
        <v>311</v>
      </c>
      <c r="AJ15" s="660" t="s">
        <v>530</v>
      </c>
      <c r="AK15" s="661" t="s">
        <v>311</v>
      </c>
      <c r="AL15" s="660" t="s">
        <v>532</v>
      </c>
      <c r="AM15" s="661" t="s">
        <v>311</v>
      </c>
      <c r="AN15" s="660" t="s">
        <v>532</v>
      </c>
      <c r="AO15" s="661" t="s">
        <v>311</v>
      </c>
      <c r="AP15" s="660" t="s">
        <v>532</v>
      </c>
      <c r="AQ15" s="661" t="s">
        <v>311</v>
      </c>
      <c r="AR15" s="660" t="s">
        <v>579</v>
      </c>
      <c r="AS15" s="661" t="s">
        <v>311</v>
      </c>
      <c r="AT15" s="660" t="s">
        <v>532</v>
      </c>
      <c r="AU15" s="661" t="s">
        <v>311</v>
      </c>
      <c r="AV15" s="660" t="s">
        <v>532</v>
      </c>
      <c r="AW15" s="661" t="s">
        <v>311</v>
      </c>
      <c r="AX15" s="660" t="s">
        <v>579</v>
      </c>
      <c r="AY15" s="661" t="s">
        <v>311</v>
      </c>
      <c r="AZ15" s="660" t="s">
        <v>529</v>
      </c>
      <c r="BA15" s="661" t="s">
        <v>311</v>
      </c>
      <c r="BB15" s="662" t="s">
        <v>313</v>
      </c>
      <c r="BC15" s="663"/>
      <c r="BD15" s="529" t="s">
        <v>307</v>
      </c>
      <c r="BE15" s="655" t="s">
        <v>293</v>
      </c>
      <c r="BF15" s="656" t="s">
        <v>294</v>
      </c>
      <c r="BG15" s="657" t="s">
        <v>527</v>
      </c>
      <c r="BH15" s="657" t="s">
        <v>308</v>
      </c>
      <c r="BI15" s="658" t="s">
        <v>112</v>
      </c>
      <c r="BJ15" s="659" t="s">
        <v>580</v>
      </c>
      <c r="BK15" s="660" t="s">
        <v>530</v>
      </c>
      <c r="BL15" s="661" t="s">
        <v>311</v>
      </c>
      <c r="BM15" s="660" t="s">
        <v>579</v>
      </c>
      <c r="BN15" s="661" t="s">
        <v>311</v>
      </c>
      <c r="BO15" s="660" t="s">
        <v>532</v>
      </c>
      <c r="BP15" s="661" t="s">
        <v>311</v>
      </c>
      <c r="BQ15" s="660" t="s">
        <v>532</v>
      </c>
      <c r="BR15" s="661" t="s">
        <v>311</v>
      </c>
      <c r="BS15" s="660" t="s">
        <v>579</v>
      </c>
      <c r="BT15" s="661" t="s">
        <v>311</v>
      </c>
      <c r="BU15" s="660" t="s">
        <v>579</v>
      </c>
      <c r="BV15" s="661" t="s">
        <v>311</v>
      </c>
      <c r="BW15" s="660" t="s">
        <v>530</v>
      </c>
      <c r="BX15" s="661" t="s">
        <v>311</v>
      </c>
      <c r="BY15" s="660" t="s">
        <v>579</v>
      </c>
      <c r="BZ15" s="661" t="s">
        <v>311</v>
      </c>
      <c r="CA15" s="660" t="s">
        <v>532</v>
      </c>
      <c r="CB15" s="661" t="s">
        <v>311</v>
      </c>
      <c r="CC15" s="660" t="s">
        <v>579</v>
      </c>
      <c r="CD15" s="661" t="s">
        <v>311</v>
      </c>
      <c r="CE15" s="660" t="s">
        <v>532</v>
      </c>
      <c r="CF15" s="661" t="s">
        <v>311</v>
      </c>
      <c r="CG15" s="660" t="s">
        <v>579</v>
      </c>
      <c r="CH15" s="661" t="s">
        <v>311</v>
      </c>
      <c r="CI15" s="660" t="s">
        <v>579</v>
      </c>
      <c r="CJ15" s="661" t="s">
        <v>311</v>
      </c>
      <c r="CK15" s="660" t="s">
        <v>532</v>
      </c>
      <c r="CL15" s="661" t="s">
        <v>311</v>
      </c>
      <c r="CM15" s="660" t="s">
        <v>530</v>
      </c>
      <c r="CN15" s="661" t="s">
        <v>311</v>
      </c>
      <c r="CO15" s="660" t="s">
        <v>579</v>
      </c>
      <c r="CP15" s="661" t="s">
        <v>311</v>
      </c>
      <c r="CQ15" s="660" t="s">
        <v>532</v>
      </c>
      <c r="CR15" s="661" t="s">
        <v>311</v>
      </c>
      <c r="CS15" s="660" t="s">
        <v>529</v>
      </c>
      <c r="CT15" s="661" t="s">
        <v>311</v>
      </c>
      <c r="CU15" s="660" t="s">
        <v>532</v>
      </c>
      <c r="CV15" s="661" t="s">
        <v>311</v>
      </c>
      <c r="CW15" s="660" t="s">
        <v>579</v>
      </c>
      <c r="CX15" s="661" t="s">
        <v>311</v>
      </c>
      <c r="CY15" s="660" t="s">
        <v>532</v>
      </c>
      <c r="CZ15" s="661" t="s">
        <v>311</v>
      </c>
      <c r="DA15" s="660" t="s">
        <v>579</v>
      </c>
      <c r="DB15" s="661" t="s">
        <v>311</v>
      </c>
      <c r="DC15" s="660" t="s">
        <v>532</v>
      </c>
      <c r="DD15" s="661" t="s">
        <v>311</v>
      </c>
      <c r="DE15" s="662" t="s">
        <v>313</v>
      </c>
      <c r="DF15" s="663"/>
      <c r="DG15" s="529" t="s">
        <v>307</v>
      </c>
      <c r="DH15" s="655" t="s">
        <v>293</v>
      </c>
      <c r="DI15" s="656" t="s">
        <v>294</v>
      </c>
      <c r="DJ15" s="657" t="s">
        <v>574</v>
      </c>
      <c r="DK15" s="657" t="s">
        <v>308</v>
      </c>
      <c r="DL15" s="658" t="s">
        <v>112</v>
      </c>
      <c r="DM15" s="659" t="s">
        <v>580</v>
      </c>
      <c r="DN15" s="660" t="s">
        <v>579</v>
      </c>
      <c r="DO15" s="661" t="s">
        <v>311</v>
      </c>
      <c r="DP15" s="660" t="s">
        <v>530</v>
      </c>
      <c r="DQ15" s="661" t="s">
        <v>311</v>
      </c>
      <c r="DR15" s="660" t="s">
        <v>530</v>
      </c>
      <c r="DS15" s="661" t="s">
        <v>311</v>
      </c>
      <c r="DT15" s="660" t="s">
        <v>579</v>
      </c>
      <c r="DU15" s="661" t="s">
        <v>311</v>
      </c>
      <c r="DV15" s="660" t="s">
        <v>579</v>
      </c>
      <c r="DW15" s="661" t="s">
        <v>311</v>
      </c>
      <c r="DX15" s="660" t="s">
        <v>532</v>
      </c>
      <c r="DY15" s="661" t="s">
        <v>311</v>
      </c>
      <c r="DZ15" s="660" t="s">
        <v>579</v>
      </c>
      <c r="EA15" s="661" t="s">
        <v>311</v>
      </c>
      <c r="EB15" s="660" t="s">
        <v>530</v>
      </c>
      <c r="EC15" s="661" t="s">
        <v>311</v>
      </c>
      <c r="ED15" s="660" t="s">
        <v>579</v>
      </c>
      <c r="EE15" s="661" t="s">
        <v>311</v>
      </c>
      <c r="EF15" s="660" t="s">
        <v>529</v>
      </c>
      <c r="EG15" s="661" t="s">
        <v>311</v>
      </c>
      <c r="EH15" s="660" t="s">
        <v>579</v>
      </c>
      <c r="EI15" s="661" t="s">
        <v>311</v>
      </c>
      <c r="EJ15" s="660" t="s">
        <v>530</v>
      </c>
      <c r="EK15" s="661" t="s">
        <v>311</v>
      </c>
      <c r="EL15" s="660" t="s">
        <v>579</v>
      </c>
      <c r="EM15" s="661" t="s">
        <v>311</v>
      </c>
      <c r="EN15" s="660" t="s">
        <v>532</v>
      </c>
      <c r="EO15" s="661" t="s">
        <v>311</v>
      </c>
      <c r="EP15" s="660" t="s">
        <v>530</v>
      </c>
      <c r="EQ15" s="661" t="s">
        <v>311</v>
      </c>
      <c r="ER15" s="660" t="s">
        <v>529</v>
      </c>
      <c r="ES15" s="661" t="s">
        <v>311</v>
      </c>
      <c r="ET15" s="660" t="s">
        <v>579</v>
      </c>
      <c r="EU15" s="661" t="s">
        <v>311</v>
      </c>
      <c r="EV15" s="660" t="s">
        <v>529</v>
      </c>
      <c r="EW15" s="661" t="s">
        <v>311</v>
      </c>
      <c r="EX15" s="660" t="s">
        <v>532</v>
      </c>
      <c r="EY15" s="661" t="s">
        <v>311</v>
      </c>
      <c r="EZ15" s="660" t="s">
        <v>579</v>
      </c>
      <c r="FA15" s="661" t="s">
        <v>311</v>
      </c>
      <c r="FB15" s="660" t="s">
        <v>530</v>
      </c>
      <c r="FC15" s="661" t="s">
        <v>311</v>
      </c>
      <c r="FD15" s="660" t="s">
        <v>530</v>
      </c>
      <c r="FE15" s="661" t="s">
        <v>311</v>
      </c>
      <c r="FF15" s="660" t="s">
        <v>579</v>
      </c>
      <c r="FG15" s="661" t="s">
        <v>311</v>
      </c>
      <c r="FH15" s="662" t="s">
        <v>313</v>
      </c>
      <c r="FI15" s="664"/>
      <c r="FJ15" s="539" t="s">
        <v>307</v>
      </c>
      <c r="FK15" s="655" t="s">
        <v>293</v>
      </c>
      <c r="FL15" s="656" t="s">
        <v>294</v>
      </c>
      <c r="FM15" s="657" t="s">
        <v>574</v>
      </c>
      <c r="FN15" s="657" t="s">
        <v>308</v>
      </c>
      <c r="FO15" s="658" t="s">
        <v>112</v>
      </c>
      <c r="FP15" s="665" t="s">
        <v>46</v>
      </c>
      <c r="FQ15" s="666" t="s">
        <v>311</v>
      </c>
      <c r="FR15" s="660" t="s">
        <v>313</v>
      </c>
      <c r="FS15" s="667" t="s">
        <v>46</v>
      </c>
      <c r="FT15" s="666" t="s">
        <v>311</v>
      </c>
      <c r="FU15" s="668" t="s">
        <v>313</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222</v>
      </c>
      <c r="C16" s="672" t="s">
        <v>70</v>
      </c>
      <c r="D16" s="552">
        <v>36.75</v>
      </c>
      <c r="E16" s="673">
        <v>0.6</v>
      </c>
      <c r="F16" s="674"/>
      <c r="G16" s="675">
        <v>0</v>
      </c>
      <c r="H16" s="556">
        <f>ROUND(36.75*0.6*0,0)</f>
        <v>0</v>
      </c>
      <c r="I16" s="676">
        <v>0</v>
      </c>
      <c r="J16" s="556">
        <f>ROUND(36.75*0.6*0,0)</f>
        <v>0</v>
      </c>
      <c r="K16" s="676">
        <v>0</v>
      </c>
      <c r="L16" s="556">
        <f>ROUND(36.75*0.6*0,0)</f>
        <v>0</v>
      </c>
      <c r="M16" s="676">
        <v>0</v>
      </c>
      <c r="N16" s="556">
        <f>ROUND(36.75*0.6*0,0)</f>
        <v>0</v>
      </c>
      <c r="O16" s="676">
        <v>0</v>
      </c>
      <c r="P16" s="556">
        <f>ROUND(36.75*0.6*0,0)</f>
        <v>0</v>
      </c>
      <c r="Q16" s="676">
        <v>0</v>
      </c>
      <c r="R16" s="556">
        <f>ROUND(36.75*0.6*0,0)</f>
        <v>0</v>
      </c>
      <c r="S16" s="676">
        <v>0</v>
      </c>
      <c r="T16" s="556">
        <f>ROUND(36.75*0.6*0,0)</f>
        <v>0</v>
      </c>
      <c r="U16" s="676">
        <v>0</v>
      </c>
      <c r="V16" s="556">
        <f>ROUND(36.75*0.6*0,0)</f>
        <v>0</v>
      </c>
      <c r="W16" s="676">
        <v>7.1</v>
      </c>
      <c r="X16" s="556">
        <f>ROUND(36.75*0.6*7.1,0)</f>
        <v>157</v>
      </c>
      <c r="Y16" s="676">
        <v>8.4</v>
      </c>
      <c r="Z16" s="556">
        <f>ROUND(36.75*0.6*8.4,0)</f>
        <v>185</v>
      </c>
      <c r="AA16" s="676">
        <v>9.6</v>
      </c>
      <c r="AB16" s="556">
        <f>ROUND(36.75*0.6*9.6,0)</f>
        <v>212</v>
      </c>
      <c r="AC16" s="676">
        <v>10.6</v>
      </c>
      <c r="AD16" s="556">
        <f>ROUND(36.75*0.6*10.6,0)</f>
        <v>234</v>
      </c>
      <c r="AE16" s="676">
        <v>11.4</v>
      </c>
      <c r="AF16" s="556">
        <f>ROUND(36.75*0.6*11.4,0)</f>
        <v>251</v>
      </c>
      <c r="AG16" s="676">
        <v>12</v>
      </c>
      <c r="AH16" s="556">
        <f>ROUND(36.75*0.6*12,0)</f>
        <v>265</v>
      </c>
      <c r="AI16" s="676">
        <v>12.1</v>
      </c>
      <c r="AJ16" s="556">
        <f>ROUND(36.75*0.6*12.1,0)</f>
        <v>267</v>
      </c>
      <c r="AK16" s="676">
        <v>11.8</v>
      </c>
      <c r="AL16" s="556">
        <f>ROUND(36.75*0.6*11.8,0)</f>
        <v>260</v>
      </c>
      <c r="AM16" s="676">
        <v>11.1</v>
      </c>
      <c r="AN16" s="556">
        <f>ROUND(36.75*0.6*11.1,0)</f>
        <v>245</v>
      </c>
      <c r="AO16" s="676">
        <v>9.8000000000000007</v>
      </c>
      <c r="AP16" s="556">
        <f>ROUND(36.75*0.6*9.8,0)</f>
        <v>216</v>
      </c>
      <c r="AQ16" s="676">
        <v>0</v>
      </c>
      <c r="AR16" s="556">
        <f>ROUND(36.75*0.6*0,0)</f>
        <v>0</v>
      </c>
      <c r="AS16" s="676">
        <v>0</v>
      </c>
      <c r="AT16" s="556">
        <f>ROUND(36.75*0.6*0,0)</f>
        <v>0</v>
      </c>
      <c r="AU16" s="676">
        <v>0</v>
      </c>
      <c r="AV16" s="556">
        <f>ROUND(36.75*0.6*0,0)</f>
        <v>0</v>
      </c>
      <c r="AW16" s="676">
        <v>0</v>
      </c>
      <c r="AX16" s="556">
        <f>ROUND(36.75*0.6*0,0)</f>
        <v>0</v>
      </c>
      <c r="AY16" s="676">
        <v>0</v>
      </c>
      <c r="AZ16" s="556">
        <f>ROUND(36.75*0.6*0,0)</f>
        <v>0</v>
      </c>
      <c r="BA16" s="676">
        <v>0</v>
      </c>
      <c r="BB16" s="677">
        <f>ROUND(36.75*0.6*0,0)</f>
        <v>0</v>
      </c>
      <c r="BC16" s="559"/>
      <c r="BD16" s="549"/>
      <c r="BE16" s="551" t="s">
        <v>222</v>
      </c>
      <c r="BF16" s="672" t="s">
        <v>70</v>
      </c>
      <c r="BG16" s="552">
        <v>36.75</v>
      </c>
      <c r="BH16" s="673">
        <v>0.6</v>
      </c>
      <c r="BI16" s="674"/>
      <c r="BJ16" s="675">
        <v>0</v>
      </c>
      <c r="BK16" s="556">
        <f>ROUND(36.75*0.6*0,0)</f>
        <v>0</v>
      </c>
      <c r="BL16" s="676">
        <v>0</v>
      </c>
      <c r="BM16" s="556">
        <f>ROUND(36.75*0.6*0,0)</f>
        <v>0</v>
      </c>
      <c r="BN16" s="676">
        <v>0</v>
      </c>
      <c r="BO16" s="556">
        <f>ROUND(36.75*0.6*0,0)</f>
        <v>0</v>
      </c>
      <c r="BP16" s="676">
        <v>0</v>
      </c>
      <c r="BQ16" s="556">
        <f>ROUND(36.75*0.6*0,0)</f>
        <v>0</v>
      </c>
      <c r="BR16" s="676">
        <v>0</v>
      </c>
      <c r="BS16" s="556">
        <f>ROUND(36.75*0.6*0,0)</f>
        <v>0</v>
      </c>
      <c r="BT16" s="676">
        <v>0</v>
      </c>
      <c r="BU16" s="556">
        <f>ROUND(36.75*0.6*0,0)</f>
        <v>0</v>
      </c>
      <c r="BV16" s="676">
        <v>0</v>
      </c>
      <c r="BW16" s="556">
        <f>ROUND(36.75*0.6*0,0)</f>
        <v>0</v>
      </c>
      <c r="BX16" s="676">
        <v>0</v>
      </c>
      <c r="BY16" s="556">
        <f>ROUND(36.75*0.6*0,0)</f>
        <v>0</v>
      </c>
      <c r="BZ16" s="676">
        <v>8.9</v>
      </c>
      <c r="CA16" s="556">
        <f>ROUND(36.75*0.6*8.9,0)</f>
        <v>196</v>
      </c>
      <c r="CB16" s="676">
        <v>9.6</v>
      </c>
      <c r="CC16" s="556">
        <f>ROUND(36.75*0.6*9.6,0)</f>
        <v>212</v>
      </c>
      <c r="CD16" s="676">
        <v>9.9</v>
      </c>
      <c r="CE16" s="556">
        <f>ROUND(36.75*0.6*9.9,0)</f>
        <v>218</v>
      </c>
      <c r="CF16" s="676">
        <v>10.4</v>
      </c>
      <c r="CG16" s="556">
        <f>ROUND(36.75*0.6*10.4,0)</f>
        <v>229</v>
      </c>
      <c r="CH16" s="676">
        <v>10.8</v>
      </c>
      <c r="CI16" s="556">
        <f>ROUND(36.75*0.6*10.8,0)</f>
        <v>238</v>
      </c>
      <c r="CJ16" s="676">
        <v>11.2</v>
      </c>
      <c r="CK16" s="556">
        <f>ROUND(36.75*0.6*11.2,0)</f>
        <v>247</v>
      </c>
      <c r="CL16" s="676">
        <v>11.2</v>
      </c>
      <c r="CM16" s="556">
        <f>ROUND(36.75*0.6*11.2,0)</f>
        <v>247</v>
      </c>
      <c r="CN16" s="676">
        <v>11</v>
      </c>
      <c r="CO16" s="556">
        <f>ROUND(36.75*0.6*11,0)</f>
        <v>243</v>
      </c>
      <c r="CP16" s="676">
        <v>10.3</v>
      </c>
      <c r="CQ16" s="556">
        <f>ROUND(36.75*0.6*10.3,0)</f>
        <v>227</v>
      </c>
      <c r="CR16" s="676">
        <v>9.4</v>
      </c>
      <c r="CS16" s="556">
        <f>ROUND(36.75*0.6*9.4,0)</f>
        <v>207</v>
      </c>
      <c r="CT16" s="676">
        <v>0</v>
      </c>
      <c r="CU16" s="556">
        <f>ROUND(36.75*0.6*0,0)</f>
        <v>0</v>
      </c>
      <c r="CV16" s="676">
        <v>0</v>
      </c>
      <c r="CW16" s="556">
        <f>ROUND(36.75*0.6*0,0)</f>
        <v>0</v>
      </c>
      <c r="CX16" s="676">
        <v>0</v>
      </c>
      <c r="CY16" s="556">
        <f>ROUND(36.75*0.6*0,0)</f>
        <v>0</v>
      </c>
      <c r="CZ16" s="676">
        <v>0</v>
      </c>
      <c r="DA16" s="556">
        <f>ROUND(36.75*0.6*0,0)</f>
        <v>0</v>
      </c>
      <c r="DB16" s="676">
        <v>0</v>
      </c>
      <c r="DC16" s="556">
        <f>ROUND(36.75*0.6*0,0)</f>
        <v>0</v>
      </c>
      <c r="DD16" s="676">
        <v>0</v>
      </c>
      <c r="DE16" s="677">
        <f>ROUND(36.75*0.6*0,0)</f>
        <v>0</v>
      </c>
      <c r="DF16" s="559"/>
      <c r="DG16" s="549"/>
      <c r="DH16" s="551" t="s">
        <v>222</v>
      </c>
      <c r="DI16" s="672" t="s">
        <v>70</v>
      </c>
      <c r="DJ16" s="552">
        <v>36.75</v>
      </c>
      <c r="DK16" s="673">
        <v>0.6</v>
      </c>
      <c r="DL16" s="674"/>
      <c r="DM16" s="675">
        <v>0</v>
      </c>
      <c r="DN16" s="556">
        <f>ROUND(36.75*0.6*0,0)</f>
        <v>0</v>
      </c>
      <c r="DO16" s="676">
        <v>0</v>
      </c>
      <c r="DP16" s="556">
        <f>ROUND(36.75*0.6*0,0)</f>
        <v>0</v>
      </c>
      <c r="DQ16" s="676">
        <v>0</v>
      </c>
      <c r="DR16" s="556">
        <f>ROUND(36.75*0.6*0,0)</f>
        <v>0</v>
      </c>
      <c r="DS16" s="676">
        <v>0</v>
      </c>
      <c r="DT16" s="556">
        <f>ROUND(36.75*0.6*0,0)</f>
        <v>0</v>
      </c>
      <c r="DU16" s="676">
        <v>0</v>
      </c>
      <c r="DV16" s="556">
        <f>ROUND(36.75*0.6*0,0)</f>
        <v>0</v>
      </c>
      <c r="DW16" s="676">
        <v>0</v>
      </c>
      <c r="DX16" s="556">
        <f>ROUND(36.75*0.6*0,0)</f>
        <v>0</v>
      </c>
      <c r="DY16" s="676">
        <v>0</v>
      </c>
      <c r="DZ16" s="556">
        <f>ROUND(36.75*0.6*0,0)</f>
        <v>0</v>
      </c>
      <c r="EA16" s="676">
        <v>0</v>
      </c>
      <c r="EB16" s="556">
        <f>ROUND(36.75*0.6*0,0)</f>
        <v>0</v>
      </c>
      <c r="EC16" s="676">
        <v>3.1</v>
      </c>
      <c r="ED16" s="556">
        <f>ROUND(36.75*0.6*3.1,0)</f>
        <v>68</v>
      </c>
      <c r="EE16" s="676">
        <v>4.2</v>
      </c>
      <c r="EF16" s="556">
        <f>ROUND(36.75*0.6*4.2,0)</f>
        <v>93</v>
      </c>
      <c r="EG16" s="676">
        <v>5.6</v>
      </c>
      <c r="EH16" s="556">
        <f>ROUND(36.75*0.6*5.6,0)</f>
        <v>123</v>
      </c>
      <c r="EI16" s="676">
        <v>6.7</v>
      </c>
      <c r="EJ16" s="556">
        <f>ROUND(36.75*0.6*6.7,0)</f>
        <v>148</v>
      </c>
      <c r="EK16" s="676">
        <v>7.7</v>
      </c>
      <c r="EL16" s="556">
        <f>ROUND(36.75*0.6*7.7,0)</f>
        <v>170</v>
      </c>
      <c r="EM16" s="676">
        <v>8.4</v>
      </c>
      <c r="EN16" s="556">
        <f>ROUND(36.75*0.6*8.4,0)</f>
        <v>185</v>
      </c>
      <c r="EO16" s="676">
        <v>8.5</v>
      </c>
      <c r="EP16" s="556">
        <f>ROUND(36.75*0.6*8.5,0)</f>
        <v>187</v>
      </c>
      <c r="EQ16" s="676">
        <v>8.3000000000000007</v>
      </c>
      <c r="ER16" s="556">
        <f>ROUND(36.75*0.6*8.3,0)</f>
        <v>183</v>
      </c>
      <c r="ES16" s="676">
        <v>7.6</v>
      </c>
      <c r="ET16" s="556">
        <f>ROUND(36.75*0.6*7.6,0)</f>
        <v>168</v>
      </c>
      <c r="EU16" s="676">
        <v>6.5</v>
      </c>
      <c r="EV16" s="556">
        <f>ROUND(36.75*0.6*6.5,0)</f>
        <v>143</v>
      </c>
      <c r="EW16" s="676">
        <v>0</v>
      </c>
      <c r="EX16" s="556">
        <f>ROUND(36.75*0.6*0,0)</f>
        <v>0</v>
      </c>
      <c r="EY16" s="676">
        <v>0</v>
      </c>
      <c r="EZ16" s="556">
        <f>ROUND(36.75*0.6*0,0)</f>
        <v>0</v>
      </c>
      <c r="FA16" s="676">
        <v>0</v>
      </c>
      <c r="FB16" s="556">
        <f>ROUND(36.75*0.6*0,0)</f>
        <v>0</v>
      </c>
      <c r="FC16" s="676">
        <v>0</v>
      </c>
      <c r="FD16" s="556">
        <f>ROUND(36.75*0.6*0,0)</f>
        <v>0</v>
      </c>
      <c r="FE16" s="676">
        <v>0</v>
      </c>
      <c r="FF16" s="556">
        <f>ROUND(36.75*0.6*0,0)</f>
        <v>0</v>
      </c>
      <c r="FG16" s="676">
        <v>0</v>
      </c>
      <c r="FH16" s="677">
        <f>ROUND(36.75*0.6*0,0)</f>
        <v>0</v>
      </c>
      <c r="FI16" s="560"/>
      <c r="FJ16" s="561"/>
      <c r="FK16" s="551" t="s">
        <v>222</v>
      </c>
      <c r="FL16" s="672" t="s">
        <v>70</v>
      </c>
      <c r="FM16" s="552">
        <v>36.75</v>
      </c>
      <c r="FN16" s="673">
        <v>0.6</v>
      </c>
      <c r="FO16" s="674"/>
      <c r="FP16" s="678">
        <v>9</v>
      </c>
      <c r="FQ16" s="679">
        <v>20</v>
      </c>
      <c r="FR16" s="556">
        <f>ROUND(36.75*0.6*20,0)</f>
        <v>441</v>
      </c>
      <c r="FS16" s="680">
        <v>9</v>
      </c>
      <c r="FT16" s="679">
        <v>20.5</v>
      </c>
      <c r="FU16" s="564">
        <f>ROUND(36.75*0.6*20.5,0)</f>
        <v>452</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222</v>
      </c>
      <c r="C17" s="684" t="s">
        <v>72</v>
      </c>
      <c r="D17" s="580">
        <v>21.06</v>
      </c>
      <c r="E17" s="685">
        <v>0.6</v>
      </c>
      <c r="F17" s="686"/>
      <c r="G17" s="687">
        <v>0</v>
      </c>
      <c r="H17" s="584">
        <f>ROUND(21.06*0.6*0,0)</f>
        <v>0</v>
      </c>
      <c r="I17" s="688">
        <v>0</v>
      </c>
      <c r="J17" s="584">
        <f>ROUND(21.06*0.6*0,0)</f>
        <v>0</v>
      </c>
      <c r="K17" s="688">
        <v>0</v>
      </c>
      <c r="L17" s="584">
        <f>ROUND(21.06*0.6*0,0)</f>
        <v>0</v>
      </c>
      <c r="M17" s="688">
        <v>0</v>
      </c>
      <c r="N17" s="584">
        <f>ROUND(21.06*0.6*0,0)</f>
        <v>0</v>
      </c>
      <c r="O17" s="688">
        <v>0</v>
      </c>
      <c r="P17" s="584">
        <f>ROUND(21.06*0.6*0,0)</f>
        <v>0</v>
      </c>
      <c r="Q17" s="688">
        <v>0</v>
      </c>
      <c r="R17" s="584">
        <f>ROUND(21.06*0.6*0,0)</f>
        <v>0</v>
      </c>
      <c r="S17" s="688">
        <v>0</v>
      </c>
      <c r="T17" s="584">
        <f>ROUND(21.06*0.6*0,0)</f>
        <v>0</v>
      </c>
      <c r="U17" s="688">
        <v>0</v>
      </c>
      <c r="V17" s="584">
        <f>ROUND(21.06*0.6*0,0)</f>
        <v>0</v>
      </c>
      <c r="W17" s="688">
        <v>10.5</v>
      </c>
      <c r="X17" s="584">
        <f>ROUND(21.06*0.6*10.5,0)</f>
        <v>133</v>
      </c>
      <c r="Y17" s="688">
        <v>13.2</v>
      </c>
      <c r="Z17" s="584">
        <f>ROUND(21.06*0.6*13.2,0)</f>
        <v>167</v>
      </c>
      <c r="AA17" s="688">
        <v>15</v>
      </c>
      <c r="AB17" s="584">
        <f>ROUND(21.06*0.6*15,0)</f>
        <v>190</v>
      </c>
      <c r="AC17" s="688">
        <v>15.5</v>
      </c>
      <c r="AD17" s="584">
        <f>ROUND(21.06*0.6*15.5,0)</f>
        <v>196</v>
      </c>
      <c r="AE17" s="688">
        <v>14.9</v>
      </c>
      <c r="AF17" s="584">
        <f>ROUND(21.06*0.6*14.9,0)</f>
        <v>188</v>
      </c>
      <c r="AG17" s="688">
        <v>14.2</v>
      </c>
      <c r="AH17" s="584">
        <f>ROUND(21.06*0.6*14.2,0)</f>
        <v>179</v>
      </c>
      <c r="AI17" s="688">
        <v>13.5</v>
      </c>
      <c r="AJ17" s="584">
        <f>ROUND(21.06*0.6*13.5,0)</f>
        <v>171</v>
      </c>
      <c r="AK17" s="688">
        <v>12.7</v>
      </c>
      <c r="AL17" s="584">
        <f>ROUND(21.06*0.6*12.7,0)</f>
        <v>160</v>
      </c>
      <c r="AM17" s="688">
        <v>11.6</v>
      </c>
      <c r="AN17" s="584">
        <f>ROUND(21.06*0.6*11.6,0)</f>
        <v>147</v>
      </c>
      <c r="AO17" s="688">
        <v>10.199999999999999</v>
      </c>
      <c r="AP17" s="584">
        <f>ROUND(21.06*0.6*10.2,0)</f>
        <v>129</v>
      </c>
      <c r="AQ17" s="688">
        <v>0</v>
      </c>
      <c r="AR17" s="584">
        <f>ROUND(21.06*0.6*0,0)</f>
        <v>0</v>
      </c>
      <c r="AS17" s="688">
        <v>0</v>
      </c>
      <c r="AT17" s="584">
        <f>ROUND(21.06*0.6*0,0)</f>
        <v>0</v>
      </c>
      <c r="AU17" s="688">
        <v>0</v>
      </c>
      <c r="AV17" s="584">
        <f>ROUND(21.06*0.6*0,0)</f>
        <v>0</v>
      </c>
      <c r="AW17" s="688">
        <v>0</v>
      </c>
      <c r="AX17" s="584">
        <f>ROUND(21.06*0.6*0,0)</f>
        <v>0</v>
      </c>
      <c r="AY17" s="688">
        <v>0</v>
      </c>
      <c r="AZ17" s="584">
        <f>ROUND(21.06*0.6*0,0)</f>
        <v>0</v>
      </c>
      <c r="BA17" s="688">
        <v>0</v>
      </c>
      <c r="BB17" s="586">
        <f>ROUND(21.06*0.6*0,0)</f>
        <v>0</v>
      </c>
      <c r="BC17" s="559"/>
      <c r="BD17" s="549"/>
      <c r="BE17" s="579" t="s">
        <v>222</v>
      </c>
      <c r="BF17" s="684" t="s">
        <v>72</v>
      </c>
      <c r="BG17" s="580">
        <v>21.06</v>
      </c>
      <c r="BH17" s="685">
        <v>0.6</v>
      </c>
      <c r="BI17" s="686"/>
      <c r="BJ17" s="687">
        <v>0</v>
      </c>
      <c r="BK17" s="584">
        <f>ROUND(21.06*0.6*0,0)</f>
        <v>0</v>
      </c>
      <c r="BL17" s="688">
        <v>0</v>
      </c>
      <c r="BM17" s="584">
        <f>ROUND(21.06*0.6*0,0)</f>
        <v>0</v>
      </c>
      <c r="BN17" s="688">
        <v>0</v>
      </c>
      <c r="BO17" s="584">
        <f>ROUND(21.06*0.6*0,0)</f>
        <v>0</v>
      </c>
      <c r="BP17" s="688">
        <v>0</v>
      </c>
      <c r="BQ17" s="584">
        <f>ROUND(21.06*0.6*0,0)</f>
        <v>0</v>
      </c>
      <c r="BR17" s="688">
        <v>0</v>
      </c>
      <c r="BS17" s="584">
        <f>ROUND(21.06*0.6*0,0)</f>
        <v>0</v>
      </c>
      <c r="BT17" s="688">
        <v>0</v>
      </c>
      <c r="BU17" s="584">
        <f>ROUND(21.06*0.6*0,0)</f>
        <v>0</v>
      </c>
      <c r="BV17" s="688">
        <v>0</v>
      </c>
      <c r="BW17" s="584">
        <f>ROUND(21.06*0.6*0,0)</f>
        <v>0</v>
      </c>
      <c r="BX17" s="688">
        <v>0</v>
      </c>
      <c r="BY17" s="584">
        <f>ROUND(21.06*0.6*0,0)</f>
        <v>0</v>
      </c>
      <c r="BZ17" s="688">
        <v>15.6</v>
      </c>
      <c r="CA17" s="584">
        <f>ROUND(21.06*0.6*15.6,0)</f>
        <v>197</v>
      </c>
      <c r="CB17" s="688">
        <v>18.5</v>
      </c>
      <c r="CC17" s="584">
        <f>ROUND(21.06*0.6*18.5,0)</f>
        <v>234</v>
      </c>
      <c r="CD17" s="688">
        <v>19.5</v>
      </c>
      <c r="CE17" s="584">
        <f>ROUND(21.06*0.6*19.5,0)</f>
        <v>246</v>
      </c>
      <c r="CF17" s="688">
        <v>18.8</v>
      </c>
      <c r="CG17" s="584">
        <f>ROUND(21.06*0.6*18.8,0)</f>
        <v>238</v>
      </c>
      <c r="CH17" s="688">
        <v>16.8</v>
      </c>
      <c r="CI17" s="584">
        <f>ROUND(21.06*0.6*16.8,0)</f>
        <v>212</v>
      </c>
      <c r="CJ17" s="688">
        <v>14.9</v>
      </c>
      <c r="CK17" s="584">
        <f>ROUND(21.06*0.6*14.9,0)</f>
        <v>188</v>
      </c>
      <c r="CL17" s="688">
        <v>13.6</v>
      </c>
      <c r="CM17" s="584">
        <f>ROUND(21.06*0.6*13.6,0)</f>
        <v>172</v>
      </c>
      <c r="CN17" s="688">
        <v>12.4</v>
      </c>
      <c r="CO17" s="584">
        <f>ROUND(21.06*0.6*12.4,0)</f>
        <v>157</v>
      </c>
      <c r="CP17" s="688">
        <v>11.2</v>
      </c>
      <c r="CQ17" s="584">
        <f>ROUND(21.06*0.6*11.2,0)</f>
        <v>142</v>
      </c>
      <c r="CR17" s="688">
        <v>9.9</v>
      </c>
      <c r="CS17" s="584">
        <f>ROUND(21.06*0.6*9.9,0)</f>
        <v>125</v>
      </c>
      <c r="CT17" s="688">
        <v>0</v>
      </c>
      <c r="CU17" s="584">
        <f>ROUND(21.06*0.6*0,0)</f>
        <v>0</v>
      </c>
      <c r="CV17" s="688">
        <v>0</v>
      </c>
      <c r="CW17" s="584">
        <f>ROUND(21.06*0.6*0,0)</f>
        <v>0</v>
      </c>
      <c r="CX17" s="688">
        <v>0</v>
      </c>
      <c r="CY17" s="584">
        <f>ROUND(21.06*0.6*0,0)</f>
        <v>0</v>
      </c>
      <c r="CZ17" s="688">
        <v>0</v>
      </c>
      <c r="DA17" s="584">
        <f>ROUND(21.06*0.6*0,0)</f>
        <v>0</v>
      </c>
      <c r="DB17" s="688">
        <v>0</v>
      </c>
      <c r="DC17" s="584">
        <f>ROUND(21.06*0.6*0,0)</f>
        <v>0</v>
      </c>
      <c r="DD17" s="688">
        <v>0</v>
      </c>
      <c r="DE17" s="586">
        <f>ROUND(21.06*0.6*0,0)</f>
        <v>0</v>
      </c>
      <c r="DF17" s="559"/>
      <c r="DG17" s="549"/>
      <c r="DH17" s="579" t="s">
        <v>222</v>
      </c>
      <c r="DI17" s="684" t="s">
        <v>72</v>
      </c>
      <c r="DJ17" s="580">
        <v>21.06</v>
      </c>
      <c r="DK17" s="685">
        <v>0.6</v>
      </c>
      <c r="DL17" s="686"/>
      <c r="DM17" s="687">
        <v>0</v>
      </c>
      <c r="DN17" s="584">
        <f>ROUND(21.06*0.6*0,0)</f>
        <v>0</v>
      </c>
      <c r="DO17" s="688">
        <v>0</v>
      </c>
      <c r="DP17" s="584">
        <f>ROUND(21.06*0.6*0,0)</f>
        <v>0</v>
      </c>
      <c r="DQ17" s="688">
        <v>0</v>
      </c>
      <c r="DR17" s="584">
        <f>ROUND(21.06*0.6*0,0)</f>
        <v>0</v>
      </c>
      <c r="DS17" s="688">
        <v>0</v>
      </c>
      <c r="DT17" s="584">
        <f>ROUND(21.06*0.6*0,0)</f>
        <v>0</v>
      </c>
      <c r="DU17" s="688">
        <v>0</v>
      </c>
      <c r="DV17" s="584">
        <f>ROUND(21.06*0.6*0,0)</f>
        <v>0</v>
      </c>
      <c r="DW17" s="688">
        <v>0</v>
      </c>
      <c r="DX17" s="584">
        <f>ROUND(21.06*0.6*0,0)</f>
        <v>0</v>
      </c>
      <c r="DY17" s="688">
        <v>0</v>
      </c>
      <c r="DZ17" s="584">
        <f>ROUND(21.06*0.6*0,0)</f>
        <v>0</v>
      </c>
      <c r="EA17" s="688">
        <v>0</v>
      </c>
      <c r="EB17" s="584">
        <f>ROUND(21.06*0.6*0,0)</f>
        <v>0</v>
      </c>
      <c r="EC17" s="688">
        <v>13.4</v>
      </c>
      <c r="ED17" s="584">
        <f>ROUND(21.06*0.6*13.4,0)</f>
        <v>169</v>
      </c>
      <c r="EE17" s="688">
        <v>16.600000000000001</v>
      </c>
      <c r="EF17" s="584">
        <f>ROUND(21.06*0.6*16.6,0)</f>
        <v>210</v>
      </c>
      <c r="EG17" s="688">
        <v>18</v>
      </c>
      <c r="EH17" s="584">
        <f>ROUND(21.06*0.6*18,0)</f>
        <v>227</v>
      </c>
      <c r="EI17" s="688">
        <v>17.399999999999999</v>
      </c>
      <c r="EJ17" s="584">
        <f>ROUND(21.06*0.6*17.4,0)</f>
        <v>220</v>
      </c>
      <c r="EK17" s="688">
        <v>15.3</v>
      </c>
      <c r="EL17" s="584">
        <f>ROUND(21.06*0.6*15.3,0)</f>
        <v>193</v>
      </c>
      <c r="EM17" s="688">
        <v>13.2</v>
      </c>
      <c r="EN17" s="584">
        <f>ROUND(21.06*0.6*13.2,0)</f>
        <v>167</v>
      </c>
      <c r="EO17" s="688">
        <v>11.6</v>
      </c>
      <c r="EP17" s="584">
        <f>ROUND(21.06*0.6*11.6,0)</f>
        <v>147</v>
      </c>
      <c r="EQ17" s="688">
        <v>10.199999999999999</v>
      </c>
      <c r="ER17" s="584">
        <f>ROUND(21.06*0.6*10.2,0)</f>
        <v>129</v>
      </c>
      <c r="ES17" s="688">
        <v>8.8000000000000007</v>
      </c>
      <c r="ET17" s="584">
        <f>ROUND(21.06*0.6*8.8,0)</f>
        <v>111</v>
      </c>
      <c r="EU17" s="688">
        <v>7.2</v>
      </c>
      <c r="EV17" s="584">
        <f>ROUND(21.06*0.6*7.2,0)</f>
        <v>91</v>
      </c>
      <c r="EW17" s="688">
        <v>0</v>
      </c>
      <c r="EX17" s="584">
        <f>ROUND(21.06*0.6*0,0)</f>
        <v>0</v>
      </c>
      <c r="EY17" s="688">
        <v>0</v>
      </c>
      <c r="EZ17" s="584">
        <f>ROUND(21.06*0.6*0,0)</f>
        <v>0</v>
      </c>
      <c r="FA17" s="688">
        <v>0</v>
      </c>
      <c r="FB17" s="584">
        <f>ROUND(21.06*0.6*0,0)</f>
        <v>0</v>
      </c>
      <c r="FC17" s="688">
        <v>0</v>
      </c>
      <c r="FD17" s="584">
        <f>ROUND(21.06*0.6*0,0)</f>
        <v>0</v>
      </c>
      <c r="FE17" s="688">
        <v>0</v>
      </c>
      <c r="FF17" s="584">
        <f>ROUND(21.06*0.6*0,0)</f>
        <v>0</v>
      </c>
      <c r="FG17" s="688">
        <v>0</v>
      </c>
      <c r="FH17" s="586">
        <f>ROUND(21.06*0.6*0,0)</f>
        <v>0</v>
      </c>
      <c r="FI17" s="560"/>
      <c r="FJ17" s="561"/>
      <c r="FK17" s="579" t="s">
        <v>222</v>
      </c>
      <c r="FL17" s="684" t="s">
        <v>72</v>
      </c>
      <c r="FM17" s="580">
        <v>21.06</v>
      </c>
      <c r="FN17" s="685">
        <v>0.6</v>
      </c>
      <c r="FO17" s="686"/>
      <c r="FP17" s="689">
        <v>9</v>
      </c>
      <c r="FQ17" s="690">
        <v>20</v>
      </c>
      <c r="FR17" s="584">
        <f>ROUND(21.06*0.6*20,0)</f>
        <v>253</v>
      </c>
      <c r="FS17" s="691">
        <v>9</v>
      </c>
      <c r="FT17" s="690">
        <v>20.5</v>
      </c>
      <c r="FU17" s="589">
        <f>ROUND(21.06*0.6*20.5,0)</f>
        <v>259</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232</v>
      </c>
      <c r="C18" s="684" t="s">
        <v>72</v>
      </c>
      <c r="D18" s="580">
        <v>5.4</v>
      </c>
      <c r="E18" s="685" t="s">
        <v>345</v>
      </c>
      <c r="F18" s="686"/>
      <c r="G18" s="687">
        <v>0</v>
      </c>
      <c r="H18" s="584">
        <f>ROUND(5.4*4.2*0,0)</f>
        <v>0</v>
      </c>
      <c r="I18" s="688">
        <v>0</v>
      </c>
      <c r="J18" s="584">
        <f>ROUND(5.4*4.2*0,0)</f>
        <v>0</v>
      </c>
      <c r="K18" s="688">
        <v>0</v>
      </c>
      <c r="L18" s="584">
        <f>ROUND(5.4*4.2*0,0)</f>
        <v>0</v>
      </c>
      <c r="M18" s="688">
        <v>0</v>
      </c>
      <c r="N18" s="584">
        <f>ROUND(5.4*4.2*0,0)</f>
        <v>0</v>
      </c>
      <c r="O18" s="688">
        <v>0</v>
      </c>
      <c r="P18" s="584">
        <f>ROUND(5.4*4.2*0,0)</f>
        <v>0</v>
      </c>
      <c r="Q18" s="688">
        <v>0</v>
      </c>
      <c r="R18" s="584">
        <f>ROUND(5.4*4.2*0,0)</f>
        <v>0</v>
      </c>
      <c r="S18" s="688">
        <v>0</v>
      </c>
      <c r="T18" s="584">
        <f>ROUND(5.4*4.2*0,0)</f>
        <v>0</v>
      </c>
      <c r="U18" s="688">
        <v>0</v>
      </c>
      <c r="V18" s="584">
        <f>ROUND(5.4*4.2*0,0)</f>
        <v>0</v>
      </c>
      <c r="W18" s="688">
        <v>5.3</v>
      </c>
      <c r="X18" s="584">
        <f>ROUND(5.4*4.2*5.3,0)</f>
        <v>120</v>
      </c>
      <c r="Y18" s="688">
        <v>6.5</v>
      </c>
      <c r="Z18" s="584">
        <f>ROUND(5.4*4.2*6.5,0)</f>
        <v>147</v>
      </c>
      <c r="AA18" s="688">
        <v>7.2</v>
      </c>
      <c r="AB18" s="584">
        <f>ROUND(5.4*4.2*7.2,0)</f>
        <v>163</v>
      </c>
      <c r="AC18" s="688">
        <v>7.7</v>
      </c>
      <c r="AD18" s="584">
        <f>ROUND(5.4*4.2*7.7,0)</f>
        <v>175</v>
      </c>
      <c r="AE18" s="688">
        <v>7.9</v>
      </c>
      <c r="AF18" s="584">
        <f>ROUND(5.4*4.2*7.9,0)</f>
        <v>179</v>
      </c>
      <c r="AG18" s="688">
        <v>7.9</v>
      </c>
      <c r="AH18" s="584">
        <f>ROUND(5.4*4.2*7.9,0)</f>
        <v>179</v>
      </c>
      <c r="AI18" s="688">
        <v>7.4</v>
      </c>
      <c r="AJ18" s="584">
        <f>ROUND(5.4*4.2*7.4,0)</f>
        <v>168</v>
      </c>
      <c r="AK18" s="688">
        <v>6.9</v>
      </c>
      <c r="AL18" s="584">
        <f>ROUND(5.4*4.2*6.9,0)</f>
        <v>156</v>
      </c>
      <c r="AM18" s="688">
        <v>6</v>
      </c>
      <c r="AN18" s="584">
        <f>ROUND(5.4*4.2*6,0)</f>
        <v>136</v>
      </c>
      <c r="AO18" s="688">
        <v>5.3</v>
      </c>
      <c r="AP18" s="584">
        <f>ROUND(5.4*4.2*5.3,0)</f>
        <v>120</v>
      </c>
      <c r="AQ18" s="688">
        <v>0</v>
      </c>
      <c r="AR18" s="584">
        <f>ROUND(5.4*4.2*0,0)</f>
        <v>0</v>
      </c>
      <c r="AS18" s="688">
        <v>0</v>
      </c>
      <c r="AT18" s="584">
        <f>ROUND(5.4*4.2*0,0)</f>
        <v>0</v>
      </c>
      <c r="AU18" s="688">
        <v>0</v>
      </c>
      <c r="AV18" s="584">
        <f>ROUND(5.4*4.2*0,0)</f>
        <v>0</v>
      </c>
      <c r="AW18" s="688">
        <v>0</v>
      </c>
      <c r="AX18" s="584">
        <f>ROUND(5.4*4.2*0,0)</f>
        <v>0</v>
      </c>
      <c r="AY18" s="688">
        <v>0</v>
      </c>
      <c r="AZ18" s="584">
        <f>ROUND(5.4*4.2*0,0)</f>
        <v>0</v>
      </c>
      <c r="BA18" s="688">
        <v>0</v>
      </c>
      <c r="BB18" s="586">
        <f>ROUND(5.4*4.2*0,0)</f>
        <v>0</v>
      </c>
      <c r="BC18" s="559"/>
      <c r="BD18" s="549"/>
      <c r="BE18" s="693" t="s">
        <v>232</v>
      </c>
      <c r="BF18" s="684" t="s">
        <v>72</v>
      </c>
      <c r="BG18" s="580">
        <v>5.4</v>
      </c>
      <c r="BH18" s="685" t="s">
        <v>345</v>
      </c>
      <c r="BI18" s="686"/>
      <c r="BJ18" s="687">
        <v>0</v>
      </c>
      <c r="BK18" s="584">
        <f>ROUND(5.4*4.2*0,0)</f>
        <v>0</v>
      </c>
      <c r="BL18" s="688">
        <v>0</v>
      </c>
      <c r="BM18" s="584">
        <f>ROUND(5.4*4.2*0,0)</f>
        <v>0</v>
      </c>
      <c r="BN18" s="688">
        <v>0</v>
      </c>
      <c r="BO18" s="584">
        <f>ROUND(5.4*4.2*0,0)</f>
        <v>0</v>
      </c>
      <c r="BP18" s="688">
        <v>0</v>
      </c>
      <c r="BQ18" s="584">
        <f>ROUND(5.4*4.2*0,0)</f>
        <v>0</v>
      </c>
      <c r="BR18" s="688">
        <v>0</v>
      </c>
      <c r="BS18" s="584">
        <f>ROUND(5.4*4.2*0,0)</f>
        <v>0</v>
      </c>
      <c r="BT18" s="688">
        <v>0</v>
      </c>
      <c r="BU18" s="584">
        <f>ROUND(5.4*4.2*0,0)</f>
        <v>0</v>
      </c>
      <c r="BV18" s="688">
        <v>0</v>
      </c>
      <c r="BW18" s="584">
        <f>ROUND(5.4*4.2*0,0)</f>
        <v>0</v>
      </c>
      <c r="BX18" s="688">
        <v>0</v>
      </c>
      <c r="BY18" s="584">
        <f>ROUND(5.4*4.2*0,0)</f>
        <v>0</v>
      </c>
      <c r="BZ18" s="688">
        <v>5.0999999999999996</v>
      </c>
      <c r="CA18" s="584">
        <f>ROUND(5.4*4.2*5.1,0)</f>
        <v>116</v>
      </c>
      <c r="CB18" s="688">
        <v>6.1</v>
      </c>
      <c r="CC18" s="584">
        <f>ROUND(5.4*4.2*6.1,0)</f>
        <v>138</v>
      </c>
      <c r="CD18" s="688">
        <v>7</v>
      </c>
      <c r="CE18" s="584">
        <f>ROUND(5.4*4.2*7,0)</f>
        <v>159</v>
      </c>
      <c r="CF18" s="688">
        <v>7.4</v>
      </c>
      <c r="CG18" s="584">
        <f>ROUND(5.4*4.2*7.4,0)</f>
        <v>168</v>
      </c>
      <c r="CH18" s="688">
        <v>7.6</v>
      </c>
      <c r="CI18" s="584">
        <f>ROUND(5.4*4.2*7.6,0)</f>
        <v>172</v>
      </c>
      <c r="CJ18" s="688">
        <v>7.4</v>
      </c>
      <c r="CK18" s="584">
        <f>ROUND(5.4*4.2*7.4,0)</f>
        <v>168</v>
      </c>
      <c r="CL18" s="688">
        <v>6.9</v>
      </c>
      <c r="CM18" s="584">
        <f>ROUND(5.4*4.2*6.9,0)</f>
        <v>156</v>
      </c>
      <c r="CN18" s="688">
        <v>6.5</v>
      </c>
      <c r="CO18" s="584">
        <f>ROUND(5.4*4.2*6.5,0)</f>
        <v>147</v>
      </c>
      <c r="CP18" s="688">
        <v>6</v>
      </c>
      <c r="CQ18" s="584">
        <f>ROUND(5.4*4.2*6,0)</f>
        <v>136</v>
      </c>
      <c r="CR18" s="688">
        <v>5.0999999999999996</v>
      </c>
      <c r="CS18" s="584">
        <f>ROUND(5.4*4.2*5.1,0)</f>
        <v>116</v>
      </c>
      <c r="CT18" s="688">
        <v>0</v>
      </c>
      <c r="CU18" s="584">
        <f>ROUND(5.4*4.2*0,0)</f>
        <v>0</v>
      </c>
      <c r="CV18" s="688">
        <v>0</v>
      </c>
      <c r="CW18" s="584">
        <f>ROUND(5.4*4.2*0,0)</f>
        <v>0</v>
      </c>
      <c r="CX18" s="688">
        <v>0</v>
      </c>
      <c r="CY18" s="584">
        <f>ROUND(5.4*4.2*0,0)</f>
        <v>0</v>
      </c>
      <c r="CZ18" s="688">
        <v>0</v>
      </c>
      <c r="DA18" s="584">
        <f>ROUND(5.4*4.2*0,0)</f>
        <v>0</v>
      </c>
      <c r="DB18" s="688">
        <v>0</v>
      </c>
      <c r="DC18" s="584">
        <f>ROUND(5.4*4.2*0,0)</f>
        <v>0</v>
      </c>
      <c r="DD18" s="688">
        <v>0</v>
      </c>
      <c r="DE18" s="586">
        <f>ROUND(5.4*4.2*0,0)</f>
        <v>0</v>
      </c>
      <c r="DF18" s="559"/>
      <c r="DG18" s="549"/>
      <c r="DH18" s="693" t="s">
        <v>232</v>
      </c>
      <c r="DI18" s="684" t="s">
        <v>72</v>
      </c>
      <c r="DJ18" s="580">
        <v>5.4</v>
      </c>
      <c r="DK18" s="685" t="s">
        <v>345</v>
      </c>
      <c r="DL18" s="686"/>
      <c r="DM18" s="687">
        <v>0</v>
      </c>
      <c r="DN18" s="584">
        <f>ROUND(5.4*4.2*0,0)</f>
        <v>0</v>
      </c>
      <c r="DO18" s="688">
        <v>0</v>
      </c>
      <c r="DP18" s="584">
        <f>ROUND(5.4*4.2*0,0)</f>
        <v>0</v>
      </c>
      <c r="DQ18" s="688">
        <v>0</v>
      </c>
      <c r="DR18" s="584">
        <f>ROUND(5.4*4.2*0,0)</f>
        <v>0</v>
      </c>
      <c r="DS18" s="688">
        <v>0</v>
      </c>
      <c r="DT18" s="584">
        <f>ROUND(5.4*4.2*0,0)</f>
        <v>0</v>
      </c>
      <c r="DU18" s="688">
        <v>0</v>
      </c>
      <c r="DV18" s="584">
        <f>ROUND(5.4*4.2*0,0)</f>
        <v>0</v>
      </c>
      <c r="DW18" s="688">
        <v>0</v>
      </c>
      <c r="DX18" s="584">
        <f>ROUND(5.4*4.2*0,0)</f>
        <v>0</v>
      </c>
      <c r="DY18" s="688">
        <v>0</v>
      </c>
      <c r="DZ18" s="584">
        <f>ROUND(5.4*4.2*0,0)</f>
        <v>0</v>
      </c>
      <c r="EA18" s="688">
        <v>0</v>
      </c>
      <c r="EB18" s="584">
        <f>ROUND(5.4*4.2*0,0)</f>
        <v>0</v>
      </c>
      <c r="EC18" s="688">
        <v>2.8</v>
      </c>
      <c r="ED18" s="584">
        <f>ROUND(5.4*4.2*2.8,0)</f>
        <v>64</v>
      </c>
      <c r="EE18" s="688">
        <v>4.0999999999999996</v>
      </c>
      <c r="EF18" s="584">
        <f>ROUND(5.4*4.2*4.1,0)</f>
        <v>93</v>
      </c>
      <c r="EG18" s="688">
        <v>4.9000000000000004</v>
      </c>
      <c r="EH18" s="584">
        <f>ROUND(5.4*4.2*4.9,0)</f>
        <v>111</v>
      </c>
      <c r="EI18" s="688">
        <v>5.6</v>
      </c>
      <c r="EJ18" s="584">
        <f>ROUND(5.4*4.2*5.6,0)</f>
        <v>127</v>
      </c>
      <c r="EK18" s="688">
        <v>5.8</v>
      </c>
      <c r="EL18" s="584">
        <f>ROUND(5.4*4.2*5.8,0)</f>
        <v>132</v>
      </c>
      <c r="EM18" s="688">
        <v>5.5</v>
      </c>
      <c r="EN18" s="584">
        <f>ROUND(5.4*4.2*5.5,0)</f>
        <v>125</v>
      </c>
      <c r="EO18" s="688">
        <v>5.0999999999999996</v>
      </c>
      <c r="EP18" s="584">
        <f>ROUND(5.4*4.2*5.1,0)</f>
        <v>116</v>
      </c>
      <c r="EQ18" s="688">
        <v>4.7</v>
      </c>
      <c r="ER18" s="584">
        <f>ROUND(5.4*4.2*4.7,0)</f>
        <v>107</v>
      </c>
      <c r="ES18" s="688">
        <v>3.7</v>
      </c>
      <c r="ET18" s="584">
        <f>ROUND(5.4*4.2*3.7,0)</f>
        <v>84</v>
      </c>
      <c r="EU18" s="688">
        <v>2.7</v>
      </c>
      <c r="EV18" s="584">
        <f>ROUND(5.4*4.2*2.7,0)</f>
        <v>61</v>
      </c>
      <c r="EW18" s="688">
        <v>0</v>
      </c>
      <c r="EX18" s="584">
        <f>ROUND(5.4*4.2*0,0)</f>
        <v>0</v>
      </c>
      <c r="EY18" s="688">
        <v>0</v>
      </c>
      <c r="EZ18" s="584">
        <f>ROUND(5.4*4.2*0,0)</f>
        <v>0</v>
      </c>
      <c r="FA18" s="688">
        <v>0</v>
      </c>
      <c r="FB18" s="584">
        <f>ROUND(5.4*4.2*0,0)</f>
        <v>0</v>
      </c>
      <c r="FC18" s="688">
        <v>0</v>
      </c>
      <c r="FD18" s="584">
        <f>ROUND(5.4*4.2*0,0)</f>
        <v>0</v>
      </c>
      <c r="FE18" s="688">
        <v>0</v>
      </c>
      <c r="FF18" s="584">
        <f>ROUND(5.4*4.2*0,0)</f>
        <v>0</v>
      </c>
      <c r="FG18" s="688">
        <v>0</v>
      </c>
      <c r="FH18" s="586">
        <f>ROUND(5.4*4.2*0,0)</f>
        <v>0</v>
      </c>
      <c r="FI18" s="560"/>
      <c r="FJ18" s="561"/>
      <c r="FK18" s="693" t="s">
        <v>232</v>
      </c>
      <c r="FL18" s="684" t="s">
        <v>72</v>
      </c>
      <c r="FM18" s="580">
        <v>5.4</v>
      </c>
      <c r="FN18" s="685" t="s">
        <v>345</v>
      </c>
      <c r="FO18" s="686"/>
      <c r="FP18" s="689">
        <v>9</v>
      </c>
      <c r="FQ18" s="690">
        <v>20</v>
      </c>
      <c r="FR18" s="584">
        <f>ROUND(5.4*4.2*20,0)</f>
        <v>454</v>
      </c>
      <c r="FS18" s="691">
        <v>9</v>
      </c>
      <c r="FT18" s="690">
        <v>20.5</v>
      </c>
      <c r="FU18" s="589">
        <f>ROUND(5.4*4.2*20.5,0)</f>
        <v>465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253</v>
      </c>
      <c r="C19" s="684"/>
      <c r="D19" s="580">
        <v>10.92</v>
      </c>
      <c r="E19" s="685">
        <v>2.5</v>
      </c>
      <c r="F19" s="686"/>
      <c r="G19" s="687">
        <v>0</v>
      </c>
      <c r="H19" s="584">
        <f>ROUND(10.92*2.5*0,0)</f>
        <v>0</v>
      </c>
      <c r="I19" s="688">
        <v>0</v>
      </c>
      <c r="J19" s="584">
        <f>ROUND(10.92*2.5*0,0)</f>
        <v>0</v>
      </c>
      <c r="K19" s="688">
        <v>0</v>
      </c>
      <c r="L19" s="584">
        <f>ROUND(10.92*2.5*0,0)</f>
        <v>0</v>
      </c>
      <c r="M19" s="688">
        <v>0</v>
      </c>
      <c r="N19" s="584">
        <f>ROUND(10.92*2.5*0,0)</f>
        <v>0</v>
      </c>
      <c r="O19" s="688">
        <v>0</v>
      </c>
      <c r="P19" s="584">
        <f>ROUND(10.92*2.5*0,0)</f>
        <v>0</v>
      </c>
      <c r="Q19" s="688">
        <v>0</v>
      </c>
      <c r="R19" s="584">
        <f>ROUND(10.92*2.5*0,0)</f>
        <v>0</v>
      </c>
      <c r="S19" s="688">
        <v>0</v>
      </c>
      <c r="T19" s="584">
        <f>ROUND(10.92*2.5*0,0)</f>
        <v>0</v>
      </c>
      <c r="U19" s="688">
        <v>0</v>
      </c>
      <c r="V19" s="584">
        <f>ROUND(10.92*2.5*0,0)</f>
        <v>0</v>
      </c>
      <c r="W19" s="688">
        <v>2.7</v>
      </c>
      <c r="X19" s="584">
        <f>ROUND(10.92*2.5*2.7,0)</f>
        <v>74</v>
      </c>
      <c r="Y19" s="688">
        <v>3.2</v>
      </c>
      <c r="Z19" s="584">
        <f>ROUND(10.92*2.5*3.2,0)</f>
        <v>87</v>
      </c>
      <c r="AA19" s="688">
        <v>3.6</v>
      </c>
      <c r="AB19" s="584">
        <f>ROUND(10.92*2.5*3.6,0)</f>
        <v>98</v>
      </c>
      <c r="AC19" s="688">
        <v>3.9</v>
      </c>
      <c r="AD19" s="584">
        <f>ROUND(10.92*2.5*3.9,0)</f>
        <v>106</v>
      </c>
      <c r="AE19" s="688">
        <v>3.9</v>
      </c>
      <c r="AF19" s="584">
        <f>ROUND(10.92*2.5*3.9,0)</f>
        <v>106</v>
      </c>
      <c r="AG19" s="688">
        <v>3.9</v>
      </c>
      <c r="AH19" s="584">
        <f>ROUND(10.92*2.5*3.9,0)</f>
        <v>106</v>
      </c>
      <c r="AI19" s="688">
        <v>3.7</v>
      </c>
      <c r="AJ19" s="584">
        <f>ROUND(10.92*2.5*3.7,0)</f>
        <v>101</v>
      </c>
      <c r="AK19" s="688">
        <v>3.4</v>
      </c>
      <c r="AL19" s="584">
        <f>ROUND(10.92*2.5*3.4,0)</f>
        <v>93</v>
      </c>
      <c r="AM19" s="688">
        <v>3</v>
      </c>
      <c r="AN19" s="584">
        <f>ROUND(10.92*2.5*3,0)</f>
        <v>82</v>
      </c>
      <c r="AO19" s="688">
        <v>2.7</v>
      </c>
      <c r="AP19" s="584">
        <f>ROUND(10.92*2.5*2.7,0)</f>
        <v>74</v>
      </c>
      <c r="AQ19" s="688">
        <v>0</v>
      </c>
      <c r="AR19" s="584">
        <f>ROUND(10.92*2.5*0,0)</f>
        <v>0</v>
      </c>
      <c r="AS19" s="688">
        <v>0</v>
      </c>
      <c r="AT19" s="584">
        <f>ROUND(10.92*2.5*0,0)</f>
        <v>0</v>
      </c>
      <c r="AU19" s="688">
        <v>0</v>
      </c>
      <c r="AV19" s="584">
        <f>ROUND(10.92*2.5*0,0)</f>
        <v>0</v>
      </c>
      <c r="AW19" s="688">
        <v>0</v>
      </c>
      <c r="AX19" s="584">
        <f>ROUND(10.92*2.5*0,0)</f>
        <v>0</v>
      </c>
      <c r="AY19" s="688">
        <v>0</v>
      </c>
      <c r="AZ19" s="584">
        <f>ROUND(10.92*2.5*0,0)</f>
        <v>0</v>
      </c>
      <c r="BA19" s="688">
        <v>0</v>
      </c>
      <c r="BB19" s="586">
        <f>ROUND(10.92*2.5*0,0)</f>
        <v>0</v>
      </c>
      <c r="BC19" s="559"/>
      <c r="BD19" s="549"/>
      <c r="BE19" s="693" t="s">
        <v>253</v>
      </c>
      <c r="BF19" s="684"/>
      <c r="BG19" s="580">
        <v>10.92</v>
      </c>
      <c r="BH19" s="685">
        <v>2.5</v>
      </c>
      <c r="BI19" s="686"/>
      <c r="BJ19" s="687">
        <v>0</v>
      </c>
      <c r="BK19" s="584">
        <f>ROUND(10.92*2.5*0,0)</f>
        <v>0</v>
      </c>
      <c r="BL19" s="688">
        <v>0</v>
      </c>
      <c r="BM19" s="584">
        <f>ROUND(10.92*2.5*0,0)</f>
        <v>0</v>
      </c>
      <c r="BN19" s="688">
        <v>0</v>
      </c>
      <c r="BO19" s="584">
        <f>ROUND(10.92*2.5*0,0)</f>
        <v>0</v>
      </c>
      <c r="BP19" s="688">
        <v>0</v>
      </c>
      <c r="BQ19" s="584">
        <f>ROUND(10.92*2.5*0,0)</f>
        <v>0</v>
      </c>
      <c r="BR19" s="688">
        <v>0</v>
      </c>
      <c r="BS19" s="584">
        <f>ROUND(10.92*2.5*0,0)</f>
        <v>0</v>
      </c>
      <c r="BT19" s="688">
        <v>0</v>
      </c>
      <c r="BU19" s="584">
        <f>ROUND(10.92*2.5*0,0)</f>
        <v>0</v>
      </c>
      <c r="BV19" s="688">
        <v>0</v>
      </c>
      <c r="BW19" s="584">
        <f>ROUND(10.92*2.5*0,0)</f>
        <v>0</v>
      </c>
      <c r="BX19" s="688">
        <v>0</v>
      </c>
      <c r="BY19" s="584">
        <f>ROUND(10.92*2.5*0,0)</f>
        <v>0</v>
      </c>
      <c r="BZ19" s="688">
        <v>2.6</v>
      </c>
      <c r="CA19" s="584">
        <f>ROUND(10.92*2.5*2.6,0)</f>
        <v>71</v>
      </c>
      <c r="CB19" s="688">
        <v>3.1</v>
      </c>
      <c r="CC19" s="584">
        <f>ROUND(10.92*2.5*3.1,0)</f>
        <v>85</v>
      </c>
      <c r="CD19" s="688">
        <v>3.5</v>
      </c>
      <c r="CE19" s="584">
        <f>ROUND(10.92*2.5*3.5,0)</f>
        <v>96</v>
      </c>
      <c r="CF19" s="688">
        <v>3.7</v>
      </c>
      <c r="CG19" s="584">
        <f>ROUND(10.92*2.5*3.7,0)</f>
        <v>101</v>
      </c>
      <c r="CH19" s="688">
        <v>3.8</v>
      </c>
      <c r="CI19" s="584">
        <f>ROUND(10.92*2.5*3.8,0)</f>
        <v>104</v>
      </c>
      <c r="CJ19" s="688">
        <v>3.7</v>
      </c>
      <c r="CK19" s="584">
        <f>ROUND(10.92*2.5*3.7,0)</f>
        <v>101</v>
      </c>
      <c r="CL19" s="688">
        <v>3.4</v>
      </c>
      <c r="CM19" s="584">
        <f>ROUND(10.92*2.5*3.4,0)</f>
        <v>93</v>
      </c>
      <c r="CN19" s="688">
        <v>3.2</v>
      </c>
      <c r="CO19" s="584">
        <f>ROUND(10.92*2.5*3.2,0)</f>
        <v>87</v>
      </c>
      <c r="CP19" s="688">
        <v>3</v>
      </c>
      <c r="CQ19" s="584">
        <f>ROUND(10.92*2.5*3,0)</f>
        <v>82</v>
      </c>
      <c r="CR19" s="688">
        <v>2.6</v>
      </c>
      <c r="CS19" s="584">
        <f>ROUND(10.92*2.5*2.6,0)</f>
        <v>71</v>
      </c>
      <c r="CT19" s="688">
        <v>0</v>
      </c>
      <c r="CU19" s="584">
        <f>ROUND(10.92*2.5*0,0)</f>
        <v>0</v>
      </c>
      <c r="CV19" s="688">
        <v>0</v>
      </c>
      <c r="CW19" s="584">
        <f>ROUND(10.92*2.5*0,0)</f>
        <v>0</v>
      </c>
      <c r="CX19" s="688">
        <v>0</v>
      </c>
      <c r="CY19" s="584">
        <f>ROUND(10.92*2.5*0,0)</f>
        <v>0</v>
      </c>
      <c r="CZ19" s="688">
        <v>0</v>
      </c>
      <c r="DA19" s="584">
        <f>ROUND(10.92*2.5*0,0)</f>
        <v>0</v>
      </c>
      <c r="DB19" s="688">
        <v>0</v>
      </c>
      <c r="DC19" s="584">
        <f>ROUND(10.92*2.5*0,0)</f>
        <v>0</v>
      </c>
      <c r="DD19" s="688">
        <v>0</v>
      </c>
      <c r="DE19" s="586">
        <f>ROUND(10.92*2.5*0,0)</f>
        <v>0</v>
      </c>
      <c r="DF19" s="559"/>
      <c r="DG19" s="549"/>
      <c r="DH19" s="693" t="s">
        <v>253</v>
      </c>
      <c r="DI19" s="684"/>
      <c r="DJ19" s="580">
        <v>10.92</v>
      </c>
      <c r="DK19" s="685">
        <v>2.5</v>
      </c>
      <c r="DL19" s="686"/>
      <c r="DM19" s="687">
        <v>0</v>
      </c>
      <c r="DN19" s="584">
        <f>ROUND(10.92*2.5*0,0)</f>
        <v>0</v>
      </c>
      <c r="DO19" s="688">
        <v>0</v>
      </c>
      <c r="DP19" s="584">
        <f>ROUND(10.92*2.5*0,0)</f>
        <v>0</v>
      </c>
      <c r="DQ19" s="688">
        <v>0</v>
      </c>
      <c r="DR19" s="584">
        <f>ROUND(10.92*2.5*0,0)</f>
        <v>0</v>
      </c>
      <c r="DS19" s="688">
        <v>0</v>
      </c>
      <c r="DT19" s="584">
        <f>ROUND(10.92*2.5*0,0)</f>
        <v>0</v>
      </c>
      <c r="DU19" s="688">
        <v>0</v>
      </c>
      <c r="DV19" s="584">
        <f>ROUND(10.92*2.5*0,0)</f>
        <v>0</v>
      </c>
      <c r="DW19" s="688">
        <v>0</v>
      </c>
      <c r="DX19" s="584">
        <f>ROUND(10.92*2.5*0,0)</f>
        <v>0</v>
      </c>
      <c r="DY19" s="688">
        <v>0</v>
      </c>
      <c r="DZ19" s="584">
        <f>ROUND(10.92*2.5*0,0)</f>
        <v>0</v>
      </c>
      <c r="EA19" s="688">
        <v>0</v>
      </c>
      <c r="EB19" s="584">
        <f>ROUND(10.92*2.5*0,0)</f>
        <v>0</v>
      </c>
      <c r="EC19" s="688">
        <v>1.4</v>
      </c>
      <c r="ED19" s="584">
        <f>ROUND(10.92*2.5*1.4,0)</f>
        <v>38</v>
      </c>
      <c r="EE19" s="688">
        <v>2.1</v>
      </c>
      <c r="EF19" s="584">
        <f>ROUND(10.92*2.5*2.1,0)</f>
        <v>57</v>
      </c>
      <c r="EG19" s="688">
        <v>2.4</v>
      </c>
      <c r="EH19" s="584">
        <f>ROUND(10.92*2.5*2.4,0)</f>
        <v>66</v>
      </c>
      <c r="EI19" s="688">
        <v>2.8</v>
      </c>
      <c r="EJ19" s="584">
        <f>ROUND(10.92*2.5*2.8,0)</f>
        <v>76</v>
      </c>
      <c r="EK19" s="688">
        <v>2.9</v>
      </c>
      <c r="EL19" s="584">
        <f>ROUND(10.92*2.5*2.9,0)</f>
        <v>79</v>
      </c>
      <c r="EM19" s="688">
        <v>2.8</v>
      </c>
      <c r="EN19" s="584">
        <f>ROUND(10.92*2.5*2.8,0)</f>
        <v>76</v>
      </c>
      <c r="EO19" s="688">
        <v>2.6</v>
      </c>
      <c r="EP19" s="584">
        <f>ROUND(10.92*2.5*2.6,0)</f>
        <v>71</v>
      </c>
      <c r="EQ19" s="688">
        <v>2.2999999999999998</v>
      </c>
      <c r="ER19" s="584">
        <f>ROUND(10.92*2.5*2.3,0)</f>
        <v>63</v>
      </c>
      <c r="ES19" s="688">
        <v>1.8</v>
      </c>
      <c r="ET19" s="584">
        <f>ROUND(10.92*2.5*1.8,0)</f>
        <v>49</v>
      </c>
      <c r="EU19" s="688">
        <v>1.3</v>
      </c>
      <c r="EV19" s="584">
        <f>ROUND(10.92*2.5*1.3,0)</f>
        <v>35</v>
      </c>
      <c r="EW19" s="688">
        <v>0</v>
      </c>
      <c r="EX19" s="584">
        <f>ROUND(10.92*2.5*0,0)</f>
        <v>0</v>
      </c>
      <c r="EY19" s="688">
        <v>0</v>
      </c>
      <c r="EZ19" s="584">
        <f>ROUND(10.92*2.5*0,0)</f>
        <v>0</v>
      </c>
      <c r="FA19" s="688">
        <v>0</v>
      </c>
      <c r="FB19" s="584">
        <f>ROUND(10.92*2.5*0,0)</f>
        <v>0</v>
      </c>
      <c r="FC19" s="688">
        <v>0</v>
      </c>
      <c r="FD19" s="584">
        <f>ROUND(10.92*2.5*0,0)</f>
        <v>0</v>
      </c>
      <c r="FE19" s="688">
        <v>0</v>
      </c>
      <c r="FF19" s="584">
        <f>ROUND(10.92*2.5*0,0)</f>
        <v>0</v>
      </c>
      <c r="FG19" s="688">
        <v>0</v>
      </c>
      <c r="FH19" s="586">
        <f>ROUND(10.92*2.5*0,0)</f>
        <v>0</v>
      </c>
      <c r="FI19" s="560"/>
      <c r="FJ19" s="561"/>
      <c r="FK19" s="693" t="s">
        <v>253</v>
      </c>
      <c r="FL19" s="684"/>
      <c r="FM19" s="580">
        <v>10.92</v>
      </c>
      <c r="FN19" s="685">
        <v>2.5</v>
      </c>
      <c r="FO19" s="686"/>
      <c r="FP19" s="689">
        <v>9</v>
      </c>
      <c r="FQ19" s="690">
        <v>10</v>
      </c>
      <c r="FR19" s="584">
        <f>ROUND(10.92*2.5*10,0)</f>
        <v>273</v>
      </c>
      <c r="FS19" s="691">
        <v>9</v>
      </c>
      <c r="FT19" s="690">
        <v>10.199999999999999</v>
      </c>
      <c r="FU19" s="589">
        <f>ROUND(10.92*2.5*10.2,0)</f>
        <v>278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253</v>
      </c>
      <c r="C20" s="684"/>
      <c r="D20" s="580">
        <v>28.42</v>
      </c>
      <c r="E20" s="685">
        <v>2.5</v>
      </c>
      <c r="F20" s="686"/>
      <c r="G20" s="687">
        <v>0</v>
      </c>
      <c r="H20" s="584">
        <f>ROUND(28.42*2.5*0,0)</f>
        <v>0</v>
      </c>
      <c r="I20" s="688">
        <v>0</v>
      </c>
      <c r="J20" s="584">
        <f>ROUND(28.42*2.5*0,0)</f>
        <v>0</v>
      </c>
      <c r="K20" s="688">
        <v>0</v>
      </c>
      <c r="L20" s="584">
        <f>ROUND(28.42*2.5*0,0)</f>
        <v>0</v>
      </c>
      <c r="M20" s="688">
        <v>0</v>
      </c>
      <c r="N20" s="584">
        <f>ROUND(28.42*2.5*0,0)</f>
        <v>0</v>
      </c>
      <c r="O20" s="688">
        <v>0</v>
      </c>
      <c r="P20" s="584">
        <f>ROUND(28.42*2.5*0,0)</f>
        <v>0</v>
      </c>
      <c r="Q20" s="688">
        <v>0</v>
      </c>
      <c r="R20" s="584">
        <f>ROUND(28.42*2.5*0,0)</f>
        <v>0</v>
      </c>
      <c r="S20" s="688">
        <v>0</v>
      </c>
      <c r="T20" s="584">
        <f>ROUND(28.42*2.5*0,0)</f>
        <v>0</v>
      </c>
      <c r="U20" s="688">
        <v>0</v>
      </c>
      <c r="V20" s="584">
        <f>ROUND(28.42*2.5*0,0)</f>
        <v>0</v>
      </c>
      <c r="W20" s="688">
        <v>1.6</v>
      </c>
      <c r="X20" s="584">
        <f>ROUND(28.42*2.5*1.6,0)</f>
        <v>114</v>
      </c>
      <c r="Y20" s="688">
        <v>2</v>
      </c>
      <c r="Z20" s="584">
        <f>ROUND(28.42*2.5*2,0)</f>
        <v>142</v>
      </c>
      <c r="AA20" s="688">
        <v>2.2000000000000002</v>
      </c>
      <c r="AB20" s="584">
        <f>ROUND(28.42*2.5*2.2,0)</f>
        <v>156</v>
      </c>
      <c r="AC20" s="688">
        <v>2.2999999999999998</v>
      </c>
      <c r="AD20" s="584">
        <f>ROUND(28.42*2.5*2.3,0)</f>
        <v>163</v>
      </c>
      <c r="AE20" s="688">
        <v>2.4</v>
      </c>
      <c r="AF20" s="584">
        <f>ROUND(28.42*2.5*2.4,0)</f>
        <v>171</v>
      </c>
      <c r="AG20" s="688">
        <v>2.4</v>
      </c>
      <c r="AH20" s="584">
        <f>ROUND(28.42*2.5*2.4,0)</f>
        <v>171</v>
      </c>
      <c r="AI20" s="688">
        <v>2.2000000000000002</v>
      </c>
      <c r="AJ20" s="584">
        <f>ROUND(28.42*2.5*2.2,0)</f>
        <v>156</v>
      </c>
      <c r="AK20" s="688">
        <v>2.1</v>
      </c>
      <c r="AL20" s="584">
        <f>ROUND(28.42*2.5*2.1,0)</f>
        <v>149</v>
      </c>
      <c r="AM20" s="688">
        <v>1.8</v>
      </c>
      <c r="AN20" s="584">
        <f>ROUND(28.42*2.5*1.8,0)</f>
        <v>128</v>
      </c>
      <c r="AO20" s="688">
        <v>1.6</v>
      </c>
      <c r="AP20" s="584">
        <f>ROUND(28.42*2.5*1.6,0)</f>
        <v>114</v>
      </c>
      <c r="AQ20" s="688">
        <v>0</v>
      </c>
      <c r="AR20" s="584">
        <f>ROUND(28.42*2.5*0,0)</f>
        <v>0</v>
      </c>
      <c r="AS20" s="688">
        <v>0</v>
      </c>
      <c r="AT20" s="584">
        <f>ROUND(28.42*2.5*0,0)</f>
        <v>0</v>
      </c>
      <c r="AU20" s="688">
        <v>0</v>
      </c>
      <c r="AV20" s="584">
        <f>ROUND(28.42*2.5*0,0)</f>
        <v>0</v>
      </c>
      <c r="AW20" s="688">
        <v>0</v>
      </c>
      <c r="AX20" s="584">
        <f>ROUND(28.42*2.5*0,0)</f>
        <v>0</v>
      </c>
      <c r="AY20" s="688">
        <v>0</v>
      </c>
      <c r="AZ20" s="584">
        <f>ROUND(28.42*2.5*0,0)</f>
        <v>0</v>
      </c>
      <c r="BA20" s="688">
        <v>0</v>
      </c>
      <c r="BB20" s="586">
        <f>ROUND(28.42*2.5*0,0)</f>
        <v>0</v>
      </c>
      <c r="BC20" s="559"/>
      <c r="BD20" s="549"/>
      <c r="BE20" s="693" t="s">
        <v>253</v>
      </c>
      <c r="BF20" s="684"/>
      <c r="BG20" s="580">
        <v>28.42</v>
      </c>
      <c r="BH20" s="685">
        <v>2.5</v>
      </c>
      <c r="BI20" s="686"/>
      <c r="BJ20" s="687">
        <v>0</v>
      </c>
      <c r="BK20" s="584">
        <f>ROUND(28.42*2.5*0,0)</f>
        <v>0</v>
      </c>
      <c r="BL20" s="688">
        <v>0</v>
      </c>
      <c r="BM20" s="584">
        <f>ROUND(28.42*2.5*0,0)</f>
        <v>0</v>
      </c>
      <c r="BN20" s="688">
        <v>0</v>
      </c>
      <c r="BO20" s="584">
        <f>ROUND(28.42*2.5*0,0)</f>
        <v>0</v>
      </c>
      <c r="BP20" s="688">
        <v>0</v>
      </c>
      <c r="BQ20" s="584">
        <f>ROUND(28.42*2.5*0,0)</f>
        <v>0</v>
      </c>
      <c r="BR20" s="688">
        <v>0</v>
      </c>
      <c r="BS20" s="584">
        <f>ROUND(28.42*2.5*0,0)</f>
        <v>0</v>
      </c>
      <c r="BT20" s="688">
        <v>0</v>
      </c>
      <c r="BU20" s="584">
        <f>ROUND(28.42*2.5*0,0)</f>
        <v>0</v>
      </c>
      <c r="BV20" s="688">
        <v>0</v>
      </c>
      <c r="BW20" s="584">
        <f>ROUND(28.42*2.5*0,0)</f>
        <v>0</v>
      </c>
      <c r="BX20" s="688">
        <v>0</v>
      </c>
      <c r="BY20" s="584">
        <f>ROUND(28.42*2.5*0,0)</f>
        <v>0</v>
      </c>
      <c r="BZ20" s="688">
        <v>1.5</v>
      </c>
      <c r="CA20" s="584">
        <f>ROUND(28.42*2.5*1.5,0)</f>
        <v>107</v>
      </c>
      <c r="CB20" s="688">
        <v>1.8</v>
      </c>
      <c r="CC20" s="584">
        <f>ROUND(28.42*2.5*1.8,0)</f>
        <v>128</v>
      </c>
      <c r="CD20" s="688">
        <v>2.1</v>
      </c>
      <c r="CE20" s="584">
        <f>ROUND(28.42*2.5*2.1,0)</f>
        <v>149</v>
      </c>
      <c r="CF20" s="688">
        <v>2.2000000000000002</v>
      </c>
      <c r="CG20" s="584">
        <f>ROUND(28.42*2.5*2.2,0)</f>
        <v>156</v>
      </c>
      <c r="CH20" s="688">
        <v>2.2999999999999998</v>
      </c>
      <c r="CI20" s="584">
        <f>ROUND(28.42*2.5*2.3,0)</f>
        <v>163</v>
      </c>
      <c r="CJ20" s="688">
        <v>2.2000000000000002</v>
      </c>
      <c r="CK20" s="584">
        <f>ROUND(28.42*2.5*2.2,0)</f>
        <v>156</v>
      </c>
      <c r="CL20" s="688">
        <v>2.1</v>
      </c>
      <c r="CM20" s="584">
        <f>ROUND(28.42*2.5*2.1,0)</f>
        <v>149</v>
      </c>
      <c r="CN20" s="688">
        <v>2</v>
      </c>
      <c r="CO20" s="584">
        <f>ROUND(28.42*2.5*2,0)</f>
        <v>142</v>
      </c>
      <c r="CP20" s="688">
        <v>1.8</v>
      </c>
      <c r="CQ20" s="584">
        <f>ROUND(28.42*2.5*1.8,0)</f>
        <v>128</v>
      </c>
      <c r="CR20" s="688">
        <v>1.5</v>
      </c>
      <c r="CS20" s="584">
        <f>ROUND(28.42*2.5*1.5,0)</f>
        <v>107</v>
      </c>
      <c r="CT20" s="688">
        <v>0</v>
      </c>
      <c r="CU20" s="584">
        <f>ROUND(28.42*2.5*0,0)</f>
        <v>0</v>
      </c>
      <c r="CV20" s="688">
        <v>0</v>
      </c>
      <c r="CW20" s="584">
        <f>ROUND(28.42*2.5*0,0)</f>
        <v>0</v>
      </c>
      <c r="CX20" s="688">
        <v>0</v>
      </c>
      <c r="CY20" s="584">
        <f>ROUND(28.42*2.5*0,0)</f>
        <v>0</v>
      </c>
      <c r="CZ20" s="688">
        <v>0</v>
      </c>
      <c r="DA20" s="584">
        <f>ROUND(28.42*2.5*0,0)</f>
        <v>0</v>
      </c>
      <c r="DB20" s="688">
        <v>0</v>
      </c>
      <c r="DC20" s="584">
        <f>ROUND(28.42*2.5*0,0)</f>
        <v>0</v>
      </c>
      <c r="DD20" s="688">
        <v>0</v>
      </c>
      <c r="DE20" s="586">
        <f>ROUND(28.42*2.5*0,0)</f>
        <v>0</v>
      </c>
      <c r="DF20" s="559"/>
      <c r="DG20" s="549"/>
      <c r="DH20" s="693" t="s">
        <v>253</v>
      </c>
      <c r="DI20" s="684"/>
      <c r="DJ20" s="580">
        <v>28.42</v>
      </c>
      <c r="DK20" s="685">
        <v>2.5</v>
      </c>
      <c r="DL20" s="686"/>
      <c r="DM20" s="687">
        <v>0</v>
      </c>
      <c r="DN20" s="584">
        <f>ROUND(28.42*2.5*0,0)</f>
        <v>0</v>
      </c>
      <c r="DO20" s="688">
        <v>0</v>
      </c>
      <c r="DP20" s="584">
        <f>ROUND(28.42*2.5*0,0)</f>
        <v>0</v>
      </c>
      <c r="DQ20" s="688">
        <v>0</v>
      </c>
      <c r="DR20" s="584">
        <f>ROUND(28.42*2.5*0,0)</f>
        <v>0</v>
      </c>
      <c r="DS20" s="688">
        <v>0</v>
      </c>
      <c r="DT20" s="584">
        <f>ROUND(28.42*2.5*0,0)</f>
        <v>0</v>
      </c>
      <c r="DU20" s="688">
        <v>0</v>
      </c>
      <c r="DV20" s="584">
        <f>ROUND(28.42*2.5*0,0)</f>
        <v>0</v>
      </c>
      <c r="DW20" s="688">
        <v>0</v>
      </c>
      <c r="DX20" s="584">
        <f>ROUND(28.42*2.5*0,0)</f>
        <v>0</v>
      </c>
      <c r="DY20" s="688">
        <v>0</v>
      </c>
      <c r="DZ20" s="584">
        <f>ROUND(28.42*2.5*0,0)</f>
        <v>0</v>
      </c>
      <c r="EA20" s="688">
        <v>0</v>
      </c>
      <c r="EB20" s="584">
        <f>ROUND(28.42*2.5*0,0)</f>
        <v>0</v>
      </c>
      <c r="EC20" s="688">
        <v>0.8</v>
      </c>
      <c r="ED20" s="584">
        <f>ROUND(28.42*2.5*0.8,0)</f>
        <v>57</v>
      </c>
      <c r="EE20" s="688">
        <v>1.2</v>
      </c>
      <c r="EF20" s="584">
        <f>ROUND(28.42*2.5*1.2,0)</f>
        <v>85</v>
      </c>
      <c r="EG20" s="688">
        <v>1.5</v>
      </c>
      <c r="EH20" s="584">
        <f>ROUND(28.42*2.5*1.5,0)</f>
        <v>107</v>
      </c>
      <c r="EI20" s="688">
        <v>1.7</v>
      </c>
      <c r="EJ20" s="584">
        <f>ROUND(28.42*2.5*1.7,0)</f>
        <v>121</v>
      </c>
      <c r="EK20" s="688">
        <v>1.7</v>
      </c>
      <c r="EL20" s="584">
        <f>ROUND(28.42*2.5*1.7,0)</f>
        <v>121</v>
      </c>
      <c r="EM20" s="688">
        <v>1.6</v>
      </c>
      <c r="EN20" s="584">
        <f>ROUND(28.42*2.5*1.6,0)</f>
        <v>114</v>
      </c>
      <c r="EO20" s="688">
        <v>1.5</v>
      </c>
      <c r="EP20" s="584">
        <f>ROUND(28.42*2.5*1.5,0)</f>
        <v>107</v>
      </c>
      <c r="EQ20" s="688">
        <v>1.4</v>
      </c>
      <c r="ER20" s="584">
        <f>ROUND(28.42*2.5*1.4,0)</f>
        <v>99</v>
      </c>
      <c r="ES20" s="688">
        <v>1.1000000000000001</v>
      </c>
      <c r="ET20" s="584">
        <f>ROUND(28.42*2.5*1.1,0)</f>
        <v>78</v>
      </c>
      <c r="EU20" s="688">
        <v>0.8</v>
      </c>
      <c r="EV20" s="584">
        <f>ROUND(28.42*2.5*0.8,0)</f>
        <v>57</v>
      </c>
      <c r="EW20" s="688">
        <v>0</v>
      </c>
      <c r="EX20" s="584">
        <f>ROUND(28.42*2.5*0,0)</f>
        <v>0</v>
      </c>
      <c r="EY20" s="688">
        <v>0</v>
      </c>
      <c r="EZ20" s="584">
        <f>ROUND(28.42*2.5*0,0)</f>
        <v>0</v>
      </c>
      <c r="FA20" s="688">
        <v>0</v>
      </c>
      <c r="FB20" s="584">
        <f>ROUND(28.42*2.5*0,0)</f>
        <v>0</v>
      </c>
      <c r="FC20" s="688">
        <v>0</v>
      </c>
      <c r="FD20" s="584">
        <f>ROUND(28.42*2.5*0,0)</f>
        <v>0</v>
      </c>
      <c r="FE20" s="688">
        <v>0</v>
      </c>
      <c r="FF20" s="584">
        <f>ROUND(28.42*2.5*0,0)</f>
        <v>0</v>
      </c>
      <c r="FG20" s="688">
        <v>0</v>
      </c>
      <c r="FH20" s="586">
        <f>ROUND(28.42*2.5*0,0)</f>
        <v>0</v>
      </c>
      <c r="FI20" s="560"/>
      <c r="FJ20" s="561"/>
      <c r="FK20" s="693" t="s">
        <v>253</v>
      </c>
      <c r="FL20" s="684"/>
      <c r="FM20" s="580">
        <v>28.42</v>
      </c>
      <c r="FN20" s="685">
        <v>2.5</v>
      </c>
      <c r="FO20" s="686"/>
      <c r="FP20" s="689">
        <v>9</v>
      </c>
      <c r="FQ20" s="690">
        <v>6</v>
      </c>
      <c r="FR20" s="584">
        <f>ROUND(28.42*2.5*6,0)</f>
        <v>426</v>
      </c>
      <c r="FS20" s="691">
        <v>9</v>
      </c>
      <c r="FT20" s="690">
        <v>6.1</v>
      </c>
      <c r="FU20" s="589">
        <f>ROUND(28.42*2.5*6.1,0)</f>
        <v>433</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253</v>
      </c>
      <c r="C21" s="684"/>
      <c r="D21" s="580">
        <v>10.64</v>
      </c>
      <c r="E21" s="685">
        <v>2.5</v>
      </c>
      <c r="F21" s="686"/>
      <c r="G21" s="687">
        <v>0</v>
      </c>
      <c r="H21" s="584">
        <f>ROUND(10.64*2.5*0,0)</f>
        <v>0</v>
      </c>
      <c r="I21" s="688">
        <v>0</v>
      </c>
      <c r="J21" s="584">
        <f>ROUND(10.64*2.5*0,0)</f>
        <v>0</v>
      </c>
      <c r="K21" s="688">
        <v>0</v>
      </c>
      <c r="L21" s="584">
        <f>ROUND(10.64*2.5*0,0)</f>
        <v>0</v>
      </c>
      <c r="M21" s="688">
        <v>0</v>
      </c>
      <c r="N21" s="584">
        <f>ROUND(10.64*2.5*0,0)</f>
        <v>0</v>
      </c>
      <c r="O21" s="688">
        <v>0</v>
      </c>
      <c r="P21" s="584">
        <f>ROUND(10.64*2.5*0,0)</f>
        <v>0</v>
      </c>
      <c r="Q21" s="688">
        <v>0</v>
      </c>
      <c r="R21" s="584">
        <f>ROUND(10.64*2.5*0,0)</f>
        <v>0</v>
      </c>
      <c r="S21" s="688">
        <v>0</v>
      </c>
      <c r="T21" s="584">
        <f>ROUND(10.64*2.5*0,0)</f>
        <v>0</v>
      </c>
      <c r="U21" s="688">
        <v>0</v>
      </c>
      <c r="V21" s="584">
        <f>ROUND(10.64*2.5*0,0)</f>
        <v>0</v>
      </c>
      <c r="W21" s="688">
        <v>1.6</v>
      </c>
      <c r="X21" s="584">
        <f>ROUND(10.64*2.5*1.6,0)</f>
        <v>43</v>
      </c>
      <c r="Y21" s="688">
        <v>2</v>
      </c>
      <c r="Z21" s="584">
        <f>ROUND(10.64*2.5*2,0)</f>
        <v>53</v>
      </c>
      <c r="AA21" s="688">
        <v>2.2000000000000002</v>
      </c>
      <c r="AB21" s="584">
        <f>ROUND(10.64*2.5*2.2,0)</f>
        <v>59</v>
      </c>
      <c r="AC21" s="688">
        <v>2.2999999999999998</v>
      </c>
      <c r="AD21" s="584">
        <f>ROUND(10.64*2.5*2.3,0)</f>
        <v>61</v>
      </c>
      <c r="AE21" s="688">
        <v>2.4</v>
      </c>
      <c r="AF21" s="584">
        <f>ROUND(10.64*2.5*2.4,0)</f>
        <v>64</v>
      </c>
      <c r="AG21" s="688">
        <v>2.4</v>
      </c>
      <c r="AH21" s="584">
        <f>ROUND(10.64*2.5*2.4,0)</f>
        <v>64</v>
      </c>
      <c r="AI21" s="688">
        <v>2.2000000000000002</v>
      </c>
      <c r="AJ21" s="584">
        <f>ROUND(10.64*2.5*2.2,0)</f>
        <v>59</v>
      </c>
      <c r="AK21" s="688">
        <v>2.1</v>
      </c>
      <c r="AL21" s="584">
        <f>ROUND(10.64*2.5*2.1,0)</f>
        <v>56</v>
      </c>
      <c r="AM21" s="688">
        <v>1.8</v>
      </c>
      <c r="AN21" s="584">
        <f>ROUND(10.64*2.5*1.8,0)</f>
        <v>48</v>
      </c>
      <c r="AO21" s="688">
        <v>1.6</v>
      </c>
      <c r="AP21" s="584">
        <f>ROUND(10.64*2.5*1.6,0)</f>
        <v>43</v>
      </c>
      <c r="AQ21" s="688">
        <v>0</v>
      </c>
      <c r="AR21" s="584">
        <f>ROUND(10.64*2.5*0,0)</f>
        <v>0</v>
      </c>
      <c r="AS21" s="688">
        <v>0</v>
      </c>
      <c r="AT21" s="584">
        <f>ROUND(10.64*2.5*0,0)</f>
        <v>0</v>
      </c>
      <c r="AU21" s="688">
        <v>0</v>
      </c>
      <c r="AV21" s="584">
        <f>ROUND(10.64*2.5*0,0)</f>
        <v>0</v>
      </c>
      <c r="AW21" s="688">
        <v>0</v>
      </c>
      <c r="AX21" s="584">
        <f>ROUND(10.64*2.5*0,0)</f>
        <v>0</v>
      </c>
      <c r="AY21" s="688">
        <v>0</v>
      </c>
      <c r="AZ21" s="584">
        <f>ROUND(10.64*2.5*0,0)</f>
        <v>0</v>
      </c>
      <c r="BA21" s="688">
        <v>0</v>
      </c>
      <c r="BB21" s="586">
        <f>ROUND(10.64*2.5*0,0)</f>
        <v>0</v>
      </c>
      <c r="BC21" s="559"/>
      <c r="BD21" s="549"/>
      <c r="BE21" s="693" t="s">
        <v>253</v>
      </c>
      <c r="BF21" s="684"/>
      <c r="BG21" s="580">
        <v>10.64</v>
      </c>
      <c r="BH21" s="685">
        <v>2.5</v>
      </c>
      <c r="BI21" s="686"/>
      <c r="BJ21" s="687">
        <v>0</v>
      </c>
      <c r="BK21" s="584">
        <f>ROUND(10.64*2.5*0,0)</f>
        <v>0</v>
      </c>
      <c r="BL21" s="688">
        <v>0</v>
      </c>
      <c r="BM21" s="584">
        <f>ROUND(10.64*2.5*0,0)</f>
        <v>0</v>
      </c>
      <c r="BN21" s="688">
        <v>0</v>
      </c>
      <c r="BO21" s="584">
        <f>ROUND(10.64*2.5*0,0)</f>
        <v>0</v>
      </c>
      <c r="BP21" s="688">
        <v>0</v>
      </c>
      <c r="BQ21" s="584">
        <f>ROUND(10.64*2.5*0,0)</f>
        <v>0</v>
      </c>
      <c r="BR21" s="688">
        <v>0</v>
      </c>
      <c r="BS21" s="584">
        <f>ROUND(10.64*2.5*0,0)</f>
        <v>0</v>
      </c>
      <c r="BT21" s="688">
        <v>0</v>
      </c>
      <c r="BU21" s="584">
        <f>ROUND(10.64*2.5*0,0)</f>
        <v>0</v>
      </c>
      <c r="BV21" s="688">
        <v>0</v>
      </c>
      <c r="BW21" s="584">
        <f>ROUND(10.64*2.5*0,0)</f>
        <v>0</v>
      </c>
      <c r="BX21" s="688">
        <v>0</v>
      </c>
      <c r="BY21" s="584">
        <f>ROUND(10.64*2.5*0,0)</f>
        <v>0</v>
      </c>
      <c r="BZ21" s="688">
        <v>1.5</v>
      </c>
      <c r="CA21" s="584">
        <f>ROUND(10.64*2.5*1.5,0)</f>
        <v>40</v>
      </c>
      <c r="CB21" s="688">
        <v>1.8</v>
      </c>
      <c r="CC21" s="584">
        <f>ROUND(10.64*2.5*1.8,0)</f>
        <v>48</v>
      </c>
      <c r="CD21" s="688">
        <v>2.1</v>
      </c>
      <c r="CE21" s="584">
        <f>ROUND(10.64*2.5*2.1,0)</f>
        <v>56</v>
      </c>
      <c r="CF21" s="688">
        <v>2.2000000000000002</v>
      </c>
      <c r="CG21" s="584">
        <f>ROUND(10.64*2.5*2.2,0)</f>
        <v>59</v>
      </c>
      <c r="CH21" s="688">
        <v>2.2999999999999998</v>
      </c>
      <c r="CI21" s="584">
        <f>ROUND(10.64*2.5*2.3,0)</f>
        <v>61</v>
      </c>
      <c r="CJ21" s="688">
        <v>2.2000000000000002</v>
      </c>
      <c r="CK21" s="584">
        <f>ROUND(10.64*2.5*2.2,0)</f>
        <v>59</v>
      </c>
      <c r="CL21" s="688">
        <v>2.1</v>
      </c>
      <c r="CM21" s="584">
        <f>ROUND(10.64*2.5*2.1,0)</f>
        <v>56</v>
      </c>
      <c r="CN21" s="688">
        <v>2</v>
      </c>
      <c r="CO21" s="584">
        <f>ROUND(10.64*2.5*2,0)</f>
        <v>53</v>
      </c>
      <c r="CP21" s="688">
        <v>1.8</v>
      </c>
      <c r="CQ21" s="584">
        <f>ROUND(10.64*2.5*1.8,0)</f>
        <v>48</v>
      </c>
      <c r="CR21" s="688">
        <v>1.5</v>
      </c>
      <c r="CS21" s="584">
        <f>ROUND(10.64*2.5*1.5,0)</f>
        <v>40</v>
      </c>
      <c r="CT21" s="688">
        <v>0</v>
      </c>
      <c r="CU21" s="584">
        <f>ROUND(10.64*2.5*0,0)</f>
        <v>0</v>
      </c>
      <c r="CV21" s="688">
        <v>0</v>
      </c>
      <c r="CW21" s="584">
        <f>ROUND(10.64*2.5*0,0)</f>
        <v>0</v>
      </c>
      <c r="CX21" s="688">
        <v>0</v>
      </c>
      <c r="CY21" s="584">
        <f>ROUND(10.64*2.5*0,0)</f>
        <v>0</v>
      </c>
      <c r="CZ21" s="688">
        <v>0</v>
      </c>
      <c r="DA21" s="584">
        <f>ROUND(10.64*2.5*0,0)</f>
        <v>0</v>
      </c>
      <c r="DB21" s="688">
        <v>0</v>
      </c>
      <c r="DC21" s="584">
        <f>ROUND(10.64*2.5*0,0)</f>
        <v>0</v>
      </c>
      <c r="DD21" s="688">
        <v>0</v>
      </c>
      <c r="DE21" s="586">
        <f>ROUND(10.64*2.5*0,0)</f>
        <v>0</v>
      </c>
      <c r="DF21" s="559"/>
      <c r="DG21" s="549"/>
      <c r="DH21" s="693" t="s">
        <v>253</v>
      </c>
      <c r="DI21" s="684"/>
      <c r="DJ21" s="580">
        <v>10.64</v>
      </c>
      <c r="DK21" s="685">
        <v>2.5</v>
      </c>
      <c r="DL21" s="686"/>
      <c r="DM21" s="687">
        <v>0</v>
      </c>
      <c r="DN21" s="584">
        <f>ROUND(10.64*2.5*0,0)</f>
        <v>0</v>
      </c>
      <c r="DO21" s="688">
        <v>0</v>
      </c>
      <c r="DP21" s="584">
        <f>ROUND(10.64*2.5*0,0)</f>
        <v>0</v>
      </c>
      <c r="DQ21" s="688">
        <v>0</v>
      </c>
      <c r="DR21" s="584">
        <f>ROUND(10.64*2.5*0,0)</f>
        <v>0</v>
      </c>
      <c r="DS21" s="688">
        <v>0</v>
      </c>
      <c r="DT21" s="584">
        <f>ROUND(10.64*2.5*0,0)</f>
        <v>0</v>
      </c>
      <c r="DU21" s="688">
        <v>0</v>
      </c>
      <c r="DV21" s="584">
        <f>ROUND(10.64*2.5*0,0)</f>
        <v>0</v>
      </c>
      <c r="DW21" s="688">
        <v>0</v>
      </c>
      <c r="DX21" s="584">
        <f>ROUND(10.64*2.5*0,0)</f>
        <v>0</v>
      </c>
      <c r="DY21" s="688">
        <v>0</v>
      </c>
      <c r="DZ21" s="584">
        <f>ROUND(10.64*2.5*0,0)</f>
        <v>0</v>
      </c>
      <c r="EA21" s="688">
        <v>0</v>
      </c>
      <c r="EB21" s="584">
        <f>ROUND(10.64*2.5*0,0)</f>
        <v>0</v>
      </c>
      <c r="EC21" s="688">
        <v>0.8</v>
      </c>
      <c r="ED21" s="584">
        <f>ROUND(10.64*2.5*0.8,0)</f>
        <v>21</v>
      </c>
      <c r="EE21" s="688">
        <v>1.2</v>
      </c>
      <c r="EF21" s="584">
        <f>ROUND(10.64*2.5*1.2,0)</f>
        <v>32</v>
      </c>
      <c r="EG21" s="688">
        <v>1.5</v>
      </c>
      <c r="EH21" s="584">
        <f>ROUND(10.64*2.5*1.5,0)</f>
        <v>40</v>
      </c>
      <c r="EI21" s="688">
        <v>1.7</v>
      </c>
      <c r="EJ21" s="584">
        <f>ROUND(10.64*2.5*1.7,0)</f>
        <v>45</v>
      </c>
      <c r="EK21" s="688">
        <v>1.7</v>
      </c>
      <c r="EL21" s="584">
        <f>ROUND(10.64*2.5*1.7,0)</f>
        <v>45</v>
      </c>
      <c r="EM21" s="688">
        <v>1.6</v>
      </c>
      <c r="EN21" s="584">
        <f>ROUND(10.64*2.5*1.6,0)</f>
        <v>43</v>
      </c>
      <c r="EO21" s="688">
        <v>1.5</v>
      </c>
      <c r="EP21" s="584">
        <f>ROUND(10.64*2.5*1.5,0)</f>
        <v>40</v>
      </c>
      <c r="EQ21" s="688">
        <v>1.4</v>
      </c>
      <c r="ER21" s="584">
        <f>ROUND(10.64*2.5*1.4,0)</f>
        <v>37</v>
      </c>
      <c r="ES21" s="688">
        <v>1.1000000000000001</v>
      </c>
      <c r="ET21" s="584">
        <f>ROUND(10.64*2.5*1.1,0)</f>
        <v>29</v>
      </c>
      <c r="EU21" s="688">
        <v>0.8</v>
      </c>
      <c r="EV21" s="584">
        <f>ROUND(10.64*2.5*0.8,0)</f>
        <v>21</v>
      </c>
      <c r="EW21" s="688">
        <v>0</v>
      </c>
      <c r="EX21" s="584">
        <f>ROUND(10.64*2.5*0,0)</f>
        <v>0</v>
      </c>
      <c r="EY21" s="688">
        <v>0</v>
      </c>
      <c r="EZ21" s="584">
        <f>ROUND(10.64*2.5*0,0)</f>
        <v>0</v>
      </c>
      <c r="FA21" s="688">
        <v>0</v>
      </c>
      <c r="FB21" s="584">
        <f>ROUND(10.64*2.5*0,0)</f>
        <v>0</v>
      </c>
      <c r="FC21" s="688">
        <v>0</v>
      </c>
      <c r="FD21" s="584">
        <f>ROUND(10.64*2.5*0,0)</f>
        <v>0</v>
      </c>
      <c r="FE21" s="688">
        <v>0</v>
      </c>
      <c r="FF21" s="584">
        <f>ROUND(10.64*2.5*0,0)</f>
        <v>0</v>
      </c>
      <c r="FG21" s="688">
        <v>0</v>
      </c>
      <c r="FH21" s="586">
        <f>ROUND(10.64*2.5*0,0)</f>
        <v>0</v>
      </c>
      <c r="FI21" s="560"/>
      <c r="FJ21" s="561"/>
      <c r="FK21" s="693" t="s">
        <v>253</v>
      </c>
      <c r="FL21" s="684"/>
      <c r="FM21" s="580">
        <v>10.64</v>
      </c>
      <c r="FN21" s="685">
        <v>2.5</v>
      </c>
      <c r="FO21" s="686"/>
      <c r="FP21" s="689">
        <v>9</v>
      </c>
      <c r="FQ21" s="690">
        <v>6</v>
      </c>
      <c r="FR21" s="584">
        <f>ROUND(10.64*2.5*6,0)</f>
        <v>160</v>
      </c>
      <c r="FS21" s="691">
        <v>9</v>
      </c>
      <c r="FT21" s="690">
        <v>6.1</v>
      </c>
      <c r="FU21" s="589">
        <f>ROUND(10.64*2.5*6.1,0)</f>
        <v>162</v>
      </c>
      <c r="FV21" s="590"/>
      <c r="FW21" s="591"/>
      <c r="FX21" s="592"/>
      <c r="FY21" s="593"/>
      <c r="FZ21" s="594"/>
      <c r="GA21" s="595"/>
      <c r="GB21" s="596"/>
      <c r="GC21" s="597"/>
      <c r="GD21" s="596"/>
      <c r="GE21" s="598"/>
      <c r="GF21" s="681"/>
      <c r="GG21" s="599"/>
      <c r="GH21" s="599"/>
      <c r="GI21" s="599"/>
      <c r="GJ21" s="410"/>
      <c r="GK21" s="694" t="s">
        <v>455</v>
      </c>
      <c r="GL21" s="695"/>
      <c r="GM21" s="696"/>
      <c r="GN21" s="635">
        <v>5.4</v>
      </c>
      <c r="GO21" s="697"/>
      <c r="GP21" s="698"/>
      <c r="GQ21" s="630">
        <v>9.7200000000000006</v>
      </c>
      <c r="GR21" s="631">
        <v>5.4</v>
      </c>
      <c r="GS21" s="575"/>
      <c r="GT21" s="670"/>
      <c r="GU21" s="694" t="s">
        <v>455</v>
      </c>
      <c r="GV21" s="695"/>
      <c r="GW21" s="696"/>
      <c r="GX21" s="699">
        <v>5.4</v>
      </c>
      <c r="GY21" s="700"/>
      <c r="GZ21" s="697"/>
      <c r="HA21" s="701">
        <v>1.62</v>
      </c>
      <c r="HB21" s="702"/>
      <c r="HC21" s="703"/>
      <c r="HD21" s="559"/>
      <c r="HE21" s="612"/>
      <c r="HF21" s="612"/>
      <c r="HG21" s="416"/>
    </row>
    <row r="22" spans="1:218" ht="20.100000000000001" customHeight="1">
      <c r="A22" s="549"/>
      <c r="B22" s="693" t="s">
        <v>241</v>
      </c>
      <c r="C22" s="684"/>
      <c r="D22" s="580">
        <v>53.34</v>
      </c>
      <c r="E22" s="685">
        <v>0.5</v>
      </c>
      <c r="F22" s="686"/>
      <c r="G22" s="687">
        <v>0</v>
      </c>
      <c r="H22" s="584">
        <f>ROUND(53.34*0.5*0,0)</f>
        <v>0</v>
      </c>
      <c r="I22" s="688">
        <v>0</v>
      </c>
      <c r="J22" s="584">
        <f>ROUND(53.34*0.5*0,0)</f>
        <v>0</v>
      </c>
      <c r="K22" s="688">
        <v>0</v>
      </c>
      <c r="L22" s="584">
        <f>ROUND(53.34*0.5*0,0)</f>
        <v>0</v>
      </c>
      <c r="M22" s="688">
        <v>0</v>
      </c>
      <c r="N22" s="584">
        <f>ROUND(53.34*0.5*0,0)</f>
        <v>0</v>
      </c>
      <c r="O22" s="688">
        <v>0</v>
      </c>
      <c r="P22" s="584">
        <f>ROUND(53.34*0.5*0,0)</f>
        <v>0</v>
      </c>
      <c r="Q22" s="688">
        <v>0</v>
      </c>
      <c r="R22" s="584">
        <f>ROUND(53.34*0.5*0,0)</f>
        <v>0</v>
      </c>
      <c r="S22" s="688">
        <v>0</v>
      </c>
      <c r="T22" s="584">
        <f>ROUND(53.34*0.5*0,0)</f>
        <v>0</v>
      </c>
      <c r="U22" s="688">
        <v>0</v>
      </c>
      <c r="V22" s="584">
        <f>ROUND(53.34*0.5*0,0)</f>
        <v>0</v>
      </c>
      <c r="W22" s="688">
        <v>5.3</v>
      </c>
      <c r="X22" s="584">
        <f>ROUND(53.34*0.5*5.3,0)</f>
        <v>141</v>
      </c>
      <c r="Y22" s="688">
        <v>5.2</v>
      </c>
      <c r="Z22" s="584">
        <f>ROUND(53.34*0.5*5.2,0)</f>
        <v>139</v>
      </c>
      <c r="AA22" s="688">
        <v>5.2</v>
      </c>
      <c r="AB22" s="584">
        <f>ROUND(53.34*0.5*5.2,0)</f>
        <v>139</v>
      </c>
      <c r="AC22" s="688">
        <v>5.3</v>
      </c>
      <c r="AD22" s="584">
        <f>ROUND(53.34*0.5*5.3,0)</f>
        <v>141</v>
      </c>
      <c r="AE22" s="688">
        <v>5.7</v>
      </c>
      <c r="AF22" s="584">
        <f>ROUND(53.34*0.5*5.7,0)</f>
        <v>152</v>
      </c>
      <c r="AG22" s="688">
        <v>6.3</v>
      </c>
      <c r="AH22" s="584">
        <f>ROUND(53.34*0.5*6.3,0)</f>
        <v>168</v>
      </c>
      <c r="AI22" s="688">
        <v>7</v>
      </c>
      <c r="AJ22" s="584">
        <f>ROUND(53.34*0.5*7,0)</f>
        <v>187</v>
      </c>
      <c r="AK22" s="688">
        <v>7.8</v>
      </c>
      <c r="AL22" s="584">
        <f>ROUND(53.34*0.5*7.8,0)</f>
        <v>208</v>
      </c>
      <c r="AM22" s="688">
        <v>8.6</v>
      </c>
      <c r="AN22" s="584">
        <f>ROUND(53.34*0.5*8.6,0)</f>
        <v>229</v>
      </c>
      <c r="AO22" s="688">
        <v>9.4</v>
      </c>
      <c r="AP22" s="584">
        <f>ROUND(53.34*0.5*9.4,0)</f>
        <v>251</v>
      </c>
      <c r="AQ22" s="688">
        <v>0</v>
      </c>
      <c r="AR22" s="584">
        <f>ROUND(53.34*0.5*0,0)</f>
        <v>0</v>
      </c>
      <c r="AS22" s="688">
        <v>0</v>
      </c>
      <c r="AT22" s="584">
        <f>ROUND(53.34*0.5*0,0)</f>
        <v>0</v>
      </c>
      <c r="AU22" s="688">
        <v>0</v>
      </c>
      <c r="AV22" s="584">
        <f>ROUND(53.34*0.5*0,0)</f>
        <v>0</v>
      </c>
      <c r="AW22" s="688">
        <v>0</v>
      </c>
      <c r="AX22" s="584">
        <f>ROUND(53.34*0.5*0,0)</f>
        <v>0</v>
      </c>
      <c r="AY22" s="688">
        <v>0</v>
      </c>
      <c r="AZ22" s="584">
        <f>ROUND(53.34*0.5*0,0)</f>
        <v>0</v>
      </c>
      <c r="BA22" s="688">
        <v>0</v>
      </c>
      <c r="BB22" s="586">
        <f>ROUND(53.34*0.5*0,0)</f>
        <v>0</v>
      </c>
      <c r="BC22" s="559"/>
      <c r="BD22" s="549"/>
      <c r="BE22" s="693" t="s">
        <v>241</v>
      </c>
      <c r="BF22" s="684"/>
      <c r="BG22" s="580">
        <v>53.34</v>
      </c>
      <c r="BH22" s="685">
        <v>0.5</v>
      </c>
      <c r="BI22" s="686"/>
      <c r="BJ22" s="687">
        <v>0</v>
      </c>
      <c r="BK22" s="584">
        <f>ROUND(53.34*0.5*0,0)</f>
        <v>0</v>
      </c>
      <c r="BL22" s="688">
        <v>0</v>
      </c>
      <c r="BM22" s="584">
        <f>ROUND(53.34*0.5*0,0)</f>
        <v>0</v>
      </c>
      <c r="BN22" s="688">
        <v>0</v>
      </c>
      <c r="BO22" s="584">
        <f>ROUND(53.34*0.5*0,0)</f>
        <v>0</v>
      </c>
      <c r="BP22" s="688">
        <v>0</v>
      </c>
      <c r="BQ22" s="584">
        <f>ROUND(53.34*0.5*0,0)</f>
        <v>0</v>
      </c>
      <c r="BR22" s="688">
        <v>0</v>
      </c>
      <c r="BS22" s="584">
        <f>ROUND(53.34*0.5*0,0)</f>
        <v>0</v>
      </c>
      <c r="BT22" s="688">
        <v>0</v>
      </c>
      <c r="BU22" s="584">
        <f>ROUND(53.34*0.5*0,0)</f>
        <v>0</v>
      </c>
      <c r="BV22" s="688">
        <v>0</v>
      </c>
      <c r="BW22" s="584">
        <f>ROUND(53.34*0.5*0,0)</f>
        <v>0</v>
      </c>
      <c r="BX22" s="688">
        <v>0</v>
      </c>
      <c r="BY22" s="584">
        <f>ROUND(53.34*0.5*0,0)</f>
        <v>0</v>
      </c>
      <c r="BZ22" s="688">
        <v>5.2</v>
      </c>
      <c r="CA22" s="584">
        <f>ROUND(53.34*0.5*5.2,0)</f>
        <v>139</v>
      </c>
      <c r="CB22" s="688">
        <v>5</v>
      </c>
      <c r="CC22" s="584">
        <f>ROUND(53.34*0.5*5,0)</f>
        <v>133</v>
      </c>
      <c r="CD22" s="688">
        <v>5</v>
      </c>
      <c r="CE22" s="584">
        <f>ROUND(53.34*0.5*5,0)</f>
        <v>133</v>
      </c>
      <c r="CF22" s="688">
        <v>5.0999999999999996</v>
      </c>
      <c r="CG22" s="584">
        <f>ROUND(53.34*0.5*5.1,0)</f>
        <v>136</v>
      </c>
      <c r="CH22" s="688">
        <v>5.4</v>
      </c>
      <c r="CI22" s="584">
        <f>ROUND(53.34*0.5*5.4,0)</f>
        <v>144</v>
      </c>
      <c r="CJ22" s="688">
        <v>6</v>
      </c>
      <c r="CK22" s="584">
        <f>ROUND(53.34*0.5*6,0)</f>
        <v>160</v>
      </c>
      <c r="CL22" s="688">
        <v>6.8</v>
      </c>
      <c r="CM22" s="584">
        <f>ROUND(53.34*0.5*6.8,0)</f>
        <v>181</v>
      </c>
      <c r="CN22" s="688">
        <v>7.8</v>
      </c>
      <c r="CO22" s="584">
        <f>ROUND(53.34*0.5*7.8,0)</f>
        <v>208</v>
      </c>
      <c r="CP22" s="688">
        <v>8.6999999999999993</v>
      </c>
      <c r="CQ22" s="584">
        <f>ROUND(53.34*0.5*8.7,0)</f>
        <v>232</v>
      </c>
      <c r="CR22" s="688">
        <v>9.6</v>
      </c>
      <c r="CS22" s="584">
        <f>ROUND(53.34*0.5*9.6,0)</f>
        <v>256</v>
      </c>
      <c r="CT22" s="688">
        <v>0</v>
      </c>
      <c r="CU22" s="584">
        <f>ROUND(53.34*0.5*0,0)</f>
        <v>0</v>
      </c>
      <c r="CV22" s="688">
        <v>0</v>
      </c>
      <c r="CW22" s="584">
        <f>ROUND(53.34*0.5*0,0)</f>
        <v>0</v>
      </c>
      <c r="CX22" s="688">
        <v>0</v>
      </c>
      <c r="CY22" s="584">
        <f>ROUND(53.34*0.5*0,0)</f>
        <v>0</v>
      </c>
      <c r="CZ22" s="688">
        <v>0</v>
      </c>
      <c r="DA22" s="584">
        <f>ROUND(53.34*0.5*0,0)</f>
        <v>0</v>
      </c>
      <c r="DB22" s="688">
        <v>0</v>
      </c>
      <c r="DC22" s="584">
        <f>ROUND(53.34*0.5*0,0)</f>
        <v>0</v>
      </c>
      <c r="DD22" s="688">
        <v>0</v>
      </c>
      <c r="DE22" s="586">
        <f>ROUND(53.34*0.5*0,0)</f>
        <v>0</v>
      </c>
      <c r="DF22" s="559"/>
      <c r="DG22" s="549"/>
      <c r="DH22" s="693" t="s">
        <v>241</v>
      </c>
      <c r="DI22" s="684"/>
      <c r="DJ22" s="580">
        <v>53.34</v>
      </c>
      <c r="DK22" s="685">
        <v>0.5</v>
      </c>
      <c r="DL22" s="686"/>
      <c r="DM22" s="687">
        <v>0</v>
      </c>
      <c r="DN22" s="584">
        <f>ROUND(53.34*0.5*0,0)</f>
        <v>0</v>
      </c>
      <c r="DO22" s="688">
        <v>0</v>
      </c>
      <c r="DP22" s="584">
        <f>ROUND(53.34*0.5*0,0)</f>
        <v>0</v>
      </c>
      <c r="DQ22" s="688">
        <v>0</v>
      </c>
      <c r="DR22" s="584">
        <f>ROUND(53.34*0.5*0,0)</f>
        <v>0</v>
      </c>
      <c r="DS22" s="688">
        <v>0</v>
      </c>
      <c r="DT22" s="584">
        <f>ROUND(53.34*0.5*0,0)</f>
        <v>0</v>
      </c>
      <c r="DU22" s="688">
        <v>0</v>
      </c>
      <c r="DV22" s="584">
        <f>ROUND(53.34*0.5*0,0)</f>
        <v>0</v>
      </c>
      <c r="DW22" s="688">
        <v>0</v>
      </c>
      <c r="DX22" s="584">
        <f>ROUND(53.34*0.5*0,0)</f>
        <v>0</v>
      </c>
      <c r="DY22" s="688">
        <v>0</v>
      </c>
      <c r="DZ22" s="584">
        <f>ROUND(53.34*0.5*0,0)</f>
        <v>0</v>
      </c>
      <c r="EA22" s="688">
        <v>0</v>
      </c>
      <c r="EB22" s="584">
        <f>ROUND(53.34*0.5*0,0)</f>
        <v>0</v>
      </c>
      <c r="EC22" s="688">
        <v>3.8</v>
      </c>
      <c r="ED22" s="584">
        <f>ROUND(53.34*0.5*3.8,0)</f>
        <v>101</v>
      </c>
      <c r="EE22" s="688">
        <v>3.5</v>
      </c>
      <c r="EF22" s="584">
        <f>ROUND(53.34*0.5*3.5,0)</f>
        <v>93</v>
      </c>
      <c r="EG22" s="688">
        <v>3.4</v>
      </c>
      <c r="EH22" s="584">
        <f>ROUND(53.34*0.5*3.4,0)</f>
        <v>91</v>
      </c>
      <c r="EI22" s="688">
        <v>3.6</v>
      </c>
      <c r="EJ22" s="584">
        <f>ROUND(53.34*0.5*3.6,0)</f>
        <v>96</v>
      </c>
      <c r="EK22" s="688">
        <v>4.0999999999999996</v>
      </c>
      <c r="EL22" s="584">
        <f>ROUND(53.34*0.5*4.1,0)</f>
        <v>109</v>
      </c>
      <c r="EM22" s="688">
        <v>4.9000000000000004</v>
      </c>
      <c r="EN22" s="584">
        <f>ROUND(53.34*0.5*4.9,0)</f>
        <v>131</v>
      </c>
      <c r="EO22" s="688">
        <v>6</v>
      </c>
      <c r="EP22" s="584">
        <f>ROUND(53.34*0.5*6,0)</f>
        <v>160</v>
      </c>
      <c r="EQ22" s="688">
        <v>7.3</v>
      </c>
      <c r="ER22" s="584">
        <f>ROUND(53.34*0.5*7.3,0)</f>
        <v>195</v>
      </c>
      <c r="ES22" s="688">
        <v>8.5</v>
      </c>
      <c r="ET22" s="584">
        <f>ROUND(53.34*0.5*8.5,0)</f>
        <v>227</v>
      </c>
      <c r="EU22" s="688">
        <v>9.6</v>
      </c>
      <c r="EV22" s="584">
        <f>ROUND(53.34*0.5*9.6,0)</f>
        <v>256</v>
      </c>
      <c r="EW22" s="688">
        <v>0</v>
      </c>
      <c r="EX22" s="584">
        <f>ROUND(53.34*0.5*0,0)</f>
        <v>0</v>
      </c>
      <c r="EY22" s="688">
        <v>0</v>
      </c>
      <c r="EZ22" s="584">
        <f>ROUND(53.34*0.5*0,0)</f>
        <v>0</v>
      </c>
      <c r="FA22" s="688">
        <v>0</v>
      </c>
      <c r="FB22" s="584">
        <f>ROUND(53.34*0.5*0,0)</f>
        <v>0</v>
      </c>
      <c r="FC22" s="688">
        <v>0</v>
      </c>
      <c r="FD22" s="584">
        <f>ROUND(53.34*0.5*0,0)</f>
        <v>0</v>
      </c>
      <c r="FE22" s="688">
        <v>0</v>
      </c>
      <c r="FF22" s="584">
        <f>ROUND(53.34*0.5*0,0)</f>
        <v>0</v>
      </c>
      <c r="FG22" s="688">
        <v>0</v>
      </c>
      <c r="FH22" s="586">
        <f>ROUND(53.34*0.5*0,0)</f>
        <v>0</v>
      </c>
      <c r="FI22" s="560"/>
      <c r="FJ22" s="561"/>
      <c r="FK22" s="693" t="s">
        <v>241</v>
      </c>
      <c r="FL22" s="684"/>
      <c r="FM22" s="580">
        <v>53.34</v>
      </c>
      <c r="FN22" s="685">
        <v>0.5</v>
      </c>
      <c r="FO22" s="686"/>
      <c r="FP22" s="689">
        <v>9</v>
      </c>
      <c r="FQ22" s="690">
        <v>20</v>
      </c>
      <c r="FR22" s="584">
        <f>ROUND(53.34*0.5*20,0)</f>
        <v>533</v>
      </c>
      <c r="FS22" s="691">
        <v>9</v>
      </c>
      <c r="FT22" s="690">
        <v>20.5</v>
      </c>
      <c r="FU22" s="589">
        <f>ROUND(53.34*0.5*20.5,0)</f>
        <v>547</v>
      </c>
      <c r="FV22" s="590"/>
      <c r="FW22" s="591"/>
      <c r="FX22" s="592"/>
      <c r="FY22" s="593"/>
      <c r="FZ22" s="594"/>
      <c r="GA22" s="595"/>
      <c r="GB22" s="596"/>
      <c r="GC22" s="597"/>
      <c r="GD22" s="596"/>
      <c r="GE22" s="598"/>
      <c r="GF22" s="681"/>
      <c r="GG22" s="599"/>
      <c r="GH22" s="599"/>
      <c r="GI22" s="599"/>
      <c r="GJ22" s="527"/>
      <c r="GK22" s="704" t="s">
        <v>456</v>
      </c>
      <c r="GL22" s="705"/>
      <c r="GM22" s="705"/>
      <c r="GN22" s="706"/>
      <c r="GO22" s="630">
        <v>1.8</v>
      </c>
      <c r="GP22" s="630">
        <v>1</v>
      </c>
      <c r="GQ22" s="707"/>
      <c r="GR22" s="708"/>
      <c r="GS22" s="575"/>
      <c r="GT22" s="670"/>
      <c r="GU22" s="704" t="s">
        <v>456</v>
      </c>
      <c r="GV22" s="705"/>
      <c r="GW22" s="705"/>
      <c r="GX22" s="705"/>
      <c r="GY22" s="706"/>
      <c r="GZ22" s="630">
        <v>0.3</v>
      </c>
      <c r="HA22" s="709"/>
      <c r="HB22" s="710"/>
      <c r="HC22" s="414"/>
      <c r="HD22" s="559"/>
      <c r="HE22" s="416"/>
      <c r="HF22" s="416"/>
      <c r="HG22" s="416"/>
    </row>
    <row r="23" spans="1:218" ht="20.100000000000001" customHeight="1">
      <c r="A23" s="549"/>
      <c r="B23" s="693" t="s">
        <v>258</v>
      </c>
      <c r="C23" s="684"/>
      <c r="D23" s="580">
        <v>5.36</v>
      </c>
      <c r="E23" s="685">
        <v>2.2000000000000002</v>
      </c>
      <c r="F23" s="686"/>
      <c r="G23" s="687">
        <v>0</v>
      </c>
      <c r="H23" s="584">
        <f>ROUND(5.36*2.2*0,0)</f>
        <v>0</v>
      </c>
      <c r="I23" s="688">
        <v>0</v>
      </c>
      <c r="J23" s="584">
        <f>ROUND(5.36*2.2*0,0)</f>
        <v>0</v>
      </c>
      <c r="K23" s="688">
        <v>0</v>
      </c>
      <c r="L23" s="584">
        <f>ROUND(5.36*2.2*0,0)</f>
        <v>0</v>
      </c>
      <c r="M23" s="688">
        <v>0</v>
      </c>
      <c r="N23" s="584">
        <f>ROUND(5.36*2.2*0,0)</f>
        <v>0</v>
      </c>
      <c r="O23" s="688">
        <v>0</v>
      </c>
      <c r="P23" s="584">
        <f>ROUND(5.36*2.2*0,0)</f>
        <v>0</v>
      </c>
      <c r="Q23" s="688">
        <v>0</v>
      </c>
      <c r="R23" s="584">
        <f>ROUND(5.36*2.2*0,0)</f>
        <v>0</v>
      </c>
      <c r="S23" s="688">
        <v>0</v>
      </c>
      <c r="T23" s="584">
        <f>ROUND(5.36*2.2*0,0)</f>
        <v>0</v>
      </c>
      <c r="U23" s="688">
        <v>0</v>
      </c>
      <c r="V23" s="584">
        <f>ROUND(5.36*2.2*0,0)</f>
        <v>0</v>
      </c>
      <c r="W23" s="688">
        <v>5.3</v>
      </c>
      <c r="X23" s="584">
        <f>ROUND(5.36*2.2*5.3,0)</f>
        <v>62</v>
      </c>
      <c r="Y23" s="688">
        <v>6.5</v>
      </c>
      <c r="Z23" s="584">
        <f>ROUND(5.36*2.2*6.5,0)</f>
        <v>77</v>
      </c>
      <c r="AA23" s="688">
        <v>7.2</v>
      </c>
      <c r="AB23" s="584">
        <f>ROUND(5.36*2.2*7.2,0)</f>
        <v>85</v>
      </c>
      <c r="AC23" s="688">
        <v>7.7</v>
      </c>
      <c r="AD23" s="584">
        <f>ROUND(5.36*2.2*7.7,0)</f>
        <v>91</v>
      </c>
      <c r="AE23" s="688">
        <v>7.9</v>
      </c>
      <c r="AF23" s="584">
        <f>ROUND(5.36*2.2*7.9,0)</f>
        <v>93</v>
      </c>
      <c r="AG23" s="688">
        <v>7.9</v>
      </c>
      <c r="AH23" s="584">
        <f>ROUND(5.36*2.2*7.9,0)</f>
        <v>93</v>
      </c>
      <c r="AI23" s="688">
        <v>7.4</v>
      </c>
      <c r="AJ23" s="584">
        <f>ROUND(5.36*2.2*7.4,0)</f>
        <v>87</v>
      </c>
      <c r="AK23" s="688">
        <v>6.9</v>
      </c>
      <c r="AL23" s="584">
        <f>ROUND(5.36*2.2*6.9,0)</f>
        <v>81</v>
      </c>
      <c r="AM23" s="688">
        <v>6</v>
      </c>
      <c r="AN23" s="584">
        <f>ROUND(5.36*2.2*6,0)</f>
        <v>71</v>
      </c>
      <c r="AO23" s="688">
        <v>5.3</v>
      </c>
      <c r="AP23" s="584">
        <f>ROUND(5.36*2.2*5.3,0)</f>
        <v>62</v>
      </c>
      <c r="AQ23" s="688">
        <v>0</v>
      </c>
      <c r="AR23" s="584">
        <f>ROUND(5.36*2.2*0,0)</f>
        <v>0</v>
      </c>
      <c r="AS23" s="688">
        <v>0</v>
      </c>
      <c r="AT23" s="584">
        <f>ROUND(5.36*2.2*0,0)</f>
        <v>0</v>
      </c>
      <c r="AU23" s="688">
        <v>0</v>
      </c>
      <c r="AV23" s="584">
        <f>ROUND(5.36*2.2*0,0)</f>
        <v>0</v>
      </c>
      <c r="AW23" s="688">
        <v>0</v>
      </c>
      <c r="AX23" s="584">
        <f>ROUND(5.36*2.2*0,0)</f>
        <v>0</v>
      </c>
      <c r="AY23" s="688">
        <v>0</v>
      </c>
      <c r="AZ23" s="584">
        <f>ROUND(5.36*2.2*0,0)</f>
        <v>0</v>
      </c>
      <c r="BA23" s="688">
        <v>0</v>
      </c>
      <c r="BB23" s="586">
        <f>ROUND(5.36*2.2*0,0)</f>
        <v>0</v>
      </c>
      <c r="BC23" s="559"/>
      <c r="BD23" s="549"/>
      <c r="BE23" s="693" t="s">
        <v>258</v>
      </c>
      <c r="BF23" s="684"/>
      <c r="BG23" s="580">
        <v>5.36</v>
      </c>
      <c r="BH23" s="685">
        <v>2.2000000000000002</v>
      </c>
      <c r="BI23" s="686"/>
      <c r="BJ23" s="687">
        <v>0</v>
      </c>
      <c r="BK23" s="584">
        <f>ROUND(5.36*2.2*0,0)</f>
        <v>0</v>
      </c>
      <c r="BL23" s="688">
        <v>0</v>
      </c>
      <c r="BM23" s="584">
        <f>ROUND(5.36*2.2*0,0)</f>
        <v>0</v>
      </c>
      <c r="BN23" s="688">
        <v>0</v>
      </c>
      <c r="BO23" s="584">
        <f>ROUND(5.36*2.2*0,0)</f>
        <v>0</v>
      </c>
      <c r="BP23" s="688">
        <v>0</v>
      </c>
      <c r="BQ23" s="584">
        <f>ROUND(5.36*2.2*0,0)</f>
        <v>0</v>
      </c>
      <c r="BR23" s="688">
        <v>0</v>
      </c>
      <c r="BS23" s="584">
        <f>ROUND(5.36*2.2*0,0)</f>
        <v>0</v>
      </c>
      <c r="BT23" s="688">
        <v>0</v>
      </c>
      <c r="BU23" s="584">
        <f>ROUND(5.36*2.2*0,0)</f>
        <v>0</v>
      </c>
      <c r="BV23" s="688">
        <v>0</v>
      </c>
      <c r="BW23" s="584">
        <f>ROUND(5.36*2.2*0,0)</f>
        <v>0</v>
      </c>
      <c r="BX23" s="688">
        <v>0</v>
      </c>
      <c r="BY23" s="584">
        <f>ROUND(5.36*2.2*0,0)</f>
        <v>0</v>
      </c>
      <c r="BZ23" s="688">
        <v>5.0999999999999996</v>
      </c>
      <c r="CA23" s="584">
        <f>ROUND(5.36*2.2*5.1,0)</f>
        <v>60</v>
      </c>
      <c r="CB23" s="688">
        <v>6.1</v>
      </c>
      <c r="CC23" s="584">
        <f>ROUND(5.36*2.2*6.1,0)</f>
        <v>72</v>
      </c>
      <c r="CD23" s="688">
        <v>7</v>
      </c>
      <c r="CE23" s="584">
        <f>ROUND(5.36*2.2*7,0)</f>
        <v>83</v>
      </c>
      <c r="CF23" s="688">
        <v>7.4</v>
      </c>
      <c r="CG23" s="584">
        <f>ROUND(5.36*2.2*7.4,0)</f>
        <v>87</v>
      </c>
      <c r="CH23" s="688">
        <v>7.6</v>
      </c>
      <c r="CI23" s="584">
        <f>ROUND(5.36*2.2*7.6,0)</f>
        <v>90</v>
      </c>
      <c r="CJ23" s="688">
        <v>7.4</v>
      </c>
      <c r="CK23" s="584">
        <f>ROUND(5.36*2.2*7.4,0)</f>
        <v>87</v>
      </c>
      <c r="CL23" s="688">
        <v>6.9</v>
      </c>
      <c r="CM23" s="584">
        <f>ROUND(5.36*2.2*6.9,0)</f>
        <v>81</v>
      </c>
      <c r="CN23" s="688">
        <v>6.5</v>
      </c>
      <c r="CO23" s="584">
        <f>ROUND(5.36*2.2*6.5,0)</f>
        <v>77</v>
      </c>
      <c r="CP23" s="688">
        <v>6</v>
      </c>
      <c r="CQ23" s="584">
        <f>ROUND(5.36*2.2*6,0)</f>
        <v>71</v>
      </c>
      <c r="CR23" s="688">
        <v>5.0999999999999996</v>
      </c>
      <c r="CS23" s="584">
        <f>ROUND(5.36*2.2*5.1,0)</f>
        <v>60</v>
      </c>
      <c r="CT23" s="688">
        <v>0</v>
      </c>
      <c r="CU23" s="584">
        <f>ROUND(5.36*2.2*0,0)</f>
        <v>0</v>
      </c>
      <c r="CV23" s="688">
        <v>0</v>
      </c>
      <c r="CW23" s="584">
        <f>ROUND(5.36*2.2*0,0)</f>
        <v>0</v>
      </c>
      <c r="CX23" s="688">
        <v>0</v>
      </c>
      <c r="CY23" s="584">
        <f>ROUND(5.36*2.2*0,0)</f>
        <v>0</v>
      </c>
      <c r="CZ23" s="688">
        <v>0</v>
      </c>
      <c r="DA23" s="584">
        <f>ROUND(5.36*2.2*0,0)</f>
        <v>0</v>
      </c>
      <c r="DB23" s="688">
        <v>0</v>
      </c>
      <c r="DC23" s="584">
        <f>ROUND(5.36*2.2*0,0)</f>
        <v>0</v>
      </c>
      <c r="DD23" s="688">
        <v>0</v>
      </c>
      <c r="DE23" s="586">
        <f>ROUND(5.36*2.2*0,0)</f>
        <v>0</v>
      </c>
      <c r="DF23" s="559"/>
      <c r="DG23" s="549"/>
      <c r="DH23" s="693" t="s">
        <v>258</v>
      </c>
      <c r="DI23" s="684"/>
      <c r="DJ23" s="580">
        <v>5.36</v>
      </c>
      <c r="DK23" s="685">
        <v>2.2000000000000002</v>
      </c>
      <c r="DL23" s="686"/>
      <c r="DM23" s="687">
        <v>0</v>
      </c>
      <c r="DN23" s="584">
        <f>ROUND(5.36*2.2*0,0)</f>
        <v>0</v>
      </c>
      <c r="DO23" s="688">
        <v>0</v>
      </c>
      <c r="DP23" s="584">
        <f>ROUND(5.36*2.2*0,0)</f>
        <v>0</v>
      </c>
      <c r="DQ23" s="688">
        <v>0</v>
      </c>
      <c r="DR23" s="584">
        <f>ROUND(5.36*2.2*0,0)</f>
        <v>0</v>
      </c>
      <c r="DS23" s="688">
        <v>0</v>
      </c>
      <c r="DT23" s="584">
        <f>ROUND(5.36*2.2*0,0)</f>
        <v>0</v>
      </c>
      <c r="DU23" s="688">
        <v>0</v>
      </c>
      <c r="DV23" s="584">
        <f>ROUND(5.36*2.2*0,0)</f>
        <v>0</v>
      </c>
      <c r="DW23" s="688">
        <v>0</v>
      </c>
      <c r="DX23" s="584">
        <f>ROUND(5.36*2.2*0,0)</f>
        <v>0</v>
      </c>
      <c r="DY23" s="688">
        <v>0</v>
      </c>
      <c r="DZ23" s="584">
        <f>ROUND(5.36*2.2*0,0)</f>
        <v>0</v>
      </c>
      <c r="EA23" s="688">
        <v>0</v>
      </c>
      <c r="EB23" s="584">
        <f>ROUND(5.36*2.2*0,0)</f>
        <v>0</v>
      </c>
      <c r="EC23" s="688">
        <v>2.8</v>
      </c>
      <c r="ED23" s="584">
        <f>ROUND(5.36*2.2*2.8,0)</f>
        <v>33</v>
      </c>
      <c r="EE23" s="688">
        <v>4.0999999999999996</v>
      </c>
      <c r="EF23" s="584">
        <f>ROUND(5.36*2.2*4.1,0)</f>
        <v>48</v>
      </c>
      <c r="EG23" s="688">
        <v>4.9000000000000004</v>
      </c>
      <c r="EH23" s="584">
        <f>ROUND(5.36*2.2*4.9,0)</f>
        <v>58</v>
      </c>
      <c r="EI23" s="688">
        <v>5.6</v>
      </c>
      <c r="EJ23" s="584">
        <f>ROUND(5.36*2.2*5.6,0)</f>
        <v>66</v>
      </c>
      <c r="EK23" s="688">
        <v>5.8</v>
      </c>
      <c r="EL23" s="584">
        <f>ROUND(5.36*2.2*5.8,0)</f>
        <v>68</v>
      </c>
      <c r="EM23" s="688">
        <v>5.5</v>
      </c>
      <c r="EN23" s="584">
        <f>ROUND(5.36*2.2*5.5,0)</f>
        <v>65</v>
      </c>
      <c r="EO23" s="688">
        <v>5.0999999999999996</v>
      </c>
      <c r="EP23" s="584">
        <f>ROUND(5.36*2.2*5.1,0)</f>
        <v>60</v>
      </c>
      <c r="EQ23" s="688">
        <v>4.7</v>
      </c>
      <c r="ER23" s="584">
        <f>ROUND(5.36*2.2*4.7,0)</f>
        <v>55</v>
      </c>
      <c r="ES23" s="688">
        <v>3.7</v>
      </c>
      <c r="ET23" s="584">
        <f>ROUND(5.36*2.2*3.7,0)</f>
        <v>44</v>
      </c>
      <c r="EU23" s="688">
        <v>2.7</v>
      </c>
      <c r="EV23" s="584">
        <f>ROUND(5.36*2.2*2.7,0)</f>
        <v>32</v>
      </c>
      <c r="EW23" s="688">
        <v>0</v>
      </c>
      <c r="EX23" s="584">
        <f>ROUND(5.36*2.2*0,0)</f>
        <v>0</v>
      </c>
      <c r="EY23" s="688">
        <v>0</v>
      </c>
      <c r="EZ23" s="584">
        <f>ROUND(5.36*2.2*0,0)</f>
        <v>0</v>
      </c>
      <c r="FA23" s="688">
        <v>0</v>
      </c>
      <c r="FB23" s="584">
        <f>ROUND(5.36*2.2*0,0)</f>
        <v>0</v>
      </c>
      <c r="FC23" s="688">
        <v>0</v>
      </c>
      <c r="FD23" s="584">
        <f>ROUND(5.36*2.2*0,0)</f>
        <v>0</v>
      </c>
      <c r="FE23" s="688">
        <v>0</v>
      </c>
      <c r="FF23" s="584">
        <f>ROUND(5.36*2.2*0,0)</f>
        <v>0</v>
      </c>
      <c r="FG23" s="688">
        <v>0</v>
      </c>
      <c r="FH23" s="586">
        <f>ROUND(5.36*2.2*0,0)</f>
        <v>0</v>
      </c>
      <c r="FI23" s="560"/>
      <c r="FJ23" s="561"/>
      <c r="FK23" s="693" t="s">
        <v>258</v>
      </c>
      <c r="FL23" s="684"/>
      <c r="FM23" s="580">
        <v>5.36</v>
      </c>
      <c r="FN23" s="685">
        <v>2.2000000000000002</v>
      </c>
      <c r="FO23" s="686"/>
      <c r="FP23" s="689">
        <v>9</v>
      </c>
      <c r="FQ23" s="690">
        <v>20</v>
      </c>
      <c r="FR23" s="584">
        <f>ROUND(5.36*2.2*20,0)</f>
        <v>236</v>
      </c>
      <c r="FS23" s="691">
        <v>9</v>
      </c>
      <c r="FT23" s="690">
        <v>20.5</v>
      </c>
      <c r="FU23" s="589">
        <f>ROUND(5.36*2.2*20.5,0)</f>
        <v>242</v>
      </c>
      <c r="FV23" s="590"/>
      <c r="FW23" s="591"/>
      <c r="FX23" s="592"/>
      <c r="FY23" s="593"/>
      <c r="FZ23" s="594"/>
      <c r="GA23" s="595"/>
      <c r="GB23" s="596"/>
      <c r="GC23" s="597"/>
      <c r="GD23" s="596"/>
      <c r="GE23" s="598"/>
      <c r="GF23" s="681"/>
      <c r="GG23" s="599"/>
      <c r="GH23" s="599"/>
      <c r="GI23" s="599"/>
      <c r="GJ23" s="612"/>
      <c r="GK23" s="577" t="s">
        <v>457</v>
      </c>
      <c r="GL23" s="606"/>
      <c r="GM23" s="711"/>
      <c r="GN23" s="712">
        <v>53.3</v>
      </c>
      <c r="GO23" s="497" t="s">
        <v>458</v>
      </c>
      <c r="GP23" s="712"/>
      <c r="GQ23" s="606"/>
      <c r="GR23" s="612"/>
      <c r="GS23" s="575"/>
      <c r="GT23" s="670"/>
      <c r="GU23" s="606"/>
      <c r="GV23" s="527"/>
      <c r="GW23" s="606"/>
      <c r="GX23" s="606"/>
      <c r="GY23" s="713"/>
      <c r="GZ23" s="714"/>
      <c r="HA23" s="414"/>
      <c r="HB23" s="714" t="s">
        <v>459</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460</v>
      </c>
      <c r="GL24" s="606"/>
      <c r="GM24" s="711"/>
      <c r="GN24" s="712">
        <v>0.1</v>
      </c>
      <c r="GO24" s="712"/>
      <c r="GP24" s="712"/>
      <c r="GQ24" s="606"/>
      <c r="GR24" s="612"/>
      <c r="GS24" s="606"/>
      <c r="GT24" s="670"/>
      <c r="GU24" s="577" t="s">
        <v>461</v>
      </c>
      <c r="GV24" s="606"/>
      <c r="GW24" s="606"/>
      <c r="GX24" s="414"/>
      <c r="GY24" s="715">
        <v>614</v>
      </c>
      <c r="GZ24" s="577" t="s">
        <v>462</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463</v>
      </c>
      <c r="GV25" s="606"/>
      <c r="GW25" s="606"/>
      <c r="GX25" s="414"/>
      <c r="GY25" s="726">
        <v>1</v>
      </c>
      <c r="GZ25" s="577"/>
      <c r="HA25" s="527"/>
      <c r="HB25" s="527"/>
      <c r="HC25" s="527"/>
      <c r="HD25" s="559"/>
      <c r="HE25" s="559"/>
      <c r="HF25" s="416"/>
      <c r="HG25" s="416"/>
    </row>
    <row r="26" spans="1:218" ht="20.100000000000001" customHeight="1">
      <c r="A26" s="638"/>
      <c r="B26" s="639"/>
      <c r="C26" s="639"/>
      <c r="D26" s="639" t="s">
        <v>536</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844</v>
      </c>
      <c r="Y26" s="728"/>
      <c r="Z26" s="642">
        <f>SUM(Z16:Z25)</f>
        <v>997</v>
      </c>
      <c r="AA26" s="728"/>
      <c r="AB26" s="642">
        <f>SUM(AB16:AB25)</f>
        <v>1102</v>
      </c>
      <c r="AC26" s="728"/>
      <c r="AD26" s="642">
        <f>SUM(AD16:AD25)</f>
        <v>1167</v>
      </c>
      <c r="AE26" s="728"/>
      <c r="AF26" s="642">
        <f>SUM(AF16:AF25)</f>
        <v>1204</v>
      </c>
      <c r="AG26" s="728"/>
      <c r="AH26" s="642">
        <f>SUM(AH16:AH25)</f>
        <v>1225</v>
      </c>
      <c r="AI26" s="728"/>
      <c r="AJ26" s="642">
        <f>SUM(AJ16:AJ25)</f>
        <v>1196</v>
      </c>
      <c r="AK26" s="728"/>
      <c r="AL26" s="642">
        <f>SUM(AL16:AL25)</f>
        <v>1163</v>
      </c>
      <c r="AM26" s="728"/>
      <c r="AN26" s="642">
        <f>SUM(AN16:AN25)</f>
        <v>1086</v>
      </c>
      <c r="AO26" s="728"/>
      <c r="AP26" s="642">
        <f>SUM(AP16:AP25)</f>
        <v>1009</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581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926</v>
      </c>
      <c r="CB26" s="728"/>
      <c r="CC26" s="642">
        <f>SUM(CC16:CC25)</f>
        <v>1050</v>
      </c>
      <c r="CD26" s="728"/>
      <c r="CE26" s="642">
        <f>SUM(CE16:CE25)</f>
        <v>1140</v>
      </c>
      <c r="CF26" s="728"/>
      <c r="CG26" s="642">
        <f>SUM(CG16:CG25)</f>
        <v>1174</v>
      </c>
      <c r="CH26" s="728"/>
      <c r="CI26" s="642">
        <f>SUM(CI16:CI25)</f>
        <v>1184</v>
      </c>
      <c r="CJ26" s="728"/>
      <c r="CK26" s="642">
        <f>SUM(CK16:CK25)</f>
        <v>1166</v>
      </c>
      <c r="CL26" s="728"/>
      <c r="CM26" s="642">
        <f>SUM(CM16:CM25)</f>
        <v>1135</v>
      </c>
      <c r="CN26" s="728"/>
      <c r="CO26" s="642">
        <f>SUM(CO16:CO25)</f>
        <v>1114</v>
      </c>
      <c r="CP26" s="728"/>
      <c r="CQ26" s="642">
        <f>SUM(CQ16:CQ25)</f>
        <v>1066</v>
      </c>
      <c r="CR26" s="728"/>
      <c r="CS26" s="642">
        <f>SUM(CS16:CS25)</f>
        <v>982</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536</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551</v>
      </c>
      <c r="EE26" s="728"/>
      <c r="EF26" s="642">
        <f>SUM(EF16:EF25)</f>
        <v>711</v>
      </c>
      <c r="EG26" s="728"/>
      <c r="EH26" s="642">
        <f>SUM(EH16:EH25)</f>
        <v>823</v>
      </c>
      <c r="EI26" s="728"/>
      <c r="EJ26" s="642">
        <f>SUM(EJ16:EJ25)</f>
        <v>899</v>
      </c>
      <c r="EK26" s="728"/>
      <c r="EL26" s="642">
        <f>SUM(EL16:EL25)</f>
        <v>917</v>
      </c>
      <c r="EM26" s="728"/>
      <c r="EN26" s="642">
        <f>SUM(EN16:EN25)</f>
        <v>906</v>
      </c>
      <c r="EO26" s="728"/>
      <c r="EP26" s="642">
        <f>SUM(EP16:EP25)</f>
        <v>888</v>
      </c>
      <c r="EQ26" s="728"/>
      <c r="ER26" s="642">
        <f>SUM(ER16:ER25)</f>
        <v>868</v>
      </c>
      <c r="ES26" s="728"/>
      <c r="ET26" s="642">
        <f>SUM(ET16:ET25)</f>
        <v>790</v>
      </c>
      <c r="EU26" s="728"/>
      <c r="EV26" s="642">
        <f>SUM(EV16:EV25)</f>
        <v>696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536</v>
      </c>
      <c r="FN26" s="639"/>
      <c r="FO26" s="639"/>
      <c r="FP26" s="647"/>
      <c r="FQ26" s="648"/>
      <c r="FR26" s="642">
        <f>SUM(FR16:FR25)</f>
        <v>2776</v>
      </c>
      <c r="FS26" s="729"/>
      <c r="FT26" s="648"/>
      <c r="FU26" s="650">
        <f>SUM(FU16:FU25)</f>
        <v>2838</v>
      </c>
      <c r="FV26" s="590"/>
      <c r="FW26" s="591"/>
      <c r="FX26" s="592"/>
      <c r="FY26" s="593"/>
      <c r="FZ26" s="594"/>
      <c r="GA26" s="595"/>
      <c r="GB26" s="596"/>
      <c r="GC26" s="597"/>
      <c r="GD26" s="596"/>
      <c r="GE26" s="598"/>
      <c r="GF26" s="651"/>
      <c r="GG26" s="652"/>
      <c r="GH26" s="652"/>
      <c r="GI26" s="652"/>
      <c r="GJ26" s="612"/>
      <c r="GK26" s="527" t="s">
        <v>464</v>
      </c>
      <c r="GL26" s="612"/>
      <c r="GM26" s="527"/>
      <c r="GN26" s="612"/>
      <c r="GO26" s="527"/>
      <c r="GP26" s="612"/>
      <c r="GQ26" s="612"/>
      <c r="GR26" s="612"/>
      <c r="GS26" s="576"/>
      <c r="GT26" s="670"/>
      <c r="GU26" s="577" t="s">
        <v>465</v>
      </c>
      <c r="GV26" s="606"/>
      <c r="GW26" s="606"/>
      <c r="GX26" s="414"/>
      <c r="GY26" s="726">
        <v>0.3</v>
      </c>
      <c r="GZ26" s="577"/>
      <c r="HA26" s="527"/>
      <c r="HB26" s="527"/>
      <c r="HC26" s="527"/>
      <c r="HD26" s="645"/>
      <c r="HE26" s="416"/>
      <c r="HF26" s="416"/>
      <c r="HG26" s="577"/>
      <c r="HH26" s="645"/>
      <c r="HI26" s="416"/>
      <c r="HJ26" s="416"/>
    </row>
    <row r="27" spans="1:218" ht="20.100000000000001" customHeight="1">
      <c r="A27" s="730" t="s">
        <v>590</v>
      </c>
      <c r="B27" s="731"/>
      <c r="C27" s="732"/>
      <c r="D27" s="660"/>
      <c r="E27" s="732"/>
      <c r="F27" s="732"/>
      <c r="G27" s="733" t="s">
        <v>537</v>
      </c>
      <c r="H27" s="660" t="s">
        <v>390</v>
      </c>
      <c r="I27" s="734" t="s">
        <v>537</v>
      </c>
      <c r="J27" s="660" t="s">
        <v>390</v>
      </c>
      <c r="K27" s="735" t="s">
        <v>389</v>
      </c>
      <c r="L27" s="660" t="s">
        <v>390</v>
      </c>
      <c r="M27" s="735" t="s">
        <v>389</v>
      </c>
      <c r="N27" s="660" t="s">
        <v>390</v>
      </c>
      <c r="O27" s="735" t="s">
        <v>389</v>
      </c>
      <c r="P27" s="660" t="s">
        <v>390</v>
      </c>
      <c r="Q27" s="735" t="s">
        <v>389</v>
      </c>
      <c r="R27" s="660" t="s">
        <v>390</v>
      </c>
      <c r="S27" s="735" t="s">
        <v>389</v>
      </c>
      <c r="T27" s="660" t="s">
        <v>390</v>
      </c>
      <c r="U27" s="735" t="s">
        <v>389</v>
      </c>
      <c r="V27" s="660" t="s">
        <v>390</v>
      </c>
      <c r="W27" s="735" t="s">
        <v>389</v>
      </c>
      <c r="X27" s="660" t="s">
        <v>390</v>
      </c>
      <c r="Y27" s="735" t="s">
        <v>389</v>
      </c>
      <c r="Z27" s="660" t="s">
        <v>390</v>
      </c>
      <c r="AA27" s="735" t="s">
        <v>389</v>
      </c>
      <c r="AB27" s="660" t="s">
        <v>390</v>
      </c>
      <c r="AC27" s="735" t="s">
        <v>389</v>
      </c>
      <c r="AD27" s="660" t="s">
        <v>390</v>
      </c>
      <c r="AE27" s="735" t="s">
        <v>389</v>
      </c>
      <c r="AF27" s="660" t="s">
        <v>390</v>
      </c>
      <c r="AG27" s="735" t="s">
        <v>389</v>
      </c>
      <c r="AH27" s="660" t="s">
        <v>390</v>
      </c>
      <c r="AI27" s="735" t="s">
        <v>389</v>
      </c>
      <c r="AJ27" s="660" t="s">
        <v>390</v>
      </c>
      <c r="AK27" s="735" t="s">
        <v>389</v>
      </c>
      <c r="AL27" s="660" t="s">
        <v>390</v>
      </c>
      <c r="AM27" s="735" t="s">
        <v>389</v>
      </c>
      <c r="AN27" s="660" t="s">
        <v>390</v>
      </c>
      <c r="AO27" s="735" t="s">
        <v>389</v>
      </c>
      <c r="AP27" s="660" t="s">
        <v>390</v>
      </c>
      <c r="AQ27" s="735" t="s">
        <v>389</v>
      </c>
      <c r="AR27" s="660" t="s">
        <v>390</v>
      </c>
      <c r="AS27" s="735" t="s">
        <v>389</v>
      </c>
      <c r="AT27" s="660" t="s">
        <v>390</v>
      </c>
      <c r="AU27" s="735" t="s">
        <v>389</v>
      </c>
      <c r="AV27" s="660" t="s">
        <v>390</v>
      </c>
      <c r="AW27" s="735" t="s">
        <v>389</v>
      </c>
      <c r="AX27" s="660" t="s">
        <v>390</v>
      </c>
      <c r="AY27" s="735" t="s">
        <v>389</v>
      </c>
      <c r="AZ27" s="660" t="s">
        <v>390</v>
      </c>
      <c r="BA27" s="735" t="s">
        <v>389</v>
      </c>
      <c r="BB27" s="662" t="s">
        <v>390</v>
      </c>
      <c r="BC27" s="716"/>
      <c r="BD27" s="730" t="s">
        <v>391</v>
      </c>
      <c r="BE27" s="731"/>
      <c r="BF27" s="732"/>
      <c r="BG27" s="660"/>
      <c r="BH27" s="732"/>
      <c r="BI27" s="732"/>
      <c r="BJ27" s="733" t="s">
        <v>389</v>
      </c>
      <c r="BK27" s="660" t="s">
        <v>390</v>
      </c>
      <c r="BL27" s="734" t="s">
        <v>389</v>
      </c>
      <c r="BM27" s="660" t="s">
        <v>390</v>
      </c>
      <c r="BN27" s="735" t="s">
        <v>389</v>
      </c>
      <c r="BO27" s="660" t="s">
        <v>390</v>
      </c>
      <c r="BP27" s="735" t="s">
        <v>389</v>
      </c>
      <c r="BQ27" s="660" t="s">
        <v>390</v>
      </c>
      <c r="BR27" s="735" t="s">
        <v>389</v>
      </c>
      <c r="BS27" s="660" t="s">
        <v>390</v>
      </c>
      <c r="BT27" s="735" t="s">
        <v>389</v>
      </c>
      <c r="BU27" s="660" t="s">
        <v>390</v>
      </c>
      <c r="BV27" s="735" t="s">
        <v>389</v>
      </c>
      <c r="BW27" s="660" t="s">
        <v>390</v>
      </c>
      <c r="BX27" s="735" t="s">
        <v>389</v>
      </c>
      <c r="BY27" s="660" t="s">
        <v>390</v>
      </c>
      <c r="BZ27" s="735" t="s">
        <v>389</v>
      </c>
      <c r="CA27" s="660" t="s">
        <v>390</v>
      </c>
      <c r="CB27" s="735" t="s">
        <v>389</v>
      </c>
      <c r="CC27" s="660" t="s">
        <v>390</v>
      </c>
      <c r="CD27" s="735" t="s">
        <v>389</v>
      </c>
      <c r="CE27" s="660" t="s">
        <v>390</v>
      </c>
      <c r="CF27" s="735" t="s">
        <v>389</v>
      </c>
      <c r="CG27" s="660" t="s">
        <v>390</v>
      </c>
      <c r="CH27" s="735" t="s">
        <v>389</v>
      </c>
      <c r="CI27" s="660" t="s">
        <v>390</v>
      </c>
      <c r="CJ27" s="735" t="s">
        <v>389</v>
      </c>
      <c r="CK27" s="660" t="s">
        <v>390</v>
      </c>
      <c r="CL27" s="735" t="s">
        <v>389</v>
      </c>
      <c r="CM27" s="660" t="s">
        <v>390</v>
      </c>
      <c r="CN27" s="735" t="s">
        <v>389</v>
      </c>
      <c r="CO27" s="660" t="s">
        <v>390</v>
      </c>
      <c r="CP27" s="735" t="s">
        <v>389</v>
      </c>
      <c r="CQ27" s="660" t="s">
        <v>390</v>
      </c>
      <c r="CR27" s="735" t="s">
        <v>389</v>
      </c>
      <c r="CS27" s="660" t="s">
        <v>390</v>
      </c>
      <c r="CT27" s="735" t="s">
        <v>389</v>
      </c>
      <c r="CU27" s="660" t="s">
        <v>390</v>
      </c>
      <c r="CV27" s="735" t="s">
        <v>389</v>
      </c>
      <c r="CW27" s="660" t="s">
        <v>390</v>
      </c>
      <c r="CX27" s="735" t="s">
        <v>389</v>
      </c>
      <c r="CY27" s="660" t="s">
        <v>390</v>
      </c>
      <c r="CZ27" s="735" t="s">
        <v>389</v>
      </c>
      <c r="DA27" s="660" t="s">
        <v>390</v>
      </c>
      <c r="DB27" s="735" t="s">
        <v>389</v>
      </c>
      <c r="DC27" s="660" t="s">
        <v>390</v>
      </c>
      <c r="DD27" s="735" t="s">
        <v>389</v>
      </c>
      <c r="DE27" s="662" t="s">
        <v>390</v>
      </c>
      <c r="DF27" s="716"/>
      <c r="DG27" s="730" t="s">
        <v>391</v>
      </c>
      <c r="DH27" s="736"/>
      <c r="DI27" s="737"/>
      <c r="DJ27" s="738"/>
      <c r="DK27" s="737"/>
      <c r="DL27" s="737"/>
      <c r="DM27" s="733" t="s">
        <v>389</v>
      </c>
      <c r="DN27" s="660" t="s">
        <v>390</v>
      </c>
      <c r="DO27" s="734" t="s">
        <v>389</v>
      </c>
      <c r="DP27" s="660" t="s">
        <v>390</v>
      </c>
      <c r="DQ27" s="735" t="s">
        <v>389</v>
      </c>
      <c r="DR27" s="660" t="s">
        <v>390</v>
      </c>
      <c r="DS27" s="735" t="s">
        <v>389</v>
      </c>
      <c r="DT27" s="660" t="s">
        <v>390</v>
      </c>
      <c r="DU27" s="735" t="s">
        <v>389</v>
      </c>
      <c r="DV27" s="660" t="s">
        <v>390</v>
      </c>
      <c r="DW27" s="735" t="s">
        <v>389</v>
      </c>
      <c r="DX27" s="660" t="s">
        <v>390</v>
      </c>
      <c r="DY27" s="735" t="s">
        <v>389</v>
      </c>
      <c r="DZ27" s="660" t="s">
        <v>390</v>
      </c>
      <c r="EA27" s="735" t="s">
        <v>389</v>
      </c>
      <c r="EB27" s="660" t="s">
        <v>390</v>
      </c>
      <c r="EC27" s="735" t="s">
        <v>389</v>
      </c>
      <c r="ED27" s="660" t="s">
        <v>390</v>
      </c>
      <c r="EE27" s="735" t="s">
        <v>389</v>
      </c>
      <c r="EF27" s="660" t="s">
        <v>390</v>
      </c>
      <c r="EG27" s="735" t="s">
        <v>389</v>
      </c>
      <c r="EH27" s="660" t="s">
        <v>390</v>
      </c>
      <c r="EI27" s="735" t="s">
        <v>389</v>
      </c>
      <c r="EJ27" s="660" t="s">
        <v>390</v>
      </c>
      <c r="EK27" s="735" t="s">
        <v>389</v>
      </c>
      <c r="EL27" s="660" t="s">
        <v>390</v>
      </c>
      <c r="EM27" s="735" t="s">
        <v>389</v>
      </c>
      <c r="EN27" s="660" t="s">
        <v>390</v>
      </c>
      <c r="EO27" s="735" t="s">
        <v>389</v>
      </c>
      <c r="EP27" s="660" t="s">
        <v>390</v>
      </c>
      <c r="EQ27" s="735" t="s">
        <v>389</v>
      </c>
      <c r="ER27" s="660" t="s">
        <v>390</v>
      </c>
      <c r="ES27" s="735" t="s">
        <v>389</v>
      </c>
      <c r="ET27" s="660" t="s">
        <v>390</v>
      </c>
      <c r="EU27" s="735" t="s">
        <v>389</v>
      </c>
      <c r="EV27" s="660" t="s">
        <v>390</v>
      </c>
      <c r="EW27" s="735" t="s">
        <v>389</v>
      </c>
      <c r="EX27" s="660" t="s">
        <v>390</v>
      </c>
      <c r="EY27" s="735" t="s">
        <v>389</v>
      </c>
      <c r="EZ27" s="660" t="s">
        <v>390</v>
      </c>
      <c r="FA27" s="735" t="s">
        <v>389</v>
      </c>
      <c r="FB27" s="660" t="s">
        <v>390</v>
      </c>
      <c r="FC27" s="735" t="s">
        <v>389</v>
      </c>
      <c r="FD27" s="660" t="s">
        <v>390</v>
      </c>
      <c r="FE27" s="735" t="s">
        <v>389</v>
      </c>
      <c r="FF27" s="660" t="s">
        <v>390</v>
      </c>
      <c r="FG27" s="735" t="s">
        <v>389</v>
      </c>
      <c r="FH27" s="662" t="s">
        <v>390</v>
      </c>
      <c r="FI27" s="739"/>
      <c r="FJ27" s="539" t="s">
        <v>391</v>
      </c>
      <c r="FK27" s="736"/>
      <c r="FL27" s="737"/>
      <c r="FM27" s="738"/>
      <c r="FN27" s="737"/>
      <c r="FO27" s="737"/>
      <c r="FP27" s="740" t="s">
        <v>392</v>
      </c>
      <c r="FQ27" s="666" t="s">
        <v>389</v>
      </c>
      <c r="FR27" s="660" t="s">
        <v>393</v>
      </c>
      <c r="FS27" s="741" t="s">
        <v>392</v>
      </c>
      <c r="FT27" s="666" t="s">
        <v>389</v>
      </c>
      <c r="FU27" s="668" t="s">
        <v>393</v>
      </c>
      <c r="FV27" s="590"/>
      <c r="FW27" s="591"/>
      <c r="FX27" s="592"/>
      <c r="FY27" s="593"/>
      <c r="FZ27" s="594"/>
      <c r="GA27" s="595"/>
      <c r="GB27" s="596"/>
      <c r="GC27" s="597"/>
      <c r="GD27" s="596"/>
      <c r="GE27" s="598"/>
      <c r="GF27" s="742"/>
      <c r="GG27" s="743"/>
      <c r="GH27" s="743"/>
      <c r="GI27" s="743"/>
      <c r="GJ27" s="612"/>
      <c r="GK27" s="527" t="s">
        <v>466</v>
      </c>
      <c r="GL27" s="612"/>
      <c r="GM27" s="612"/>
      <c r="GN27" s="612"/>
      <c r="GO27" s="414"/>
      <c r="GP27" s="744">
        <v>27.3</v>
      </c>
      <c r="GQ27" s="414" t="s">
        <v>467</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394</v>
      </c>
      <c r="C28" s="746"/>
      <c r="D28" s="747">
        <v>71</v>
      </c>
      <c r="E28" s="748">
        <v>2</v>
      </c>
      <c r="F28" s="749" t="s">
        <v>395</v>
      </c>
      <c r="G28" s="750"/>
      <c r="H28" s="556"/>
      <c r="I28" s="751"/>
      <c r="J28" s="556"/>
      <c r="K28" s="751"/>
      <c r="L28" s="556"/>
      <c r="M28" s="751"/>
      <c r="N28" s="556"/>
      <c r="O28" s="751"/>
      <c r="P28" s="556"/>
      <c r="Q28" s="751"/>
      <c r="R28" s="556"/>
      <c r="S28" s="751"/>
      <c r="T28" s="556"/>
      <c r="U28" s="751"/>
      <c r="V28" s="556"/>
      <c r="W28" s="751">
        <v>1</v>
      </c>
      <c r="X28" s="556">
        <v>142</v>
      </c>
      <c r="Y28" s="751">
        <v>1</v>
      </c>
      <c r="Z28" s="556">
        <v>142</v>
      </c>
      <c r="AA28" s="751">
        <v>1</v>
      </c>
      <c r="AB28" s="556">
        <v>142</v>
      </c>
      <c r="AC28" s="751">
        <v>1</v>
      </c>
      <c r="AD28" s="556">
        <v>142</v>
      </c>
      <c r="AE28" s="751">
        <v>1</v>
      </c>
      <c r="AF28" s="556">
        <v>142</v>
      </c>
      <c r="AG28" s="751">
        <v>1</v>
      </c>
      <c r="AH28" s="556">
        <v>142</v>
      </c>
      <c r="AI28" s="751">
        <v>1</v>
      </c>
      <c r="AJ28" s="556">
        <v>142</v>
      </c>
      <c r="AK28" s="751">
        <v>1</v>
      </c>
      <c r="AL28" s="556">
        <v>142</v>
      </c>
      <c r="AM28" s="751">
        <v>1</v>
      </c>
      <c r="AN28" s="556">
        <v>142</v>
      </c>
      <c r="AO28" s="751">
        <v>1</v>
      </c>
      <c r="AP28" s="556">
        <v>142</v>
      </c>
      <c r="AQ28" s="751"/>
      <c r="AR28" s="556"/>
      <c r="AS28" s="751"/>
      <c r="AT28" s="556"/>
      <c r="AU28" s="751"/>
      <c r="AV28" s="556"/>
      <c r="AW28" s="751"/>
      <c r="AX28" s="556"/>
      <c r="AY28" s="751"/>
      <c r="AZ28" s="556"/>
      <c r="BA28" s="751"/>
      <c r="BB28" s="677"/>
      <c r="BC28" s="559"/>
      <c r="BD28" s="549"/>
      <c r="BE28" s="745" t="s">
        <v>394</v>
      </c>
      <c r="BF28" s="746"/>
      <c r="BG28" s="747">
        <v>71</v>
      </c>
      <c r="BH28" s="748">
        <v>2</v>
      </c>
      <c r="BI28" s="749" t="s">
        <v>395</v>
      </c>
      <c r="BJ28" s="750"/>
      <c r="BK28" s="556"/>
      <c r="BL28" s="751"/>
      <c r="BM28" s="556"/>
      <c r="BN28" s="751"/>
      <c r="BO28" s="556"/>
      <c r="BP28" s="751"/>
      <c r="BQ28" s="556"/>
      <c r="BR28" s="751"/>
      <c r="BS28" s="556"/>
      <c r="BT28" s="751"/>
      <c r="BU28" s="556"/>
      <c r="BV28" s="751"/>
      <c r="BW28" s="556"/>
      <c r="BX28" s="751"/>
      <c r="BY28" s="556"/>
      <c r="BZ28" s="751">
        <v>1</v>
      </c>
      <c r="CA28" s="556">
        <v>142</v>
      </c>
      <c r="CB28" s="751">
        <v>1</v>
      </c>
      <c r="CC28" s="556">
        <v>142</v>
      </c>
      <c r="CD28" s="751">
        <v>1</v>
      </c>
      <c r="CE28" s="556">
        <v>142</v>
      </c>
      <c r="CF28" s="751">
        <v>1</v>
      </c>
      <c r="CG28" s="556">
        <v>142</v>
      </c>
      <c r="CH28" s="751">
        <v>1</v>
      </c>
      <c r="CI28" s="556">
        <v>142</v>
      </c>
      <c r="CJ28" s="751">
        <v>1</v>
      </c>
      <c r="CK28" s="556">
        <v>142</v>
      </c>
      <c r="CL28" s="751">
        <v>1</v>
      </c>
      <c r="CM28" s="556">
        <v>142</v>
      </c>
      <c r="CN28" s="751">
        <v>1</v>
      </c>
      <c r="CO28" s="556">
        <v>142</v>
      </c>
      <c r="CP28" s="751">
        <v>1</v>
      </c>
      <c r="CQ28" s="556">
        <v>142</v>
      </c>
      <c r="CR28" s="751">
        <v>1</v>
      </c>
      <c r="CS28" s="556">
        <v>142</v>
      </c>
      <c r="CT28" s="751"/>
      <c r="CU28" s="556"/>
      <c r="CV28" s="751"/>
      <c r="CW28" s="556"/>
      <c r="CX28" s="751"/>
      <c r="CY28" s="556"/>
      <c r="CZ28" s="751"/>
      <c r="DA28" s="556"/>
      <c r="DB28" s="751"/>
      <c r="DC28" s="556"/>
      <c r="DD28" s="751"/>
      <c r="DE28" s="677"/>
      <c r="DF28" s="559"/>
      <c r="DG28" s="549"/>
      <c r="DH28" s="745" t="s">
        <v>394</v>
      </c>
      <c r="DI28" s="746"/>
      <c r="DJ28" s="747">
        <v>71</v>
      </c>
      <c r="DK28" s="748">
        <v>2</v>
      </c>
      <c r="DL28" s="749" t="s">
        <v>395</v>
      </c>
      <c r="DM28" s="750"/>
      <c r="DN28" s="556"/>
      <c r="DO28" s="751"/>
      <c r="DP28" s="556"/>
      <c r="DQ28" s="751"/>
      <c r="DR28" s="556"/>
      <c r="DS28" s="751"/>
      <c r="DT28" s="556"/>
      <c r="DU28" s="751"/>
      <c r="DV28" s="556"/>
      <c r="DW28" s="751"/>
      <c r="DX28" s="556"/>
      <c r="DY28" s="751"/>
      <c r="DZ28" s="556"/>
      <c r="EA28" s="751"/>
      <c r="EB28" s="556"/>
      <c r="EC28" s="751">
        <v>1</v>
      </c>
      <c r="ED28" s="556">
        <v>142</v>
      </c>
      <c r="EE28" s="751">
        <v>1</v>
      </c>
      <c r="EF28" s="556">
        <v>142</v>
      </c>
      <c r="EG28" s="751">
        <v>1</v>
      </c>
      <c r="EH28" s="556">
        <v>142</v>
      </c>
      <c r="EI28" s="751">
        <v>1</v>
      </c>
      <c r="EJ28" s="556">
        <v>142</v>
      </c>
      <c r="EK28" s="751">
        <v>1</v>
      </c>
      <c r="EL28" s="556">
        <v>142</v>
      </c>
      <c r="EM28" s="751">
        <v>1</v>
      </c>
      <c r="EN28" s="556">
        <v>142</v>
      </c>
      <c r="EO28" s="751">
        <v>1</v>
      </c>
      <c r="EP28" s="556">
        <v>142</v>
      </c>
      <c r="EQ28" s="751">
        <v>1</v>
      </c>
      <c r="ER28" s="556">
        <v>142</v>
      </c>
      <c r="ES28" s="751">
        <v>1</v>
      </c>
      <c r="ET28" s="556">
        <v>142</v>
      </c>
      <c r="EU28" s="751">
        <v>1</v>
      </c>
      <c r="EV28" s="556">
        <v>142</v>
      </c>
      <c r="EW28" s="751"/>
      <c r="EX28" s="556"/>
      <c r="EY28" s="751"/>
      <c r="EZ28" s="556"/>
      <c r="FA28" s="751"/>
      <c r="FB28" s="556"/>
      <c r="FC28" s="751"/>
      <c r="FD28" s="556"/>
      <c r="FE28" s="751"/>
      <c r="FF28" s="556"/>
      <c r="FG28" s="751"/>
      <c r="FH28" s="677"/>
      <c r="FI28" s="560"/>
      <c r="FJ28" s="561"/>
      <c r="FK28" s="745" t="s">
        <v>394</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468</v>
      </c>
      <c r="GL28" s="414"/>
      <c r="GM28" s="414"/>
      <c r="GN28" s="414"/>
      <c r="GO28" s="527"/>
      <c r="GP28" s="744">
        <v>26</v>
      </c>
      <c r="GQ28" s="414" t="s">
        <v>467</v>
      </c>
      <c r="GR28" s="726"/>
      <c r="GS28" s="527"/>
      <c r="GT28" s="756"/>
      <c r="GU28" s="577" t="s">
        <v>469</v>
      </c>
      <c r="GV28" s="606"/>
      <c r="GW28" s="527"/>
      <c r="GX28" s="526"/>
      <c r="GY28" s="410"/>
      <c r="GZ28" s="612"/>
      <c r="HA28" s="527"/>
      <c r="HB28" s="527"/>
      <c r="HC28" s="527"/>
      <c r="HD28" s="527"/>
      <c r="HE28" s="416"/>
      <c r="HF28" s="416"/>
      <c r="HG28" s="416"/>
      <c r="HH28" s="416"/>
    </row>
    <row r="29" spans="1:218" ht="20.100000000000001" customHeight="1" thickBot="1">
      <c r="A29" s="549"/>
      <c r="B29" s="757" t="s">
        <v>396</v>
      </c>
      <c r="C29" s="758"/>
      <c r="D29" s="759">
        <v>15</v>
      </c>
      <c r="E29" s="760">
        <v>53.3</v>
      </c>
      <c r="F29" s="761" t="s">
        <v>395</v>
      </c>
      <c r="G29" s="762"/>
      <c r="H29" s="584"/>
      <c r="I29" s="763"/>
      <c r="J29" s="584"/>
      <c r="K29" s="763"/>
      <c r="L29" s="584"/>
      <c r="M29" s="763"/>
      <c r="N29" s="584"/>
      <c r="O29" s="763"/>
      <c r="P29" s="584"/>
      <c r="Q29" s="763"/>
      <c r="R29" s="584"/>
      <c r="S29" s="763"/>
      <c r="T29" s="584"/>
      <c r="U29" s="763"/>
      <c r="V29" s="584"/>
      <c r="W29" s="763">
        <v>1</v>
      </c>
      <c r="X29" s="584">
        <v>800</v>
      </c>
      <c r="Y29" s="763">
        <v>1</v>
      </c>
      <c r="Z29" s="584">
        <v>800</v>
      </c>
      <c r="AA29" s="763">
        <v>1</v>
      </c>
      <c r="AB29" s="584">
        <v>800</v>
      </c>
      <c r="AC29" s="763">
        <v>1</v>
      </c>
      <c r="AD29" s="584">
        <v>800</v>
      </c>
      <c r="AE29" s="763">
        <v>1</v>
      </c>
      <c r="AF29" s="584">
        <v>800</v>
      </c>
      <c r="AG29" s="763">
        <v>1</v>
      </c>
      <c r="AH29" s="584">
        <v>800</v>
      </c>
      <c r="AI29" s="763">
        <v>1</v>
      </c>
      <c r="AJ29" s="584">
        <v>800</v>
      </c>
      <c r="AK29" s="763">
        <v>1</v>
      </c>
      <c r="AL29" s="584">
        <v>800</v>
      </c>
      <c r="AM29" s="763">
        <v>1</v>
      </c>
      <c r="AN29" s="584">
        <v>800</v>
      </c>
      <c r="AO29" s="763">
        <v>1</v>
      </c>
      <c r="AP29" s="584">
        <v>800</v>
      </c>
      <c r="AQ29" s="763"/>
      <c r="AR29" s="584"/>
      <c r="AS29" s="763"/>
      <c r="AT29" s="584"/>
      <c r="AU29" s="763"/>
      <c r="AV29" s="584"/>
      <c r="AW29" s="763"/>
      <c r="AX29" s="584"/>
      <c r="AY29" s="763"/>
      <c r="AZ29" s="584"/>
      <c r="BA29" s="763"/>
      <c r="BB29" s="586"/>
      <c r="BC29" s="559"/>
      <c r="BD29" s="549"/>
      <c r="BE29" s="757" t="s">
        <v>396</v>
      </c>
      <c r="BF29" s="758"/>
      <c r="BG29" s="759">
        <v>15</v>
      </c>
      <c r="BH29" s="760">
        <v>53.3</v>
      </c>
      <c r="BI29" s="761" t="s">
        <v>395</v>
      </c>
      <c r="BJ29" s="762"/>
      <c r="BK29" s="584"/>
      <c r="BL29" s="763"/>
      <c r="BM29" s="584"/>
      <c r="BN29" s="763"/>
      <c r="BO29" s="584"/>
      <c r="BP29" s="763"/>
      <c r="BQ29" s="584"/>
      <c r="BR29" s="763"/>
      <c r="BS29" s="584"/>
      <c r="BT29" s="763"/>
      <c r="BU29" s="584"/>
      <c r="BV29" s="763"/>
      <c r="BW29" s="584"/>
      <c r="BX29" s="763"/>
      <c r="BY29" s="584"/>
      <c r="BZ29" s="763">
        <v>1</v>
      </c>
      <c r="CA29" s="584">
        <v>800</v>
      </c>
      <c r="CB29" s="763">
        <v>1</v>
      </c>
      <c r="CC29" s="584">
        <v>800</v>
      </c>
      <c r="CD29" s="763">
        <v>1</v>
      </c>
      <c r="CE29" s="584">
        <v>800</v>
      </c>
      <c r="CF29" s="763">
        <v>1</v>
      </c>
      <c r="CG29" s="584">
        <v>800</v>
      </c>
      <c r="CH29" s="763">
        <v>1</v>
      </c>
      <c r="CI29" s="584">
        <v>800</v>
      </c>
      <c r="CJ29" s="763">
        <v>1</v>
      </c>
      <c r="CK29" s="584">
        <v>800</v>
      </c>
      <c r="CL29" s="763">
        <v>1</v>
      </c>
      <c r="CM29" s="584">
        <v>800</v>
      </c>
      <c r="CN29" s="763">
        <v>1</v>
      </c>
      <c r="CO29" s="584">
        <v>800</v>
      </c>
      <c r="CP29" s="763">
        <v>1</v>
      </c>
      <c r="CQ29" s="584">
        <v>800</v>
      </c>
      <c r="CR29" s="763">
        <v>1</v>
      </c>
      <c r="CS29" s="584">
        <v>800</v>
      </c>
      <c r="CT29" s="763"/>
      <c r="CU29" s="584"/>
      <c r="CV29" s="763"/>
      <c r="CW29" s="584"/>
      <c r="CX29" s="763"/>
      <c r="CY29" s="584"/>
      <c r="CZ29" s="763"/>
      <c r="DA29" s="584"/>
      <c r="DB29" s="763"/>
      <c r="DC29" s="584"/>
      <c r="DD29" s="763"/>
      <c r="DE29" s="586"/>
      <c r="DF29" s="559"/>
      <c r="DG29" s="549"/>
      <c r="DH29" s="757" t="s">
        <v>396</v>
      </c>
      <c r="DI29" s="758"/>
      <c r="DJ29" s="759">
        <v>15</v>
      </c>
      <c r="DK29" s="760">
        <v>53.3</v>
      </c>
      <c r="DL29" s="761" t="s">
        <v>395</v>
      </c>
      <c r="DM29" s="762"/>
      <c r="DN29" s="584"/>
      <c r="DO29" s="763"/>
      <c r="DP29" s="584"/>
      <c r="DQ29" s="763"/>
      <c r="DR29" s="584"/>
      <c r="DS29" s="763"/>
      <c r="DT29" s="584"/>
      <c r="DU29" s="763"/>
      <c r="DV29" s="584"/>
      <c r="DW29" s="763"/>
      <c r="DX29" s="584"/>
      <c r="DY29" s="763"/>
      <c r="DZ29" s="584"/>
      <c r="EA29" s="763"/>
      <c r="EB29" s="584"/>
      <c r="EC29" s="763">
        <v>1</v>
      </c>
      <c r="ED29" s="584">
        <v>800</v>
      </c>
      <c r="EE29" s="763">
        <v>1</v>
      </c>
      <c r="EF29" s="584">
        <v>800</v>
      </c>
      <c r="EG29" s="763">
        <v>1</v>
      </c>
      <c r="EH29" s="584">
        <v>800</v>
      </c>
      <c r="EI29" s="763">
        <v>1</v>
      </c>
      <c r="EJ29" s="584">
        <v>800</v>
      </c>
      <c r="EK29" s="763">
        <v>1</v>
      </c>
      <c r="EL29" s="584">
        <v>800</v>
      </c>
      <c r="EM29" s="763">
        <v>1</v>
      </c>
      <c r="EN29" s="584">
        <v>800</v>
      </c>
      <c r="EO29" s="763">
        <v>1</v>
      </c>
      <c r="EP29" s="584">
        <v>800</v>
      </c>
      <c r="EQ29" s="763">
        <v>1</v>
      </c>
      <c r="ER29" s="584">
        <v>800</v>
      </c>
      <c r="ES29" s="763">
        <v>1</v>
      </c>
      <c r="ET29" s="584">
        <v>800</v>
      </c>
      <c r="EU29" s="763">
        <v>1</v>
      </c>
      <c r="EV29" s="584">
        <v>800</v>
      </c>
      <c r="EW29" s="763"/>
      <c r="EX29" s="584"/>
      <c r="EY29" s="763"/>
      <c r="EZ29" s="584"/>
      <c r="FA29" s="763"/>
      <c r="FB29" s="584"/>
      <c r="FC29" s="763"/>
      <c r="FD29" s="584"/>
      <c r="FE29" s="763"/>
      <c r="FF29" s="584"/>
      <c r="FG29" s="763"/>
      <c r="FH29" s="586"/>
      <c r="FI29" s="560"/>
      <c r="FJ29" s="561"/>
      <c r="FK29" s="757" t="s">
        <v>396</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470</v>
      </c>
      <c r="GL29" s="767"/>
      <c r="GM29" s="767"/>
      <c r="GN29" s="767"/>
      <c r="GO29" s="612"/>
      <c r="GP29" s="744">
        <v>1.3000000000000007</v>
      </c>
      <c r="GQ29" s="414" t="s">
        <v>467</v>
      </c>
      <c r="GR29" s="768"/>
      <c r="GS29" s="527"/>
      <c r="GT29" s="756"/>
      <c r="GU29" s="577" t="s">
        <v>471</v>
      </c>
      <c r="GV29" s="606"/>
      <c r="GW29" s="527"/>
      <c r="GX29" s="526"/>
      <c r="GY29" s="410"/>
      <c r="GZ29" s="527"/>
      <c r="HA29" s="577"/>
      <c r="HB29" s="577"/>
      <c r="HC29" s="576"/>
      <c r="HD29" s="527"/>
      <c r="HE29" s="416"/>
      <c r="HF29" s="416"/>
    </row>
    <row r="30" spans="1:218" ht="20.100000000000001" customHeight="1">
      <c r="A30" s="549"/>
      <c r="B30" s="757" t="s">
        <v>397</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397</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397</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397</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472</v>
      </c>
      <c r="GL30" s="767"/>
      <c r="GM30" s="767"/>
      <c r="GN30" s="767"/>
      <c r="GO30" s="527"/>
      <c r="GP30" s="771">
        <v>0</v>
      </c>
      <c r="GQ30" s="414"/>
      <c r="GR30" s="414"/>
      <c r="GS30" s="527"/>
      <c r="GT30" s="756"/>
      <c r="GU30" s="772" t="s">
        <v>362</v>
      </c>
      <c r="GV30" s="773"/>
      <c r="GW30" s="774" t="s">
        <v>473</v>
      </c>
      <c r="GX30" s="774"/>
      <c r="GY30" s="774"/>
      <c r="GZ30" s="774"/>
      <c r="HA30" s="775"/>
      <c r="HB30" s="776" t="s">
        <v>474</v>
      </c>
      <c r="HC30" s="576"/>
      <c r="HD30" s="559"/>
      <c r="HE30" s="416"/>
      <c r="HF30" s="416"/>
    </row>
    <row r="31" spans="1:218" ht="20.100000000000001" customHeight="1">
      <c r="A31" s="549"/>
      <c r="B31" s="777" t="s">
        <v>398</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398</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398</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398</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475</v>
      </c>
      <c r="GL31" s="414"/>
      <c r="GM31" s="577"/>
      <c r="GN31" s="414"/>
      <c r="GO31" s="577"/>
      <c r="GP31" s="771">
        <v>0</v>
      </c>
      <c r="GQ31" s="414"/>
      <c r="GR31" s="414"/>
      <c r="GS31" s="577"/>
      <c r="GT31" s="756"/>
      <c r="GU31" s="772"/>
      <c r="GV31" s="773"/>
      <c r="GW31" s="782" t="s">
        <v>476</v>
      </c>
      <c r="GX31" s="783" t="s">
        <v>477</v>
      </c>
      <c r="GY31" s="784" t="s">
        <v>478</v>
      </c>
      <c r="GZ31" s="785" t="s">
        <v>479</v>
      </c>
      <c r="HA31" s="785" t="s">
        <v>455</v>
      </c>
      <c r="HB31" s="786"/>
      <c r="HC31" s="576"/>
      <c r="HD31" s="559"/>
      <c r="HE31" s="416"/>
      <c r="HF31" s="416"/>
    </row>
    <row r="32" spans="1:218" ht="20.100000000000001" customHeight="1">
      <c r="A32" s="549"/>
      <c r="B32" s="787" t="s">
        <v>399</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399</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399</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399</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400</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942</v>
      </c>
      <c r="Y33" s="643"/>
      <c r="Z33" s="642">
        <v>942</v>
      </c>
      <c r="AA33" s="643"/>
      <c r="AB33" s="642">
        <v>942</v>
      </c>
      <c r="AC33" s="643"/>
      <c r="AD33" s="642">
        <v>942</v>
      </c>
      <c r="AE33" s="643"/>
      <c r="AF33" s="642">
        <v>942</v>
      </c>
      <c r="AG33" s="643"/>
      <c r="AH33" s="642">
        <v>942</v>
      </c>
      <c r="AI33" s="643"/>
      <c r="AJ33" s="642">
        <v>942</v>
      </c>
      <c r="AK33" s="643"/>
      <c r="AL33" s="642">
        <v>942</v>
      </c>
      <c r="AM33" s="643"/>
      <c r="AN33" s="642">
        <v>942</v>
      </c>
      <c r="AO33" s="643"/>
      <c r="AP33" s="642">
        <v>942</v>
      </c>
      <c r="AQ33" s="643"/>
      <c r="AR33" s="642">
        <v>0</v>
      </c>
      <c r="AS33" s="643"/>
      <c r="AT33" s="642">
        <v>0</v>
      </c>
      <c r="AU33" s="643"/>
      <c r="AV33" s="642">
        <v>0</v>
      </c>
      <c r="AW33" s="643"/>
      <c r="AX33" s="642">
        <v>0</v>
      </c>
      <c r="AY33" s="643"/>
      <c r="AZ33" s="642">
        <v>0</v>
      </c>
      <c r="BA33" s="643"/>
      <c r="BB33" s="644">
        <v>0</v>
      </c>
      <c r="BC33" s="645"/>
      <c r="BD33" s="638"/>
      <c r="BE33" s="639"/>
      <c r="BF33" s="639"/>
      <c r="BG33" s="640" t="s">
        <v>400</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942</v>
      </c>
      <c r="CB33" s="643"/>
      <c r="CC33" s="642">
        <v>942</v>
      </c>
      <c r="CD33" s="643"/>
      <c r="CE33" s="642">
        <v>942</v>
      </c>
      <c r="CF33" s="643"/>
      <c r="CG33" s="642">
        <v>942</v>
      </c>
      <c r="CH33" s="643"/>
      <c r="CI33" s="642">
        <v>942</v>
      </c>
      <c r="CJ33" s="643"/>
      <c r="CK33" s="642">
        <v>942</v>
      </c>
      <c r="CL33" s="643"/>
      <c r="CM33" s="642">
        <v>942</v>
      </c>
      <c r="CN33" s="643"/>
      <c r="CO33" s="642">
        <v>942</v>
      </c>
      <c r="CP33" s="643"/>
      <c r="CQ33" s="642">
        <v>942</v>
      </c>
      <c r="CR33" s="643"/>
      <c r="CS33" s="642">
        <v>942</v>
      </c>
      <c r="CT33" s="643"/>
      <c r="CU33" s="642">
        <v>0</v>
      </c>
      <c r="CV33" s="643"/>
      <c r="CW33" s="642">
        <v>0</v>
      </c>
      <c r="CX33" s="643"/>
      <c r="CY33" s="642">
        <v>0</v>
      </c>
      <c r="CZ33" s="643"/>
      <c r="DA33" s="642">
        <v>0</v>
      </c>
      <c r="DB33" s="643"/>
      <c r="DC33" s="642">
        <v>0</v>
      </c>
      <c r="DD33" s="643"/>
      <c r="DE33" s="644">
        <v>0</v>
      </c>
      <c r="DF33" s="645"/>
      <c r="DG33" s="638"/>
      <c r="DH33" s="639"/>
      <c r="DI33" s="639"/>
      <c r="DJ33" s="640" t="s">
        <v>400</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942</v>
      </c>
      <c r="EE33" s="643"/>
      <c r="EF33" s="642">
        <v>942</v>
      </c>
      <c r="EG33" s="643"/>
      <c r="EH33" s="642">
        <v>942</v>
      </c>
      <c r="EI33" s="643"/>
      <c r="EJ33" s="642">
        <v>942</v>
      </c>
      <c r="EK33" s="643"/>
      <c r="EL33" s="642">
        <v>942</v>
      </c>
      <c r="EM33" s="643"/>
      <c r="EN33" s="642">
        <v>942</v>
      </c>
      <c r="EO33" s="643"/>
      <c r="EP33" s="642">
        <v>942</v>
      </c>
      <c r="EQ33" s="643"/>
      <c r="ER33" s="642">
        <v>942</v>
      </c>
      <c r="ES33" s="643"/>
      <c r="ET33" s="642">
        <v>942</v>
      </c>
      <c r="EU33" s="643"/>
      <c r="EV33" s="642">
        <v>942</v>
      </c>
      <c r="EW33" s="643"/>
      <c r="EX33" s="642">
        <v>0</v>
      </c>
      <c r="EY33" s="643"/>
      <c r="EZ33" s="642">
        <v>0</v>
      </c>
      <c r="FA33" s="643"/>
      <c r="FB33" s="642">
        <v>0</v>
      </c>
      <c r="FC33" s="643"/>
      <c r="FD33" s="642">
        <v>0</v>
      </c>
      <c r="FE33" s="643"/>
      <c r="FF33" s="642">
        <v>0</v>
      </c>
      <c r="FG33" s="643"/>
      <c r="FH33" s="644">
        <v>0</v>
      </c>
      <c r="FI33" s="646"/>
      <c r="FJ33" s="561"/>
      <c r="FK33" s="639"/>
      <c r="FL33" s="639"/>
      <c r="FM33" s="640" t="s">
        <v>400</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480</v>
      </c>
      <c r="GL33" s="576"/>
      <c r="GM33" s="527"/>
      <c r="GN33" s="576"/>
      <c r="GO33" s="527"/>
      <c r="GP33" s="527"/>
      <c r="GQ33" s="527"/>
      <c r="GR33" s="576"/>
      <c r="GS33" s="527"/>
      <c r="GT33" s="756"/>
      <c r="GU33" s="804">
        <v>208</v>
      </c>
      <c r="GV33" s="805"/>
      <c r="GW33" s="806">
        <v>22.68</v>
      </c>
      <c r="GX33" s="807">
        <v>61.36</v>
      </c>
      <c r="GY33" s="807">
        <v>54.74</v>
      </c>
      <c r="GZ33" s="807">
        <v>0</v>
      </c>
      <c r="HA33" s="807">
        <v>138.78</v>
      </c>
      <c r="HB33" s="808">
        <v>53.3</v>
      </c>
      <c r="HC33" s="414"/>
      <c r="HD33" s="645"/>
      <c r="HE33" s="416"/>
      <c r="HF33" s="416"/>
    </row>
    <row r="34" spans="1:219" ht="20.100000000000001" customHeight="1">
      <c r="A34" s="809" t="s">
        <v>401</v>
      </c>
      <c r="B34" s="736"/>
      <c r="C34" s="810"/>
      <c r="D34" s="811"/>
      <c r="E34" s="810"/>
      <c r="F34" s="812"/>
      <c r="G34" s="733" t="s">
        <v>402</v>
      </c>
      <c r="H34" s="660" t="s">
        <v>390</v>
      </c>
      <c r="I34" s="734" t="s">
        <v>402</v>
      </c>
      <c r="J34" s="660" t="s">
        <v>390</v>
      </c>
      <c r="K34" s="735" t="s">
        <v>402</v>
      </c>
      <c r="L34" s="660" t="s">
        <v>390</v>
      </c>
      <c r="M34" s="735" t="s">
        <v>402</v>
      </c>
      <c r="N34" s="660" t="s">
        <v>390</v>
      </c>
      <c r="O34" s="735" t="s">
        <v>402</v>
      </c>
      <c r="P34" s="660" t="s">
        <v>390</v>
      </c>
      <c r="Q34" s="735" t="s">
        <v>402</v>
      </c>
      <c r="R34" s="660" t="s">
        <v>390</v>
      </c>
      <c r="S34" s="735" t="s">
        <v>402</v>
      </c>
      <c r="T34" s="660" t="s">
        <v>390</v>
      </c>
      <c r="U34" s="735" t="s">
        <v>402</v>
      </c>
      <c r="V34" s="660" t="s">
        <v>390</v>
      </c>
      <c r="W34" s="735" t="s">
        <v>402</v>
      </c>
      <c r="X34" s="660" t="s">
        <v>390</v>
      </c>
      <c r="Y34" s="735" t="s">
        <v>402</v>
      </c>
      <c r="Z34" s="660" t="s">
        <v>390</v>
      </c>
      <c r="AA34" s="735" t="s">
        <v>402</v>
      </c>
      <c r="AB34" s="660" t="s">
        <v>390</v>
      </c>
      <c r="AC34" s="735" t="s">
        <v>402</v>
      </c>
      <c r="AD34" s="660" t="s">
        <v>390</v>
      </c>
      <c r="AE34" s="735" t="s">
        <v>402</v>
      </c>
      <c r="AF34" s="660" t="s">
        <v>390</v>
      </c>
      <c r="AG34" s="735" t="s">
        <v>402</v>
      </c>
      <c r="AH34" s="660" t="s">
        <v>390</v>
      </c>
      <c r="AI34" s="735" t="s">
        <v>402</v>
      </c>
      <c r="AJ34" s="660" t="s">
        <v>390</v>
      </c>
      <c r="AK34" s="735" t="s">
        <v>402</v>
      </c>
      <c r="AL34" s="660" t="s">
        <v>390</v>
      </c>
      <c r="AM34" s="735" t="s">
        <v>402</v>
      </c>
      <c r="AN34" s="660" t="s">
        <v>390</v>
      </c>
      <c r="AO34" s="735" t="s">
        <v>402</v>
      </c>
      <c r="AP34" s="660" t="s">
        <v>390</v>
      </c>
      <c r="AQ34" s="735" t="s">
        <v>402</v>
      </c>
      <c r="AR34" s="660" t="s">
        <v>390</v>
      </c>
      <c r="AS34" s="735" t="s">
        <v>402</v>
      </c>
      <c r="AT34" s="660" t="s">
        <v>390</v>
      </c>
      <c r="AU34" s="735" t="s">
        <v>402</v>
      </c>
      <c r="AV34" s="660" t="s">
        <v>390</v>
      </c>
      <c r="AW34" s="735" t="s">
        <v>402</v>
      </c>
      <c r="AX34" s="660" t="s">
        <v>390</v>
      </c>
      <c r="AY34" s="735" t="s">
        <v>402</v>
      </c>
      <c r="AZ34" s="660" t="s">
        <v>390</v>
      </c>
      <c r="BA34" s="735" t="s">
        <v>402</v>
      </c>
      <c r="BB34" s="662" t="s">
        <v>390</v>
      </c>
      <c r="BC34" s="716"/>
      <c r="BD34" s="809" t="s">
        <v>401</v>
      </c>
      <c r="BE34" s="731"/>
      <c r="BF34" s="813"/>
      <c r="BG34" s="814"/>
      <c r="BH34" s="813"/>
      <c r="BI34" s="815"/>
      <c r="BJ34" s="733" t="s">
        <v>402</v>
      </c>
      <c r="BK34" s="660" t="s">
        <v>390</v>
      </c>
      <c r="BL34" s="734" t="s">
        <v>402</v>
      </c>
      <c r="BM34" s="660" t="s">
        <v>390</v>
      </c>
      <c r="BN34" s="735" t="s">
        <v>402</v>
      </c>
      <c r="BO34" s="660" t="s">
        <v>390</v>
      </c>
      <c r="BP34" s="735" t="s">
        <v>402</v>
      </c>
      <c r="BQ34" s="660" t="s">
        <v>390</v>
      </c>
      <c r="BR34" s="735" t="s">
        <v>402</v>
      </c>
      <c r="BS34" s="660" t="s">
        <v>390</v>
      </c>
      <c r="BT34" s="735" t="s">
        <v>402</v>
      </c>
      <c r="BU34" s="660" t="s">
        <v>390</v>
      </c>
      <c r="BV34" s="735" t="s">
        <v>402</v>
      </c>
      <c r="BW34" s="660" t="s">
        <v>390</v>
      </c>
      <c r="BX34" s="735" t="s">
        <v>402</v>
      </c>
      <c r="BY34" s="660" t="s">
        <v>390</v>
      </c>
      <c r="BZ34" s="735" t="s">
        <v>402</v>
      </c>
      <c r="CA34" s="660" t="s">
        <v>390</v>
      </c>
      <c r="CB34" s="735" t="s">
        <v>402</v>
      </c>
      <c r="CC34" s="660" t="s">
        <v>390</v>
      </c>
      <c r="CD34" s="735" t="s">
        <v>402</v>
      </c>
      <c r="CE34" s="660" t="s">
        <v>390</v>
      </c>
      <c r="CF34" s="735" t="s">
        <v>402</v>
      </c>
      <c r="CG34" s="660" t="s">
        <v>390</v>
      </c>
      <c r="CH34" s="735" t="s">
        <v>402</v>
      </c>
      <c r="CI34" s="660" t="s">
        <v>390</v>
      </c>
      <c r="CJ34" s="735" t="s">
        <v>402</v>
      </c>
      <c r="CK34" s="660" t="s">
        <v>390</v>
      </c>
      <c r="CL34" s="735" t="s">
        <v>402</v>
      </c>
      <c r="CM34" s="660" t="s">
        <v>390</v>
      </c>
      <c r="CN34" s="735" t="s">
        <v>402</v>
      </c>
      <c r="CO34" s="660" t="s">
        <v>390</v>
      </c>
      <c r="CP34" s="735" t="s">
        <v>402</v>
      </c>
      <c r="CQ34" s="660" t="s">
        <v>390</v>
      </c>
      <c r="CR34" s="735" t="s">
        <v>402</v>
      </c>
      <c r="CS34" s="660" t="s">
        <v>390</v>
      </c>
      <c r="CT34" s="735" t="s">
        <v>402</v>
      </c>
      <c r="CU34" s="660" t="s">
        <v>390</v>
      </c>
      <c r="CV34" s="735" t="s">
        <v>402</v>
      </c>
      <c r="CW34" s="660" t="s">
        <v>390</v>
      </c>
      <c r="CX34" s="735" t="s">
        <v>402</v>
      </c>
      <c r="CY34" s="660" t="s">
        <v>390</v>
      </c>
      <c r="CZ34" s="735" t="s">
        <v>402</v>
      </c>
      <c r="DA34" s="660" t="s">
        <v>390</v>
      </c>
      <c r="DB34" s="735" t="s">
        <v>402</v>
      </c>
      <c r="DC34" s="660" t="s">
        <v>390</v>
      </c>
      <c r="DD34" s="735" t="s">
        <v>402</v>
      </c>
      <c r="DE34" s="662" t="s">
        <v>390</v>
      </c>
      <c r="DF34" s="716"/>
      <c r="DG34" s="809" t="s">
        <v>401</v>
      </c>
      <c r="DH34" s="731"/>
      <c r="DI34" s="813"/>
      <c r="DJ34" s="814"/>
      <c r="DK34" s="813"/>
      <c r="DL34" s="815"/>
      <c r="DM34" s="733" t="s">
        <v>402</v>
      </c>
      <c r="DN34" s="660" t="s">
        <v>390</v>
      </c>
      <c r="DO34" s="734" t="s">
        <v>402</v>
      </c>
      <c r="DP34" s="660" t="s">
        <v>390</v>
      </c>
      <c r="DQ34" s="735" t="s">
        <v>402</v>
      </c>
      <c r="DR34" s="660" t="s">
        <v>390</v>
      </c>
      <c r="DS34" s="735" t="s">
        <v>402</v>
      </c>
      <c r="DT34" s="660" t="s">
        <v>390</v>
      </c>
      <c r="DU34" s="735" t="s">
        <v>402</v>
      </c>
      <c r="DV34" s="660" t="s">
        <v>390</v>
      </c>
      <c r="DW34" s="735" t="s">
        <v>402</v>
      </c>
      <c r="DX34" s="660" t="s">
        <v>390</v>
      </c>
      <c r="DY34" s="735" t="s">
        <v>402</v>
      </c>
      <c r="DZ34" s="660" t="s">
        <v>390</v>
      </c>
      <c r="EA34" s="735" t="s">
        <v>402</v>
      </c>
      <c r="EB34" s="660" t="s">
        <v>390</v>
      </c>
      <c r="EC34" s="735" t="s">
        <v>402</v>
      </c>
      <c r="ED34" s="660" t="s">
        <v>390</v>
      </c>
      <c r="EE34" s="735" t="s">
        <v>402</v>
      </c>
      <c r="EF34" s="660" t="s">
        <v>390</v>
      </c>
      <c r="EG34" s="735" t="s">
        <v>402</v>
      </c>
      <c r="EH34" s="660" t="s">
        <v>390</v>
      </c>
      <c r="EI34" s="735" t="s">
        <v>402</v>
      </c>
      <c r="EJ34" s="660" t="s">
        <v>390</v>
      </c>
      <c r="EK34" s="735" t="s">
        <v>402</v>
      </c>
      <c r="EL34" s="660" t="s">
        <v>390</v>
      </c>
      <c r="EM34" s="735" t="s">
        <v>402</v>
      </c>
      <c r="EN34" s="660" t="s">
        <v>390</v>
      </c>
      <c r="EO34" s="735" t="s">
        <v>402</v>
      </c>
      <c r="EP34" s="660" t="s">
        <v>390</v>
      </c>
      <c r="EQ34" s="735" t="s">
        <v>402</v>
      </c>
      <c r="ER34" s="660" t="s">
        <v>390</v>
      </c>
      <c r="ES34" s="735" t="s">
        <v>402</v>
      </c>
      <c r="ET34" s="660" t="s">
        <v>390</v>
      </c>
      <c r="EU34" s="735" t="s">
        <v>402</v>
      </c>
      <c r="EV34" s="660" t="s">
        <v>390</v>
      </c>
      <c r="EW34" s="735" t="s">
        <v>402</v>
      </c>
      <c r="EX34" s="660" t="s">
        <v>390</v>
      </c>
      <c r="EY34" s="735" t="s">
        <v>402</v>
      </c>
      <c r="EZ34" s="660" t="s">
        <v>390</v>
      </c>
      <c r="FA34" s="735" t="s">
        <v>402</v>
      </c>
      <c r="FB34" s="660" t="s">
        <v>390</v>
      </c>
      <c r="FC34" s="735" t="s">
        <v>402</v>
      </c>
      <c r="FD34" s="660" t="s">
        <v>390</v>
      </c>
      <c r="FE34" s="735" t="s">
        <v>402</v>
      </c>
      <c r="FF34" s="660" t="s">
        <v>390</v>
      </c>
      <c r="FG34" s="735" t="s">
        <v>402</v>
      </c>
      <c r="FH34" s="662" t="s">
        <v>390</v>
      </c>
      <c r="FI34" s="739"/>
      <c r="FJ34" s="816" t="s">
        <v>401</v>
      </c>
      <c r="FK34" s="731"/>
      <c r="FL34" s="813"/>
      <c r="FM34" s="814"/>
      <c r="FN34" s="813"/>
      <c r="FO34" s="815"/>
      <c r="FP34" s="740" t="s">
        <v>392</v>
      </c>
      <c r="FQ34" s="666" t="s">
        <v>402</v>
      </c>
      <c r="FR34" s="660" t="s">
        <v>393</v>
      </c>
      <c r="FS34" s="741" t="s">
        <v>392</v>
      </c>
      <c r="FT34" s="666" t="s">
        <v>402</v>
      </c>
      <c r="FU34" s="668" t="s">
        <v>393</v>
      </c>
      <c r="FV34" s="590"/>
      <c r="FW34" s="591"/>
      <c r="FX34" s="799"/>
      <c r="FY34" s="593"/>
      <c r="FZ34" s="800"/>
      <c r="GA34" s="595"/>
      <c r="GB34" s="801"/>
      <c r="GC34" s="597"/>
      <c r="GD34" s="801"/>
      <c r="GE34" s="598"/>
      <c r="GF34" s="742"/>
      <c r="GG34" s="743"/>
      <c r="GH34" s="743"/>
      <c r="GI34" s="743"/>
      <c r="GJ34" s="576"/>
      <c r="GK34" s="817" t="s">
        <v>593</v>
      </c>
      <c r="GL34" s="817"/>
      <c r="GM34" s="817"/>
      <c r="GN34" s="817"/>
      <c r="GO34" s="817"/>
      <c r="GP34" s="817"/>
      <c r="GQ34" s="612">
        <v>10.6</v>
      </c>
      <c r="GR34" s="576" t="s">
        <v>462</v>
      </c>
      <c r="GS34" s="577"/>
      <c r="GT34" s="756"/>
      <c r="GU34" s="818"/>
      <c r="GV34" s="819"/>
      <c r="GW34" s="820"/>
      <c r="GX34" s="630"/>
      <c r="GY34" s="630"/>
      <c r="GZ34" s="630"/>
      <c r="HA34" s="630"/>
      <c r="HB34" s="631"/>
      <c r="HC34" s="527"/>
      <c r="HD34" s="716"/>
      <c r="HE34" s="416"/>
      <c r="HF34" s="416"/>
    </row>
    <row r="35" spans="1:219" ht="20.100000000000001" customHeight="1">
      <c r="A35" s="821"/>
      <c r="B35" s="463" t="s">
        <v>403</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317</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317</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317</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482</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404</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404</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404</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404</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594</v>
      </c>
      <c r="GL36" s="817"/>
      <c r="GM36" s="817"/>
      <c r="GN36" s="817"/>
      <c r="GO36" s="817"/>
      <c r="GP36" s="817"/>
      <c r="GQ36" s="612">
        <v>14.7</v>
      </c>
      <c r="GR36" s="576" t="s">
        <v>462</v>
      </c>
      <c r="GS36" s="527"/>
      <c r="GT36" s="756"/>
      <c r="GU36" s="818"/>
      <c r="GV36" s="819"/>
      <c r="GW36" s="820"/>
      <c r="GX36" s="630"/>
      <c r="GY36" s="630"/>
      <c r="GZ36" s="630"/>
      <c r="HA36" s="630"/>
      <c r="HB36" s="631"/>
      <c r="HC36" s="527"/>
      <c r="HD36" s="645"/>
      <c r="HE36" s="416"/>
      <c r="HF36" s="416"/>
    </row>
    <row r="37" spans="1:219" ht="24" customHeight="1">
      <c r="A37" s="842" t="s">
        <v>405</v>
      </c>
      <c r="B37" s="843"/>
      <c r="C37" s="844" t="s">
        <v>406</v>
      </c>
      <c r="D37" s="845"/>
      <c r="E37" s="846" t="s">
        <v>407</v>
      </c>
      <c r="F37" s="847"/>
      <c r="G37" s="659" t="s">
        <v>402</v>
      </c>
      <c r="H37" s="660" t="s">
        <v>408</v>
      </c>
      <c r="I37" s="661" t="s">
        <v>402</v>
      </c>
      <c r="J37" s="660" t="s">
        <v>409</v>
      </c>
      <c r="K37" s="661" t="s">
        <v>402</v>
      </c>
      <c r="L37" s="660" t="s">
        <v>409</v>
      </c>
      <c r="M37" s="661" t="s">
        <v>402</v>
      </c>
      <c r="N37" s="660" t="s">
        <v>409</v>
      </c>
      <c r="O37" s="661" t="s">
        <v>402</v>
      </c>
      <c r="P37" s="660" t="s">
        <v>409</v>
      </c>
      <c r="Q37" s="661" t="s">
        <v>402</v>
      </c>
      <c r="R37" s="660" t="s">
        <v>409</v>
      </c>
      <c r="S37" s="661" t="s">
        <v>402</v>
      </c>
      <c r="T37" s="660" t="s">
        <v>409</v>
      </c>
      <c r="U37" s="661" t="s">
        <v>402</v>
      </c>
      <c r="V37" s="660" t="s">
        <v>409</v>
      </c>
      <c r="W37" s="661" t="s">
        <v>402</v>
      </c>
      <c r="X37" s="660" t="s">
        <v>409</v>
      </c>
      <c r="Y37" s="661" t="s">
        <v>402</v>
      </c>
      <c r="Z37" s="660" t="s">
        <v>409</v>
      </c>
      <c r="AA37" s="661" t="s">
        <v>402</v>
      </c>
      <c r="AB37" s="660" t="s">
        <v>409</v>
      </c>
      <c r="AC37" s="661" t="s">
        <v>402</v>
      </c>
      <c r="AD37" s="660" t="s">
        <v>409</v>
      </c>
      <c r="AE37" s="661" t="s">
        <v>402</v>
      </c>
      <c r="AF37" s="660" t="s">
        <v>409</v>
      </c>
      <c r="AG37" s="661" t="s">
        <v>402</v>
      </c>
      <c r="AH37" s="660" t="s">
        <v>409</v>
      </c>
      <c r="AI37" s="661" t="s">
        <v>402</v>
      </c>
      <c r="AJ37" s="660" t="s">
        <v>409</v>
      </c>
      <c r="AK37" s="661" t="s">
        <v>402</v>
      </c>
      <c r="AL37" s="660" t="s">
        <v>409</v>
      </c>
      <c r="AM37" s="661" t="s">
        <v>402</v>
      </c>
      <c r="AN37" s="660" t="s">
        <v>409</v>
      </c>
      <c r="AO37" s="661" t="s">
        <v>402</v>
      </c>
      <c r="AP37" s="660" t="s">
        <v>409</v>
      </c>
      <c r="AQ37" s="661" t="s">
        <v>402</v>
      </c>
      <c r="AR37" s="660" t="s">
        <v>409</v>
      </c>
      <c r="AS37" s="661" t="s">
        <v>402</v>
      </c>
      <c r="AT37" s="660" t="s">
        <v>409</v>
      </c>
      <c r="AU37" s="661" t="s">
        <v>402</v>
      </c>
      <c r="AV37" s="660" t="s">
        <v>409</v>
      </c>
      <c r="AW37" s="661" t="s">
        <v>402</v>
      </c>
      <c r="AX37" s="660" t="s">
        <v>409</v>
      </c>
      <c r="AY37" s="661" t="s">
        <v>402</v>
      </c>
      <c r="AZ37" s="660" t="s">
        <v>409</v>
      </c>
      <c r="BA37" s="661" t="s">
        <v>402</v>
      </c>
      <c r="BB37" s="662" t="s">
        <v>409</v>
      </c>
      <c r="BC37" s="716"/>
      <c r="BD37" s="842" t="s">
        <v>405</v>
      </c>
      <c r="BE37" s="843"/>
      <c r="BF37" s="844" t="s">
        <v>406</v>
      </c>
      <c r="BG37" s="845"/>
      <c r="BH37" s="846" t="s">
        <v>407</v>
      </c>
      <c r="BI37" s="847"/>
      <c r="BJ37" s="659" t="s">
        <v>402</v>
      </c>
      <c r="BK37" s="660" t="s">
        <v>408</v>
      </c>
      <c r="BL37" s="661" t="s">
        <v>402</v>
      </c>
      <c r="BM37" s="660" t="s">
        <v>409</v>
      </c>
      <c r="BN37" s="661" t="s">
        <v>402</v>
      </c>
      <c r="BO37" s="660" t="s">
        <v>409</v>
      </c>
      <c r="BP37" s="661" t="s">
        <v>402</v>
      </c>
      <c r="BQ37" s="660" t="s">
        <v>409</v>
      </c>
      <c r="BR37" s="661" t="s">
        <v>402</v>
      </c>
      <c r="BS37" s="660" t="s">
        <v>409</v>
      </c>
      <c r="BT37" s="661" t="s">
        <v>402</v>
      </c>
      <c r="BU37" s="660" t="s">
        <v>409</v>
      </c>
      <c r="BV37" s="661" t="s">
        <v>402</v>
      </c>
      <c r="BW37" s="660" t="s">
        <v>409</v>
      </c>
      <c r="BX37" s="661" t="s">
        <v>402</v>
      </c>
      <c r="BY37" s="660" t="s">
        <v>409</v>
      </c>
      <c r="BZ37" s="661" t="s">
        <v>402</v>
      </c>
      <c r="CA37" s="660" t="s">
        <v>409</v>
      </c>
      <c r="CB37" s="661" t="s">
        <v>402</v>
      </c>
      <c r="CC37" s="660" t="s">
        <v>409</v>
      </c>
      <c r="CD37" s="661" t="s">
        <v>402</v>
      </c>
      <c r="CE37" s="660" t="s">
        <v>409</v>
      </c>
      <c r="CF37" s="661" t="s">
        <v>402</v>
      </c>
      <c r="CG37" s="660" t="s">
        <v>409</v>
      </c>
      <c r="CH37" s="661" t="s">
        <v>402</v>
      </c>
      <c r="CI37" s="660" t="s">
        <v>409</v>
      </c>
      <c r="CJ37" s="661" t="s">
        <v>402</v>
      </c>
      <c r="CK37" s="660" t="s">
        <v>409</v>
      </c>
      <c r="CL37" s="661" t="s">
        <v>402</v>
      </c>
      <c r="CM37" s="660" t="s">
        <v>409</v>
      </c>
      <c r="CN37" s="661" t="s">
        <v>402</v>
      </c>
      <c r="CO37" s="660" t="s">
        <v>409</v>
      </c>
      <c r="CP37" s="661" t="s">
        <v>402</v>
      </c>
      <c r="CQ37" s="660" t="s">
        <v>409</v>
      </c>
      <c r="CR37" s="661" t="s">
        <v>402</v>
      </c>
      <c r="CS37" s="660" t="s">
        <v>409</v>
      </c>
      <c r="CT37" s="661" t="s">
        <v>402</v>
      </c>
      <c r="CU37" s="660" t="s">
        <v>409</v>
      </c>
      <c r="CV37" s="661" t="s">
        <v>402</v>
      </c>
      <c r="CW37" s="660" t="s">
        <v>409</v>
      </c>
      <c r="CX37" s="661" t="s">
        <v>402</v>
      </c>
      <c r="CY37" s="660" t="s">
        <v>409</v>
      </c>
      <c r="CZ37" s="661" t="s">
        <v>402</v>
      </c>
      <c r="DA37" s="660" t="s">
        <v>409</v>
      </c>
      <c r="DB37" s="661" t="s">
        <v>402</v>
      </c>
      <c r="DC37" s="660" t="s">
        <v>409</v>
      </c>
      <c r="DD37" s="661" t="s">
        <v>402</v>
      </c>
      <c r="DE37" s="662" t="s">
        <v>409</v>
      </c>
      <c r="DF37" s="716"/>
      <c r="DG37" s="842" t="s">
        <v>405</v>
      </c>
      <c r="DH37" s="843"/>
      <c r="DI37" s="844" t="s">
        <v>406</v>
      </c>
      <c r="DJ37" s="845"/>
      <c r="DK37" s="846" t="s">
        <v>407</v>
      </c>
      <c r="DL37" s="847"/>
      <c r="DM37" s="659" t="s">
        <v>402</v>
      </c>
      <c r="DN37" s="660" t="s">
        <v>408</v>
      </c>
      <c r="DO37" s="661" t="s">
        <v>402</v>
      </c>
      <c r="DP37" s="660" t="s">
        <v>409</v>
      </c>
      <c r="DQ37" s="661" t="s">
        <v>402</v>
      </c>
      <c r="DR37" s="660" t="s">
        <v>409</v>
      </c>
      <c r="DS37" s="661" t="s">
        <v>402</v>
      </c>
      <c r="DT37" s="660" t="s">
        <v>409</v>
      </c>
      <c r="DU37" s="661" t="s">
        <v>402</v>
      </c>
      <c r="DV37" s="660" t="s">
        <v>409</v>
      </c>
      <c r="DW37" s="661" t="s">
        <v>402</v>
      </c>
      <c r="DX37" s="660" t="s">
        <v>409</v>
      </c>
      <c r="DY37" s="661" t="s">
        <v>402</v>
      </c>
      <c r="DZ37" s="660" t="s">
        <v>409</v>
      </c>
      <c r="EA37" s="661" t="s">
        <v>402</v>
      </c>
      <c r="EB37" s="660" t="s">
        <v>409</v>
      </c>
      <c r="EC37" s="661" t="s">
        <v>402</v>
      </c>
      <c r="ED37" s="660" t="s">
        <v>409</v>
      </c>
      <c r="EE37" s="661" t="s">
        <v>402</v>
      </c>
      <c r="EF37" s="660" t="s">
        <v>409</v>
      </c>
      <c r="EG37" s="661" t="s">
        <v>402</v>
      </c>
      <c r="EH37" s="660" t="s">
        <v>409</v>
      </c>
      <c r="EI37" s="661" t="s">
        <v>402</v>
      </c>
      <c r="EJ37" s="660" t="s">
        <v>409</v>
      </c>
      <c r="EK37" s="661" t="s">
        <v>402</v>
      </c>
      <c r="EL37" s="660" t="s">
        <v>409</v>
      </c>
      <c r="EM37" s="661" t="s">
        <v>402</v>
      </c>
      <c r="EN37" s="660" t="s">
        <v>409</v>
      </c>
      <c r="EO37" s="661" t="s">
        <v>402</v>
      </c>
      <c r="EP37" s="660" t="s">
        <v>409</v>
      </c>
      <c r="EQ37" s="661" t="s">
        <v>402</v>
      </c>
      <c r="ER37" s="660" t="s">
        <v>409</v>
      </c>
      <c r="ES37" s="661" t="s">
        <v>402</v>
      </c>
      <c r="ET37" s="660" t="s">
        <v>409</v>
      </c>
      <c r="EU37" s="661" t="s">
        <v>402</v>
      </c>
      <c r="EV37" s="660" t="s">
        <v>409</v>
      </c>
      <c r="EW37" s="661" t="s">
        <v>402</v>
      </c>
      <c r="EX37" s="660" t="s">
        <v>409</v>
      </c>
      <c r="EY37" s="661" t="s">
        <v>402</v>
      </c>
      <c r="EZ37" s="660" t="s">
        <v>409</v>
      </c>
      <c r="FA37" s="661" t="s">
        <v>402</v>
      </c>
      <c r="FB37" s="660" t="s">
        <v>409</v>
      </c>
      <c r="FC37" s="661" t="s">
        <v>402</v>
      </c>
      <c r="FD37" s="660" t="s">
        <v>409</v>
      </c>
      <c r="FE37" s="661" t="s">
        <v>402</v>
      </c>
      <c r="FF37" s="660" t="s">
        <v>409</v>
      </c>
      <c r="FG37" s="661" t="s">
        <v>402</v>
      </c>
      <c r="FH37" s="662" t="s">
        <v>409</v>
      </c>
      <c r="FI37" s="739"/>
      <c r="FJ37" s="816" t="s">
        <v>405</v>
      </c>
      <c r="FK37" s="843"/>
      <c r="FL37" s="844" t="s">
        <v>406</v>
      </c>
      <c r="FM37" s="845"/>
      <c r="FN37" s="846" t="s">
        <v>407</v>
      </c>
      <c r="FO37" s="847"/>
      <c r="FP37" s="665"/>
      <c r="FQ37" s="848" t="s">
        <v>410</v>
      </c>
      <c r="FR37" s="660" t="s">
        <v>409</v>
      </c>
      <c r="FS37" s="667"/>
      <c r="FT37" s="848" t="s">
        <v>410</v>
      </c>
      <c r="FU37" s="668" t="s">
        <v>409</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411</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266</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266</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266</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484</v>
      </c>
      <c r="GL38" s="410"/>
      <c r="GM38" s="414"/>
      <c r="GN38" s="410"/>
      <c r="GO38" s="414"/>
      <c r="GP38" s="414"/>
      <c r="GQ38" s="414"/>
      <c r="GR38" s="414"/>
      <c r="GS38" s="577"/>
      <c r="GT38" s="850"/>
      <c r="GU38" s="861" t="s">
        <v>455</v>
      </c>
      <c r="GV38" s="862"/>
      <c r="GW38" s="862"/>
      <c r="GX38" s="862"/>
      <c r="GY38" s="862"/>
      <c r="GZ38" s="863"/>
      <c r="HA38" s="630">
        <v>138.78</v>
      </c>
      <c r="HB38" s="864">
        <v>53.3</v>
      </c>
      <c r="HC38" s="527"/>
      <c r="HD38" s="527"/>
      <c r="HE38" s="388"/>
      <c r="HF38" s="388"/>
      <c r="HK38" s="416"/>
    </row>
    <row r="39" spans="1:219" ht="20.100000000000001" customHeight="1">
      <c r="A39" s="821"/>
      <c r="B39" s="865" t="s">
        <v>412</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273</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273</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273</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485</v>
      </c>
      <c r="GN39" s="875"/>
      <c r="GO39" s="876" t="s">
        <v>486</v>
      </c>
      <c r="GP39" s="875"/>
      <c r="GQ39" s="876" t="s">
        <v>487</v>
      </c>
      <c r="GR39" s="877"/>
      <c r="GS39" s="414"/>
      <c r="GT39" s="682"/>
      <c r="GU39" s="527" t="s">
        <v>488</v>
      </c>
      <c r="GV39" s="527"/>
      <c r="GW39" s="527"/>
      <c r="GX39" s="527"/>
      <c r="GY39" s="527"/>
      <c r="GZ39" s="527"/>
      <c r="HA39" s="683">
        <v>2.6</v>
      </c>
      <c r="HB39" s="576"/>
      <c r="HC39" s="527"/>
      <c r="HD39" s="559"/>
    </row>
    <row r="40" spans="1:219" ht="20.100000000000001" customHeight="1">
      <c r="A40" s="878"/>
      <c r="B40" s="639"/>
      <c r="C40" s="639"/>
      <c r="D40" s="640" t="s">
        <v>413</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413</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413</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413</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550</v>
      </c>
      <c r="GV40" s="527"/>
      <c r="GW40" s="527"/>
      <c r="GX40" s="527"/>
      <c r="GY40" s="527"/>
      <c r="GZ40" s="527"/>
      <c r="HA40" s="883">
        <v>49.8</v>
      </c>
      <c r="HB40" s="414"/>
      <c r="HC40" s="527"/>
      <c r="HD40" s="577"/>
      <c r="HK40" s="416"/>
    </row>
    <row r="41" spans="1:219" ht="20.100000000000001" customHeight="1">
      <c r="A41" s="851" t="s">
        <v>414</v>
      </c>
      <c r="B41" s="731"/>
      <c r="C41" s="884"/>
      <c r="D41" s="884"/>
      <c r="E41" s="884"/>
      <c r="F41" s="885"/>
      <c r="G41" s="733"/>
      <c r="H41" s="660" t="s">
        <v>390</v>
      </c>
      <c r="I41" s="734"/>
      <c r="J41" s="660" t="s">
        <v>390</v>
      </c>
      <c r="K41" s="735"/>
      <c r="L41" s="660" t="s">
        <v>390</v>
      </c>
      <c r="M41" s="735"/>
      <c r="N41" s="660" t="s">
        <v>390</v>
      </c>
      <c r="O41" s="735"/>
      <c r="P41" s="660" t="s">
        <v>390</v>
      </c>
      <c r="Q41" s="735"/>
      <c r="R41" s="660" t="s">
        <v>390</v>
      </c>
      <c r="S41" s="735"/>
      <c r="T41" s="660" t="s">
        <v>390</v>
      </c>
      <c r="U41" s="735"/>
      <c r="V41" s="660" t="s">
        <v>390</v>
      </c>
      <c r="W41" s="735"/>
      <c r="X41" s="660" t="s">
        <v>390</v>
      </c>
      <c r="Y41" s="735" t="s">
        <v>402</v>
      </c>
      <c r="Z41" s="660" t="s">
        <v>390</v>
      </c>
      <c r="AA41" s="735" t="s">
        <v>402</v>
      </c>
      <c r="AB41" s="660" t="s">
        <v>390</v>
      </c>
      <c r="AC41" s="735"/>
      <c r="AD41" s="660" t="s">
        <v>390</v>
      </c>
      <c r="AE41" s="735"/>
      <c r="AF41" s="660" t="s">
        <v>390</v>
      </c>
      <c r="AG41" s="735"/>
      <c r="AH41" s="660" t="s">
        <v>390</v>
      </c>
      <c r="AI41" s="735"/>
      <c r="AJ41" s="660" t="s">
        <v>390</v>
      </c>
      <c r="AK41" s="735"/>
      <c r="AL41" s="660" t="s">
        <v>390</v>
      </c>
      <c r="AM41" s="735"/>
      <c r="AN41" s="660" t="s">
        <v>390</v>
      </c>
      <c r="AO41" s="735"/>
      <c r="AP41" s="660" t="s">
        <v>390</v>
      </c>
      <c r="AQ41" s="735"/>
      <c r="AR41" s="660" t="s">
        <v>390</v>
      </c>
      <c r="AS41" s="735"/>
      <c r="AT41" s="660" t="s">
        <v>390</v>
      </c>
      <c r="AU41" s="735"/>
      <c r="AV41" s="660" t="s">
        <v>390</v>
      </c>
      <c r="AW41" s="735"/>
      <c r="AX41" s="660" t="s">
        <v>390</v>
      </c>
      <c r="AY41" s="735"/>
      <c r="AZ41" s="660" t="s">
        <v>390</v>
      </c>
      <c r="BA41" s="735"/>
      <c r="BB41" s="662" t="s">
        <v>390</v>
      </c>
      <c r="BC41" s="716"/>
      <c r="BD41" s="851" t="s">
        <v>414</v>
      </c>
      <c r="BE41" s="731"/>
      <c r="BF41" s="884"/>
      <c r="BG41" s="884"/>
      <c r="BH41" s="884"/>
      <c r="BI41" s="885"/>
      <c r="BJ41" s="733"/>
      <c r="BK41" s="660" t="s">
        <v>390</v>
      </c>
      <c r="BL41" s="734"/>
      <c r="BM41" s="660" t="s">
        <v>390</v>
      </c>
      <c r="BN41" s="735"/>
      <c r="BO41" s="660" t="s">
        <v>390</v>
      </c>
      <c r="BP41" s="735"/>
      <c r="BQ41" s="660" t="s">
        <v>390</v>
      </c>
      <c r="BR41" s="735"/>
      <c r="BS41" s="660" t="s">
        <v>390</v>
      </c>
      <c r="BT41" s="735"/>
      <c r="BU41" s="660" t="s">
        <v>390</v>
      </c>
      <c r="BV41" s="735"/>
      <c r="BW41" s="660" t="s">
        <v>390</v>
      </c>
      <c r="BX41" s="735"/>
      <c r="BY41" s="660" t="s">
        <v>390</v>
      </c>
      <c r="BZ41" s="735"/>
      <c r="CA41" s="660" t="s">
        <v>390</v>
      </c>
      <c r="CB41" s="735" t="s">
        <v>402</v>
      </c>
      <c r="CC41" s="660" t="s">
        <v>390</v>
      </c>
      <c r="CD41" s="735" t="s">
        <v>402</v>
      </c>
      <c r="CE41" s="660" t="s">
        <v>390</v>
      </c>
      <c r="CF41" s="735"/>
      <c r="CG41" s="660" t="s">
        <v>390</v>
      </c>
      <c r="CH41" s="735"/>
      <c r="CI41" s="660" t="s">
        <v>390</v>
      </c>
      <c r="CJ41" s="735"/>
      <c r="CK41" s="660" t="s">
        <v>390</v>
      </c>
      <c r="CL41" s="735"/>
      <c r="CM41" s="660" t="s">
        <v>390</v>
      </c>
      <c r="CN41" s="735"/>
      <c r="CO41" s="660" t="s">
        <v>390</v>
      </c>
      <c r="CP41" s="735"/>
      <c r="CQ41" s="660" t="s">
        <v>390</v>
      </c>
      <c r="CR41" s="735"/>
      <c r="CS41" s="660" t="s">
        <v>390</v>
      </c>
      <c r="CT41" s="735"/>
      <c r="CU41" s="660" t="s">
        <v>390</v>
      </c>
      <c r="CV41" s="735"/>
      <c r="CW41" s="660" t="s">
        <v>390</v>
      </c>
      <c r="CX41" s="735"/>
      <c r="CY41" s="660" t="s">
        <v>390</v>
      </c>
      <c r="CZ41" s="735"/>
      <c r="DA41" s="660" t="s">
        <v>390</v>
      </c>
      <c r="DB41" s="735"/>
      <c r="DC41" s="660" t="s">
        <v>390</v>
      </c>
      <c r="DD41" s="735"/>
      <c r="DE41" s="662" t="s">
        <v>390</v>
      </c>
      <c r="DF41" s="716"/>
      <c r="DG41" s="851" t="s">
        <v>414</v>
      </c>
      <c r="DH41" s="731"/>
      <c r="DI41" s="884"/>
      <c r="DJ41" s="884"/>
      <c r="DK41" s="884"/>
      <c r="DL41" s="885"/>
      <c r="DM41" s="733"/>
      <c r="DN41" s="660" t="s">
        <v>390</v>
      </c>
      <c r="DO41" s="734"/>
      <c r="DP41" s="660" t="s">
        <v>390</v>
      </c>
      <c r="DQ41" s="735"/>
      <c r="DR41" s="660" t="s">
        <v>390</v>
      </c>
      <c r="DS41" s="735"/>
      <c r="DT41" s="660" t="s">
        <v>390</v>
      </c>
      <c r="DU41" s="735"/>
      <c r="DV41" s="660" t="s">
        <v>390</v>
      </c>
      <c r="DW41" s="735"/>
      <c r="DX41" s="660" t="s">
        <v>390</v>
      </c>
      <c r="DY41" s="735"/>
      <c r="DZ41" s="660" t="s">
        <v>390</v>
      </c>
      <c r="EA41" s="735"/>
      <c r="EB41" s="660" t="s">
        <v>390</v>
      </c>
      <c r="EC41" s="735"/>
      <c r="ED41" s="660" t="s">
        <v>390</v>
      </c>
      <c r="EE41" s="735" t="s">
        <v>402</v>
      </c>
      <c r="EF41" s="660" t="s">
        <v>390</v>
      </c>
      <c r="EG41" s="735" t="s">
        <v>402</v>
      </c>
      <c r="EH41" s="660" t="s">
        <v>390</v>
      </c>
      <c r="EI41" s="735"/>
      <c r="EJ41" s="660" t="s">
        <v>390</v>
      </c>
      <c r="EK41" s="735"/>
      <c r="EL41" s="660" t="s">
        <v>390</v>
      </c>
      <c r="EM41" s="735"/>
      <c r="EN41" s="660" t="s">
        <v>390</v>
      </c>
      <c r="EO41" s="735"/>
      <c r="EP41" s="660" t="s">
        <v>390</v>
      </c>
      <c r="EQ41" s="735"/>
      <c r="ER41" s="660" t="s">
        <v>390</v>
      </c>
      <c r="ES41" s="735"/>
      <c r="ET41" s="660" t="s">
        <v>390</v>
      </c>
      <c r="EU41" s="735"/>
      <c r="EV41" s="660" t="s">
        <v>390</v>
      </c>
      <c r="EW41" s="735"/>
      <c r="EX41" s="660" t="s">
        <v>390</v>
      </c>
      <c r="EY41" s="735"/>
      <c r="EZ41" s="660" t="s">
        <v>390</v>
      </c>
      <c r="FA41" s="735"/>
      <c r="FB41" s="660" t="s">
        <v>390</v>
      </c>
      <c r="FC41" s="735"/>
      <c r="FD41" s="660" t="s">
        <v>390</v>
      </c>
      <c r="FE41" s="735"/>
      <c r="FF41" s="660" t="s">
        <v>390</v>
      </c>
      <c r="FG41" s="735"/>
      <c r="FH41" s="662" t="s">
        <v>390</v>
      </c>
      <c r="FI41" s="739"/>
      <c r="FJ41" s="816" t="s">
        <v>414</v>
      </c>
      <c r="FK41" s="736"/>
      <c r="FL41" s="886"/>
      <c r="FM41" s="886"/>
      <c r="FN41" s="886"/>
      <c r="FO41" s="887"/>
      <c r="FP41" s="740"/>
      <c r="FQ41" s="666"/>
      <c r="FR41" s="660" t="s">
        <v>393</v>
      </c>
      <c r="FS41" s="741"/>
      <c r="FT41" s="666"/>
      <c r="FU41" s="668" t="s">
        <v>393</v>
      </c>
      <c r="FV41" s="590"/>
      <c r="FW41" s="591"/>
      <c r="FX41" s="799"/>
      <c r="FY41" s="593"/>
      <c r="FZ41" s="800"/>
      <c r="GA41" s="595"/>
      <c r="GB41" s="801"/>
      <c r="GC41" s="597"/>
      <c r="GD41" s="801"/>
      <c r="GE41" s="598"/>
      <c r="GF41" s="742"/>
      <c r="GG41" s="743"/>
      <c r="GH41" s="743"/>
      <c r="GI41" s="743"/>
      <c r="GJ41" s="577"/>
      <c r="GK41" s="888" t="s">
        <v>489</v>
      </c>
      <c r="GL41" s="889"/>
      <c r="GM41" s="890" t="s">
        <v>490</v>
      </c>
      <c r="GN41" s="890"/>
      <c r="GO41" s="890" t="s">
        <v>491</v>
      </c>
      <c r="GP41" s="890"/>
      <c r="GQ41" s="890"/>
      <c r="GR41" s="891"/>
      <c r="GS41" s="850"/>
      <c r="GT41" s="682"/>
      <c r="GU41" s="527" t="s">
        <v>512</v>
      </c>
      <c r="GV41" s="527"/>
      <c r="GW41" s="527"/>
      <c r="GX41" s="527"/>
      <c r="GY41" s="527"/>
      <c r="GZ41" s="527"/>
      <c r="HA41" s="883">
        <v>36</v>
      </c>
      <c r="HB41" s="414"/>
      <c r="HC41" s="527"/>
      <c r="HD41" s="410"/>
    </row>
    <row r="42" spans="1:219" ht="20.100000000000001" customHeight="1">
      <c r="A42" s="821"/>
      <c r="B42" s="892" t="s">
        <v>416</v>
      </c>
      <c r="C42" s="893"/>
      <c r="D42" s="893"/>
      <c r="E42" s="894"/>
      <c r="F42" s="895"/>
      <c r="G42" s="825"/>
      <c r="H42" s="826"/>
      <c r="I42" s="827"/>
      <c r="J42" s="792"/>
      <c r="K42" s="828"/>
      <c r="L42" s="792"/>
      <c r="M42" s="828"/>
      <c r="N42" s="792"/>
      <c r="O42" s="828"/>
      <c r="P42" s="792"/>
      <c r="Q42" s="828"/>
      <c r="R42" s="792"/>
      <c r="S42" s="828"/>
      <c r="T42" s="792"/>
      <c r="U42" s="828"/>
      <c r="V42" s="792"/>
      <c r="W42" s="828"/>
      <c r="X42" s="792">
        <v>1348</v>
      </c>
      <c r="Y42" s="828"/>
      <c r="Z42" s="792">
        <v>869</v>
      </c>
      <c r="AA42" s="828"/>
      <c r="AB42" s="792">
        <v>847</v>
      </c>
      <c r="AC42" s="828"/>
      <c r="AD42" s="792">
        <v>821</v>
      </c>
      <c r="AE42" s="828"/>
      <c r="AF42" s="792">
        <v>800</v>
      </c>
      <c r="AG42" s="828"/>
      <c r="AH42" s="792">
        <v>778</v>
      </c>
      <c r="AI42" s="828"/>
      <c r="AJ42" s="792">
        <v>757</v>
      </c>
      <c r="AK42" s="828"/>
      <c r="AL42" s="792">
        <v>741</v>
      </c>
      <c r="AM42" s="828"/>
      <c r="AN42" s="792">
        <v>720</v>
      </c>
      <c r="AO42" s="828"/>
      <c r="AP42" s="792">
        <v>704</v>
      </c>
      <c r="AQ42" s="828"/>
      <c r="AR42" s="792"/>
      <c r="AS42" s="828"/>
      <c r="AT42" s="792"/>
      <c r="AU42" s="828"/>
      <c r="AV42" s="792"/>
      <c r="AW42" s="828"/>
      <c r="AX42" s="792"/>
      <c r="AY42" s="828"/>
      <c r="AZ42" s="792"/>
      <c r="BA42" s="828"/>
      <c r="BB42" s="829"/>
      <c r="BC42" s="559"/>
      <c r="BD42" s="821"/>
      <c r="BE42" s="896" t="s">
        <v>416</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1348</v>
      </c>
      <c r="CB42" s="828"/>
      <c r="CC42" s="792">
        <v>869</v>
      </c>
      <c r="CD42" s="828"/>
      <c r="CE42" s="792">
        <v>847</v>
      </c>
      <c r="CF42" s="828"/>
      <c r="CG42" s="792">
        <v>821</v>
      </c>
      <c r="CH42" s="828"/>
      <c r="CI42" s="792">
        <v>800</v>
      </c>
      <c r="CJ42" s="828"/>
      <c r="CK42" s="792">
        <v>778</v>
      </c>
      <c r="CL42" s="828"/>
      <c r="CM42" s="792">
        <v>757</v>
      </c>
      <c r="CN42" s="828"/>
      <c r="CO42" s="792">
        <v>741</v>
      </c>
      <c r="CP42" s="828"/>
      <c r="CQ42" s="792">
        <v>720</v>
      </c>
      <c r="CR42" s="828"/>
      <c r="CS42" s="792">
        <v>704</v>
      </c>
      <c r="CT42" s="828"/>
      <c r="CU42" s="792"/>
      <c r="CV42" s="828"/>
      <c r="CW42" s="792"/>
      <c r="CX42" s="828"/>
      <c r="CY42" s="792"/>
      <c r="CZ42" s="828"/>
      <c r="DA42" s="792"/>
      <c r="DB42" s="828"/>
      <c r="DC42" s="792"/>
      <c r="DD42" s="828"/>
      <c r="DE42" s="829"/>
      <c r="DF42" s="559"/>
      <c r="DG42" s="821"/>
      <c r="DH42" s="896" t="s">
        <v>416</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1348</v>
      </c>
      <c r="EE42" s="828"/>
      <c r="EF42" s="792">
        <v>869</v>
      </c>
      <c r="EG42" s="828"/>
      <c r="EH42" s="792">
        <v>847</v>
      </c>
      <c r="EI42" s="828"/>
      <c r="EJ42" s="792">
        <v>821</v>
      </c>
      <c r="EK42" s="828"/>
      <c r="EL42" s="792">
        <v>800</v>
      </c>
      <c r="EM42" s="828"/>
      <c r="EN42" s="792">
        <v>778</v>
      </c>
      <c r="EO42" s="828"/>
      <c r="EP42" s="792">
        <v>757</v>
      </c>
      <c r="EQ42" s="828"/>
      <c r="ER42" s="792">
        <v>741</v>
      </c>
      <c r="ES42" s="828"/>
      <c r="ET42" s="792">
        <v>720</v>
      </c>
      <c r="EU42" s="828"/>
      <c r="EV42" s="792">
        <v>704</v>
      </c>
      <c r="EW42" s="828"/>
      <c r="EX42" s="792"/>
      <c r="EY42" s="828"/>
      <c r="EZ42" s="792"/>
      <c r="FA42" s="828"/>
      <c r="FB42" s="792"/>
      <c r="FC42" s="828"/>
      <c r="FD42" s="792"/>
      <c r="FE42" s="828"/>
      <c r="FF42" s="792"/>
      <c r="FG42" s="828"/>
      <c r="FH42" s="829"/>
      <c r="FI42" s="560"/>
      <c r="FJ42" s="830"/>
      <c r="FK42" s="896" t="s">
        <v>416</v>
      </c>
      <c r="FL42" s="893"/>
      <c r="FM42" s="893"/>
      <c r="FN42" s="894"/>
      <c r="FO42" s="895"/>
      <c r="FP42" s="831"/>
      <c r="FQ42" s="827"/>
      <c r="FR42" s="826">
        <v>2932</v>
      </c>
      <c r="FS42" s="832"/>
      <c r="FT42" s="827"/>
      <c r="FU42" s="798">
        <v>2932</v>
      </c>
      <c r="FV42" s="590"/>
      <c r="FW42" s="591"/>
      <c r="FX42" s="799"/>
      <c r="FY42" s="593"/>
      <c r="FZ42" s="800"/>
      <c r="GA42" s="595"/>
      <c r="GB42" s="801"/>
      <c r="GC42" s="597"/>
      <c r="GD42" s="801"/>
      <c r="GE42" s="598"/>
      <c r="GF42" s="833"/>
      <c r="GG42" s="599"/>
      <c r="GH42" s="599"/>
      <c r="GI42" s="599"/>
      <c r="GJ42" s="410"/>
      <c r="GK42" s="897"/>
      <c r="GL42" s="898"/>
      <c r="GM42" s="899">
        <v>10.6</v>
      </c>
      <c r="GN42" s="899"/>
      <c r="GO42" s="899">
        <v>14.7</v>
      </c>
      <c r="GP42" s="899"/>
      <c r="GQ42" s="899">
        <v>25.299999999999997</v>
      </c>
      <c r="GR42" s="900"/>
      <c r="GS42" s="577"/>
      <c r="GT42" s="497"/>
      <c r="GU42" s="497"/>
      <c r="GV42" s="497"/>
      <c r="GW42" s="576"/>
      <c r="GX42" s="576"/>
      <c r="GY42" s="576"/>
      <c r="GZ42" s="575"/>
      <c r="HA42" s="497"/>
      <c r="HB42" s="497"/>
      <c r="HC42" s="527"/>
      <c r="HD42" s="527"/>
    </row>
    <row r="43" spans="1:219" ht="20.100000000000001" customHeight="1">
      <c r="A43" s="821"/>
      <c r="B43" s="901" t="s">
        <v>417</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417</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417</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417</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492</v>
      </c>
      <c r="GL43" s="918"/>
      <c r="GM43" s="919" t="s">
        <v>493</v>
      </c>
      <c r="GN43" s="919"/>
      <c r="GO43" s="919" t="s">
        <v>494</v>
      </c>
      <c r="GP43" s="919"/>
      <c r="GQ43" s="919"/>
      <c r="GR43" s="920"/>
      <c r="GS43" s="577"/>
      <c r="GT43" s="606"/>
      <c r="GU43" s="527" t="s">
        <v>464</v>
      </c>
      <c r="GV43" s="414"/>
      <c r="GW43" s="410"/>
      <c r="GX43" s="414"/>
      <c r="GY43" s="414"/>
      <c r="GZ43" s="414"/>
      <c r="HA43" s="410"/>
      <c r="HB43" s="414"/>
      <c r="HC43" s="921"/>
      <c r="HD43" s="416"/>
    </row>
    <row r="44" spans="1:219" ht="20.100000000000001" customHeight="1" thickBot="1">
      <c r="A44" s="922"/>
      <c r="B44" s="639"/>
      <c r="C44" s="639"/>
      <c r="D44" s="640" t="s">
        <v>582</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1348</v>
      </c>
      <c r="Y44" s="838"/>
      <c r="Z44" s="837">
        <v>869</v>
      </c>
      <c r="AA44" s="838"/>
      <c r="AB44" s="837">
        <v>847</v>
      </c>
      <c r="AC44" s="838"/>
      <c r="AD44" s="837">
        <v>821</v>
      </c>
      <c r="AE44" s="838"/>
      <c r="AF44" s="837">
        <v>800</v>
      </c>
      <c r="AG44" s="838"/>
      <c r="AH44" s="837">
        <v>778</v>
      </c>
      <c r="AI44" s="838"/>
      <c r="AJ44" s="837">
        <v>757</v>
      </c>
      <c r="AK44" s="838"/>
      <c r="AL44" s="837">
        <v>741</v>
      </c>
      <c r="AM44" s="838"/>
      <c r="AN44" s="837">
        <v>720</v>
      </c>
      <c r="AO44" s="838"/>
      <c r="AP44" s="837">
        <v>704</v>
      </c>
      <c r="AQ44" s="838"/>
      <c r="AR44" s="837">
        <v>0</v>
      </c>
      <c r="AS44" s="838"/>
      <c r="AT44" s="837">
        <v>0</v>
      </c>
      <c r="AU44" s="838"/>
      <c r="AV44" s="837">
        <v>0</v>
      </c>
      <c r="AW44" s="838"/>
      <c r="AX44" s="837">
        <v>0</v>
      </c>
      <c r="AY44" s="838"/>
      <c r="AZ44" s="837">
        <v>0</v>
      </c>
      <c r="BA44" s="838"/>
      <c r="BB44" s="839">
        <v>0</v>
      </c>
      <c r="BC44" s="645"/>
      <c r="BD44" s="922"/>
      <c r="BE44" s="639"/>
      <c r="BF44" s="639"/>
      <c r="BG44" s="640" t="s">
        <v>418</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1348</v>
      </c>
      <c r="CB44" s="838"/>
      <c r="CC44" s="837">
        <v>869</v>
      </c>
      <c r="CD44" s="838"/>
      <c r="CE44" s="837">
        <v>847</v>
      </c>
      <c r="CF44" s="838"/>
      <c r="CG44" s="837">
        <v>821</v>
      </c>
      <c r="CH44" s="838"/>
      <c r="CI44" s="837">
        <v>800</v>
      </c>
      <c r="CJ44" s="838"/>
      <c r="CK44" s="837">
        <v>778</v>
      </c>
      <c r="CL44" s="838"/>
      <c r="CM44" s="837">
        <v>757</v>
      </c>
      <c r="CN44" s="838"/>
      <c r="CO44" s="837">
        <v>741</v>
      </c>
      <c r="CP44" s="838"/>
      <c r="CQ44" s="837">
        <v>720</v>
      </c>
      <c r="CR44" s="838"/>
      <c r="CS44" s="837">
        <v>704</v>
      </c>
      <c r="CT44" s="838"/>
      <c r="CU44" s="837">
        <v>0</v>
      </c>
      <c r="CV44" s="838"/>
      <c r="CW44" s="837">
        <v>0</v>
      </c>
      <c r="CX44" s="838"/>
      <c r="CY44" s="837">
        <v>0</v>
      </c>
      <c r="CZ44" s="838"/>
      <c r="DA44" s="837">
        <v>0</v>
      </c>
      <c r="DB44" s="838"/>
      <c r="DC44" s="837">
        <v>0</v>
      </c>
      <c r="DD44" s="838"/>
      <c r="DE44" s="839">
        <v>0</v>
      </c>
      <c r="DF44" s="645"/>
      <c r="DG44" s="922"/>
      <c r="DH44" s="639"/>
      <c r="DI44" s="639"/>
      <c r="DJ44" s="640" t="s">
        <v>418</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1348</v>
      </c>
      <c r="EE44" s="838"/>
      <c r="EF44" s="837">
        <v>869</v>
      </c>
      <c r="EG44" s="838"/>
      <c r="EH44" s="837">
        <v>847</v>
      </c>
      <c r="EI44" s="838"/>
      <c r="EJ44" s="837">
        <v>821</v>
      </c>
      <c r="EK44" s="838"/>
      <c r="EL44" s="837">
        <v>800</v>
      </c>
      <c r="EM44" s="838"/>
      <c r="EN44" s="837">
        <v>778</v>
      </c>
      <c r="EO44" s="838"/>
      <c r="EP44" s="837">
        <v>757</v>
      </c>
      <c r="EQ44" s="838"/>
      <c r="ER44" s="837">
        <v>741</v>
      </c>
      <c r="ES44" s="838"/>
      <c r="ET44" s="837">
        <v>720</v>
      </c>
      <c r="EU44" s="838"/>
      <c r="EV44" s="837">
        <v>704</v>
      </c>
      <c r="EW44" s="838"/>
      <c r="EX44" s="837">
        <v>0</v>
      </c>
      <c r="EY44" s="838"/>
      <c r="EZ44" s="837">
        <v>0</v>
      </c>
      <c r="FA44" s="838"/>
      <c r="FB44" s="837">
        <v>0</v>
      </c>
      <c r="FC44" s="838"/>
      <c r="FD44" s="837">
        <v>0</v>
      </c>
      <c r="FE44" s="838"/>
      <c r="FF44" s="837">
        <v>0</v>
      </c>
      <c r="FG44" s="838"/>
      <c r="FH44" s="839">
        <v>0</v>
      </c>
      <c r="FI44" s="646"/>
      <c r="FJ44" s="923"/>
      <c r="FK44" s="639"/>
      <c r="FL44" s="639"/>
      <c r="FM44" s="640" t="s">
        <v>418</v>
      </c>
      <c r="FN44" s="639"/>
      <c r="FO44" s="639"/>
      <c r="FP44" s="647"/>
      <c r="FQ44" s="836"/>
      <c r="FR44" s="835">
        <v>2932</v>
      </c>
      <c r="FS44" s="840"/>
      <c r="FT44" s="836"/>
      <c r="FU44" s="841">
        <v>2932</v>
      </c>
      <c r="FV44" s="590" t="s">
        <v>319</v>
      </c>
      <c r="FW44" s="591"/>
      <c r="FX44" s="799" t="s">
        <v>320</v>
      </c>
      <c r="FY44" s="593"/>
      <c r="FZ44" s="800" t="s">
        <v>321</v>
      </c>
      <c r="GA44" s="595"/>
      <c r="GB44" s="801" t="s">
        <v>322</v>
      </c>
      <c r="GC44" s="597"/>
      <c r="GD44" s="801" t="s">
        <v>323</v>
      </c>
      <c r="GE44" s="598"/>
      <c r="GF44" s="651"/>
      <c r="GG44" s="652"/>
      <c r="GH44" s="652"/>
      <c r="GI44" s="652"/>
      <c r="GJ44" s="527"/>
      <c r="GK44" s="897"/>
      <c r="GL44" s="898"/>
      <c r="GM44" s="924">
        <v>6.9</v>
      </c>
      <c r="GN44" s="924"/>
      <c r="GO44" s="924">
        <v>10</v>
      </c>
      <c r="GP44" s="924"/>
      <c r="GQ44" s="899">
        <v>16.899999999999999</v>
      </c>
      <c r="GR44" s="900"/>
      <c r="GS44" s="925"/>
      <c r="GT44" s="926"/>
      <c r="GU44" s="527" t="s">
        <v>495</v>
      </c>
      <c r="GV44" s="612"/>
      <c r="GW44" s="612"/>
      <c r="GX44" s="612"/>
      <c r="GY44" s="414"/>
      <c r="GZ44" s="414"/>
      <c r="HA44" s="744">
        <v>1.5</v>
      </c>
      <c r="HB44" s="414" t="s">
        <v>467</v>
      </c>
      <c r="HC44" s="927"/>
      <c r="HD44" s="416"/>
    </row>
    <row r="45" spans="1:219" ht="20.100000000000001" customHeight="1" thickTop="1">
      <c r="A45" s="928" t="s">
        <v>419</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3395</v>
      </c>
      <c r="Y45" s="933"/>
      <c r="Z45" s="932">
        <v>3100</v>
      </c>
      <c r="AA45" s="933"/>
      <c r="AB45" s="932">
        <v>3195</v>
      </c>
      <c r="AC45" s="933"/>
      <c r="AD45" s="932">
        <v>3236</v>
      </c>
      <c r="AE45" s="933"/>
      <c r="AF45" s="932">
        <v>3247</v>
      </c>
      <c r="AG45" s="933"/>
      <c r="AH45" s="932">
        <v>3226</v>
      </c>
      <c r="AI45" s="933"/>
      <c r="AJ45" s="932">
        <v>3136</v>
      </c>
      <c r="AK45" s="933"/>
      <c r="AL45" s="932">
        <v>3026</v>
      </c>
      <c r="AM45" s="933"/>
      <c r="AN45" s="932">
        <v>2860</v>
      </c>
      <c r="AO45" s="933"/>
      <c r="AP45" s="932">
        <v>2686</v>
      </c>
      <c r="AQ45" s="933"/>
      <c r="AR45" s="932">
        <v>0</v>
      </c>
      <c r="AS45" s="933"/>
      <c r="AT45" s="932">
        <v>0</v>
      </c>
      <c r="AU45" s="933"/>
      <c r="AV45" s="932">
        <v>0</v>
      </c>
      <c r="AW45" s="933"/>
      <c r="AX45" s="932">
        <v>0</v>
      </c>
      <c r="AY45" s="933"/>
      <c r="AZ45" s="932">
        <v>0</v>
      </c>
      <c r="BA45" s="933"/>
      <c r="BB45" s="934">
        <v>0</v>
      </c>
      <c r="BC45" s="645"/>
      <c r="BD45" s="928" t="s">
        <v>419</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3448</v>
      </c>
      <c r="CB45" s="933"/>
      <c r="CC45" s="932">
        <v>3108</v>
      </c>
      <c r="CD45" s="933"/>
      <c r="CE45" s="932">
        <v>3179</v>
      </c>
      <c r="CF45" s="933"/>
      <c r="CG45" s="932">
        <v>3184</v>
      </c>
      <c r="CH45" s="933"/>
      <c r="CI45" s="932">
        <v>3178</v>
      </c>
      <c r="CJ45" s="933"/>
      <c r="CK45" s="932">
        <v>3131</v>
      </c>
      <c r="CL45" s="933"/>
      <c r="CM45" s="932">
        <v>3054</v>
      </c>
      <c r="CN45" s="933"/>
      <c r="CO45" s="932">
        <v>2968</v>
      </c>
      <c r="CP45" s="933"/>
      <c r="CQ45" s="932">
        <v>2843</v>
      </c>
      <c r="CR45" s="933"/>
      <c r="CS45" s="932">
        <v>2675</v>
      </c>
      <c r="CT45" s="933"/>
      <c r="CU45" s="932">
        <v>0</v>
      </c>
      <c r="CV45" s="933"/>
      <c r="CW45" s="932">
        <v>0</v>
      </c>
      <c r="CX45" s="933"/>
      <c r="CY45" s="932">
        <v>0</v>
      </c>
      <c r="CZ45" s="933"/>
      <c r="DA45" s="932">
        <v>0</v>
      </c>
      <c r="DB45" s="933"/>
      <c r="DC45" s="932">
        <v>0</v>
      </c>
      <c r="DD45" s="933"/>
      <c r="DE45" s="934">
        <v>0</v>
      </c>
      <c r="DF45" s="645"/>
      <c r="DG45" s="928" t="s">
        <v>419</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3176</v>
      </c>
      <c r="EE45" s="933"/>
      <c r="EF45" s="932">
        <v>2740</v>
      </c>
      <c r="EG45" s="933"/>
      <c r="EH45" s="932">
        <v>2839</v>
      </c>
      <c r="EI45" s="933"/>
      <c r="EJ45" s="932">
        <v>2889</v>
      </c>
      <c r="EK45" s="933"/>
      <c r="EL45" s="932">
        <v>2879</v>
      </c>
      <c r="EM45" s="933"/>
      <c r="EN45" s="932">
        <v>2831</v>
      </c>
      <c r="EO45" s="933"/>
      <c r="EP45" s="932">
        <v>2762</v>
      </c>
      <c r="EQ45" s="933"/>
      <c r="ER45" s="932">
        <v>2675</v>
      </c>
      <c r="ES45" s="933"/>
      <c r="ET45" s="932">
        <v>2506</v>
      </c>
      <c r="EU45" s="933"/>
      <c r="EV45" s="932">
        <v>2349</v>
      </c>
      <c r="EW45" s="933"/>
      <c r="EX45" s="932">
        <v>0</v>
      </c>
      <c r="EY45" s="933"/>
      <c r="EZ45" s="932">
        <v>0</v>
      </c>
      <c r="FA45" s="933"/>
      <c r="FB45" s="932">
        <v>0</v>
      </c>
      <c r="FC45" s="933"/>
      <c r="FD45" s="932">
        <v>0</v>
      </c>
      <c r="FE45" s="933"/>
      <c r="FF45" s="932">
        <v>0</v>
      </c>
      <c r="FG45" s="933"/>
      <c r="FH45" s="934">
        <v>0</v>
      </c>
      <c r="FI45" s="645"/>
      <c r="FJ45" s="928" t="s">
        <v>419</v>
      </c>
      <c r="FK45" s="929"/>
      <c r="FL45" s="929"/>
      <c r="FM45" s="929"/>
      <c r="FN45" s="929"/>
      <c r="FO45" s="930"/>
      <c r="FP45" s="935"/>
      <c r="FQ45" s="936"/>
      <c r="FR45" s="932">
        <v>5708</v>
      </c>
      <c r="FS45" s="937"/>
      <c r="FT45" s="936"/>
      <c r="FU45" s="938">
        <v>5770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496</v>
      </c>
      <c r="GV45" s="414"/>
      <c r="GW45" s="414"/>
      <c r="GX45" s="414"/>
      <c r="GY45" s="527"/>
      <c r="GZ45" s="726"/>
      <c r="HA45" s="744">
        <v>22</v>
      </c>
      <c r="HB45" s="414" t="s">
        <v>467</v>
      </c>
      <c r="HC45" s="927"/>
      <c r="HD45" s="416"/>
    </row>
    <row r="46" spans="1:219" ht="20.100000000000001" customHeight="1">
      <c r="A46" s="943" t="s">
        <v>420</v>
      </c>
      <c r="B46" s="944"/>
      <c r="C46" s="944"/>
      <c r="D46" s="944"/>
      <c r="E46" s="944"/>
      <c r="F46" s="945"/>
      <c r="G46" s="946" t="s">
        <v>421</v>
      </c>
      <c r="H46" s="947"/>
      <c r="I46" s="948" t="s">
        <v>421</v>
      </c>
      <c r="J46" s="947"/>
      <c r="K46" s="948" t="s">
        <v>421</v>
      </c>
      <c r="L46" s="947"/>
      <c r="M46" s="948" t="s">
        <v>421</v>
      </c>
      <c r="N46" s="947"/>
      <c r="O46" s="948" t="s">
        <v>421</v>
      </c>
      <c r="P46" s="947"/>
      <c r="Q46" s="948" t="s">
        <v>421</v>
      </c>
      <c r="R46" s="947"/>
      <c r="S46" s="948" t="s">
        <v>421</v>
      </c>
      <c r="T46" s="947"/>
      <c r="U46" s="948" t="s">
        <v>421</v>
      </c>
      <c r="V46" s="947"/>
      <c r="W46" s="948" t="s">
        <v>421</v>
      </c>
      <c r="X46" s="947"/>
      <c r="Y46" s="948" t="s">
        <v>421</v>
      </c>
      <c r="Z46" s="947"/>
      <c r="AA46" s="948" t="s">
        <v>421</v>
      </c>
      <c r="AB46" s="947"/>
      <c r="AC46" s="948" t="s">
        <v>421</v>
      </c>
      <c r="AD46" s="947"/>
      <c r="AE46" s="948" t="s">
        <v>421</v>
      </c>
      <c r="AF46" s="947"/>
      <c r="AG46" s="948" t="s">
        <v>421</v>
      </c>
      <c r="AH46" s="947"/>
      <c r="AI46" s="948" t="s">
        <v>421</v>
      </c>
      <c r="AJ46" s="947"/>
      <c r="AK46" s="948" t="s">
        <v>421</v>
      </c>
      <c r="AL46" s="947"/>
      <c r="AM46" s="948" t="s">
        <v>421</v>
      </c>
      <c r="AN46" s="947"/>
      <c r="AO46" s="948" t="s">
        <v>421</v>
      </c>
      <c r="AP46" s="947"/>
      <c r="AQ46" s="948" t="s">
        <v>421</v>
      </c>
      <c r="AR46" s="947"/>
      <c r="AS46" s="948" t="s">
        <v>421</v>
      </c>
      <c r="AT46" s="947"/>
      <c r="AU46" s="948" t="s">
        <v>421</v>
      </c>
      <c r="AV46" s="947"/>
      <c r="AW46" s="948" t="s">
        <v>421</v>
      </c>
      <c r="AX46" s="947"/>
      <c r="AY46" s="948" t="s">
        <v>421</v>
      </c>
      <c r="AZ46" s="949"/>
      <c r="BA46" s="950" t="s">
        <v>421</v>
      </c>
      <c r="BB46" s="951"/>
      <c r="BC46" s="952"/>
      <c r="BD46" s="943" t="s">
        <v>420</v>
      </c>
      <c r="BE46" s="944"/>
      <c r="BF46" s="944"/>
      <c r="BG46" s="944"/>
      <c r="BH46" s="944"/>
      <c r="BI46" s="945"/>
      <c r="BJ46" s="946" t="s">
        <v>421</v>
      </c>
      <c r="BK46" s="947"/>
      <c r="BL46" s="948" t="s">
        <v>421</v>
      </c>
      <c r="BM46" s="947"/>
      <c r="BN46" s="948" t="s">
        <v>421</v>
      </c>
      <c r="BO46" s="947"/>
      <c r="BP46" s="948" t="s">
        <v>421</v>
      </c>
      <c r="BQ46" s="947"/>
      <c r="BR46" s="948" t="s">
        <v>421</v>
      </c>
      <c r="BS46" s="947"/>
      <c r="BT46" s="948" t="s">
        <v>421</v>
      </c>
      <c r="BU46" s="947"/>
      <c r="BV46" s="948" t="s">
        <v>421</v>
      </c>
      <c r="BW46" s="947"/>
      <c r="BX46" s="948" t="s">
        <v>421</v>
      </c>
      <c r="BY46" s="947"/>
      <c r="BZ46" s="948" t="s">
        <v>421</v>
      </c>
      <c r="CA46" s="947"/>
      <c r="CB46" s="948" t="s">
        <v>421</v>
      </c>
      <c r="CC46" s="947"/>
      <c r="CD46" s="948" t="s">
        <v>421</v>
      </c>
      <c r="CE46" s="947"/>
      <c r="CF46" s="948" t="s">
        <v>421</v>
      </c>
      <c r="CG46" s="947"/>
      <c r="CH46" s="948" t="s">
        <v>421</v>
      </c>
      <c r="CI46" s="947"/>
      <c r="CJ46" s="948" t="s">
        <v>421</v>
      </c>
      <c r="CK46" s="947"/>
      <c r="CL46" s="948" t="s">
        <v>421</v>
      </c>
      <c r="CM46" s="947"/>
      <c r="CN46" s="948" t="s">
        <v>421</v>
      </c>
      <c r="CO46" s="947"/>
      <c r="CP46" s="948" t="s">
        <v>421</v>
      </c>
      <c r="CQ46" s="947"/>
      <c r="CR46" s="948" t="s">
        <v>421</v>
      </c>
      <c r="CS46" s="947"/>
      <c r="CT46" s="948" t="s">
        <v>421</v>
      </c>
      <c r="CU46" s="947"/>
      <c r="CV46" s="948" t="s">
        <v>421</v>
      </c>
      <c r="CW46" s="947"/>
      <c r="CX46" s="948" t="s">
        <v>421</v>
      </c>
      <c r="CY46" s="947"/>
      <c r="CZ46" s="948" t="s">
        <v>421</v>
      </c>
      <c r="DA46" s="947"/>
      <c r="DB46" s="948" t="s">
        <v>421</v>
      </c>
      <c r="DC46" s="949"/>
      <c r="DD46" s="950" t="s">
        <v>421</v>
      </c>
      <c r="DE46" s="951"/>
      <c r="DF46" s="952"/>
      <c r="DG46" s="943" t="s">
        <v>420</v>
      </c>
      <c r="DH46" s="944"/>
      <c r="DI46" s="944"/>
      <c r="DJ46" s="944"/>
      <c r="DK46" s="944"/>
      <c r="DL46" s="945"/>
      <c r="DM46" s="946" t="s">
        <v>421</v>
      </c>
      <c r="DN46" s="947"/>
      <c r="DO46" s="948" t="s">
        <v>421</v>
      </c>
      <c r="DP46" s="947"/>
      <c r="DQ46" s="948" t="s">
        <v>421</v>
      </c>
      <c r="DR46" s="947"/>
      <c r="DS46" s="948" t="s">
        <v>421</v>
      </c>
      <c r="DT46" s="947"/>
      <c r="DU46" s="948" t="s">
        <v>421</v>
      </c>
      <c r="DV46" s="947"/>
      <c r="DW46" s="948" t="s">
        <v>421</v>
      </c>
      <c r="DX46" s="947"/>
      <c r="DY46" s="948" t="s">
        <v>421</v>
      </c>
      <c r="DZ46" s="947"/>
      <c r="EA46" s="948" t="s">
        <v>421</v>
      </c>
      <c r="EB46" s="947"/>
      <c r="EC46" s="948" t="s">
        <v>421</v>
      </c>
      <c r="ED46" s="947"/>
      <c r="EE46" s="948" t="s">
        <v>421</v>
      </c>
      <c r="EF46" s="947"/>
      <c r="EG46" s="948" t="s">
        <v>421</v>
      </c>
      <c r="EH46" s="947"/>
      <c r="EI46" s="948" t="s">
        <v>421</v>
      </c>
      <c r="EJ46" s="947"/>
      <c r="EK46" s="948" t="s">
        <v>421</v>
      </c>
      <c r="EL46" s="947"/>
      <c r="EM46" s="948" t="s">
        <v>421</v>
      </c>
      <c r="EN46" s="947"/>
      <c r="EO46" s="948" t="s">
        <v>421</v>
      </c>
      <c r="EP46" s="947"/>
      <c r="EQ46" s="948" t="s">
        <v>421</v>
      </c>
      <c r="ER46" s="947"/>
      <c r="ES46" s="948" t="s">
        <v>421</v>
      </c>
      <c r="ET46" s="947"/>
      <c r="EU46" s="948" t="s">
        <v>421</v>
      </c>
      <c r="EV46" s="947"/>
      <c r="EW46" s="948" t="s">
        <v>421</v>
      </c>
      <c r="EX46" s="947"/>
      <c r="EY46" s="948" t="s">
        <v>421</v>
      </c>
      <c r="EZ46" s="947"/>
      <c r="FA46" s="948" t="s">
        <v>421</v>
      </c>
      <c r="FB46" s="947"/>
      <c r="FC46" s="948" t="s">
        <v>421</v>
      </c>
      <c r="FD46" s="947"/>
      <c r="FE46" s="948" t="s">
        <v>421</v>
      </c>
      <c r="FF46" s="949"/>
      <c r="FG46" s="950" t="s">
        <v>421</v>
      </c>
      <c r="FH46" s="951"/>
      <c r="FI46" s="952"/>
      <c r="FJ46" s="943" t="s">
        <v>423</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497</v>
      </c>
      <c r="GL46" s="414"/>
      <c r="GM46" s="743"/>
      <c r="GN46" s="743"/>
      <c r="GO46" s="743"/>
      <c r="GP46" s="743"/>
      <c r="GQ46" s="743"/>
      <c r="GR46" s="850"/>
      <c r="GS46" s="577"/>
      <c r="GT46" s="756"/>
      <c r="GU46" s="767" t="s">
        <v>498</v>
      </c>
      <c r="GV46" s="767"/>
      <c r="GW46" s="767"/>
      <c r="GX46" s="767"/>
      <c r="GY46" s="612"/>
      <c r="GZ46" s="768"/>
      <c r="HA46" s="744">
        <v>20.5</v>
      </c>
      <c r="HB46" s="414" t="s">
        <v>467</v>
      </c>
      <c r="HC46" s="927"/>
      <c r="HD46" s="416"/>
    </row>
    <row r="47" spans="1:219" ht="20.100000000000001" customHeight="1" thickBot="1">
      <c r="A47" s="959" t="s">
        <v>424</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3565</v>
      </c>
      <c r="Y47" s="965"/>
      <c r="Z47" s="964">
        <v>3255</v>
      </c>
      <c r="AA47" s="965"/>
      <c r="AB47" s="964">
        <v>3355</v>
      </c>
      <c r="AC47" s="965"/>
      <c r="AD47" s="964">
        <v>3398</v>
      </c>
      <c r="AE47" s="965"/>
      <c r="AF47" s="964">
        <v>3409</v>
      </c>
      <c r="AG47" s="965"/>
      <c r="AH47" s="964">
        <v>3387</v>
      </c>
      <c r="AI47" s="965"/>
      <c r="AJ47" s="964">
        <v>3293</v>
      </c>
      <c r="AK47" s="965"/>
      <c r="AL47" s="964">
        <v>3177</v>
      </c>
      <c r="AM47" s="965"/>
      <c r="AN47" s="964">
        <v>3003</v>
      </c>
      <c r="AO47" s="965"/>
      <c r="AP47" s="964">
        <v>2820</v>
      </c>
      <c r="AQ47" s="965"/>
      <c r="AR47" s="964">
        <v>0</v>
      </c>
      <c r="AS47" s="965"/>
      <c r="AT47" s="964">
        <v>0</v>
      </c>
      <c r="AU47" s="965"/>
      <c r="AV47" s="964">
        <v>0</v>
      </c>
      <c r="AW47" s="965"/>
      <c r="AX47" s="964">
        <v>0</v>
      </c>
      <c r="AY47" s="966"/>
      <c r="AZ47" s="967">
        <v>0</v>
      </c>
      <c r="BA47" s="968"/>
      <c r="BB47" s="969">
        <v>0</v>
      </c>
      <c r="BC47" s="970"/>
      <c r="BD47" s="959" t="s">
        <v>424</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3620</v>
      </c>
      <c r="CB47" s="965"/>
      <c r="CC47" s="964">
        <v>3263</v>
      </c>
      <c r="CD47" s="965"/>
      <c r="CE47" s="964">
        <v>3338</v>
      </c>
      <c r="CF47" s="965"/>
      <c r="CG47" s="964">
        <v>3343</v>
      </c>
      <c r="CH47" s="965"/>
      <c r="CI47" s="964">
        <v>3337</v>
      </c>
      <c r="CJ47" s="965"/>
      <c r="CK47" s="964">
        <v>3288</v>
      </c>
      <c r="CL47" s="965"/>
      <c r="CM47" s="964">
        <v>3207</v>
      </c>
      <c r="CN47" s="965"/>
      <c r="CO47" s="964">
        <v>3116</v>
      </c>
      <c r="CP47" s="965"/>
      <c r="CQ47" s="964">
        <v>2985</v>
      </c>
      <c r="CR47" s="965"/>
      <c r="CS47" s="964">
        <v>2809</v>
      </c>
      <c r="CT47" s="965"/>
      <c r="CU47" s="964">
        <v>0</v>
      </c>
      <c r="CV47" s="965"/>
      <c r="CW47" s="964">
        <v>0</v>
      </c>
      <c r="CX47" s="965"/>
      <c r="CY47" s="964">
        <v>0</v>
      </c>
      <c r="CZ47" s="965"/>
      <c r="DA47" s="964">
        <v>0</v>
      </c>
      <c r="DB47" s="966"/>
      <c r="DC47" s="967">
        <v>0</v>
      </c>
      <c r="DD47" s="968"/>
      <c r="DE47" s="969">
        <v>0</v>
      </c>
      <c r="DF47" s="970"/>
      <c r="DG47" s="959" t="s">
        <v>424</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3335</v>
      </c>
      <c r="EE47" s="965"/>
      <c r="EF47" s="964">
        <v>2877</v>
      </c>
      <c r="EG47" s="965"/>
      <c r="EH47" s="964">
        <v>2981</v>
      </c>
      <c r="EI47" s="965"/>
      <c r="EJ47" s="964">
        <v>3033</v>
      </c>
      <c r="EK47" s="965"/>
      <c r="EL47" s="964">
        <v>3023</v>
      </c>
      <c r="EM47" s="965"/>
      <c r="EN47" s="964">
        <v>2973</v>
      </c>
      <c r="EO47" s="965"/>
      <c r="EP47" s="964">
        <v>2900</v>
      </c>
      <c r="EQ47" s="965"/>
      <c r="ER47" s="964">
        <v>2809</v>
      </c>
      <c r="ES47" s="965"/>
      <c r="ET47" s="964">
        <v>2631</v>
      </c>
      <c r="EU47" s="965"/>
      <c r="EV47" s="964">
        <v>2466</v>
      </c>
      <c r="EW47" s="965"/>
      <c r="EX47" s="964">
        <v>0</v>
      </c>
      <c r="EY47" s="965"/>
      <c r="EZ47" s="964">
        <v>0</v>
      </c>
      <c r="FA47" s="965"/>
      <c r="FB47" s="964">
        <v>0</v>
      </c>
      <c r="FC47" s="965"/>
      <c r="FD47" s="964">
        <v>0</v>
      </c>
      <c r="FE47" s="966"/>
      <c r="FF47" s="967">
        <v>0</v>
      </c>
      <c r="FG47" s="968"/>
      <c r="FH47" s="969">
        <v>0</v>
      </c>
      <c r="FI47" s="970"/>
      <c r="FJ47" s="959" t="s">
        <v>424</v>
      </c>
      <c r="FK47" s="960"/>
      <c r="FL47" s="960"/>
      <c r="FM47" s="961"/>
      <c r="FN47" s="962"/>
      <c r="FO47" s="962"/>
      <c r="FP47" s="971"/>
      <c r="FQ47" s="972"/>
      <c r="FR47" s="964">
        <v>5708</v>
      </c>
      <c r="FS47" s="973"/>
      <c r="FT47" s="972"/>
      <c r="FU47" s="974">
        <v>5770</v>
      </c>
      <c r="FV47" s="975">
        <v>9</v>
      </c>
      <c r="FW47" s="964">
        <v>3565</v>
      </c>
      <c r="FX47" s="976">
        <v>9</v>
      </c>
      <c r="FY47" s="964">
        <v>3620</v>
      </c>
      <c r="FZ47" s="976">
        <v>9</v>
      </c>
      <c r="GA47" s="964">
        <v>3335</v>
      </c>
      <c r="GB47" s="977" t="s">
        <v>565</v>
      </c>
      <c r="GC47" s="964">
        <v>3620</v>
      </c>
      <c r="GD47" s="977" t="s">
        <v>352</v>
      </c>
      <c r="GE47" s="978">
        <v>5770</v>
      </c>
      <c r="GF47" s="681"/>
      <c r="GG47" s="979"/>
      <c r="GH47" s="979"/>
      <c r="GI47" s="979"/>
      <c r="GJ47" s="882"/>
      <c r="GK47" s="414" t="s">
        <v>499</v>
      </c>
      <c r="GL47" s="882"/>
      <c r="GM47" s="527"/>
      <c r="GN47" s="882"/>
      <c r="GO47" s="527"/>
      <c r="GP47" s="527"/>
      <c r="GQ47" s="527"/>
      <c r="GR47" s="882"/>
      <c r="GS47" s="527"/>
      <c r="GT47" s="756"/>
      <c r="GU47" s="767" t="s">
        <v>500</v>
      </c>
      <c r="GV47" s="767"/>
      <c r="GW47" s="767"/>
      <c r="GX47" s="767"/>
      <c r="GY47" s="527"/>
      <c r="GZ47" s="414"/>
      <c r="HA47" s="771">
        <v>0</v>
      </c>
      <c r="HB47" s="414"/>
      <c r="HC47" s="970"/>
      <c r="HD47" s="416"/>
    </row>
    <row r="48" spans="1:219" ht="20.100000000000001" customHeight="1">
      <c r="A48" s="980" t="s">
        <v>425</v>
      </c>
      <c r="B48" s="981" t="s">
        <v>426</v>
      </c>
      <c r="C48" s="884"/>
      <c r="D48" s="814"/>
      <c r="E48" s="814"/>
      <c r="F48" s="815"/>
      <c r="G48" s="733" t="s">
        <v>427</v>
      </c>
      <c r="H48" s="660" t="s">
        <v>390</v>
      </c>
      <c r="I48" s="735" t="s">
        <v>427</v>
      </c>
      <c r="J48" s="982" t="s">
        <v>390</v>
      </c>
      <c r="K48" s="735" t="s">
        <v>427</v>
      </c>
      <c r="L48" s="982" t="s">
        <v>390</v>
      </c>
      <c r="M48" s="735" t="s">
        <v>427</v>
      </c>
      <c r="N48" s="982" t="s">
        <v>390</v>
      </c>
      <c r="O48" s="735" t="s">
        <v>427</v>
      </c>
      <c r="P48" s="982" t="s">
        <v>390</v>
      </c>
      <c r="Q48" s="735" t="s">
        <v>427</v>
      </c>
      <c r="R48" s="982" t="s">
        <v>390</v>
      </c>
      <c r="S48" s="735" t="s">
        <v>427</v>
      </c>
      <c r="T48" s="982" t="s">
        <v>390</v>
      </c>
      <c r="U48" s="735" t="s">
        <v>427</v>
      </c>
      <c r="V48" s="982" t="s">
        <v>390</v>
      </c>
      <c r="W48" s="735" t="s">
        <v>427</v>
      </c>
      <c r="X48" s="982" t="s">
        <v>390</v>
      </c>
      <c r="Y48" s="735" t="s">
        <v>427</v>
      </c>
      <c r="Z48" s="982" t="s">
        <v>390</v>
      </c>
      <c r="AA48" s="735" t="s">
        <v>427</v>
      </c>
      <c r="AB48" s="982" t="s">
        <v>390</v>
      </c>
      <c r="AC48" s="735" t="s">
        <v>427</v>
      </c>
      <c r="AD48" s="982" t="s">
        <v>390</v>
      </c>
      <c r="AE48" s="735" t="s">
        <v>427</v>
      </c>
      <c r="AF48" s="982" t="s">
        <v>390</v>
      </c>
      <c r="AG48" s="735" t="s">
        <v>427</v>
      </c>
      <c r="AH48" s="982" t="s">
        <v>390</v>
      </c>
      <c r="AI48" s="735" t="s">
        <v>427</v>
      </c>
      <c r="AJ48" s="982" t="s">
        <v>390</v>
      </c>
      <c r="AK48" s="735" t="s">
        <v>427</v>
      </c>
      <c r="AL48" s="982" t="s">
        <v>390</v>
      </c>
      <c r="AM48" s="735" t="s">
        <v>427</v>
      </c>
      <c r="AN48" s="982" t="s">
        <v>390</v>
      </c>
      <c r="AO48" s="735" t="s">
        <v>427</v>
      </c>
      <c r="AP48" s="982" t="s">
        <v>390</v>
      </c>
      <c r="AQ48" s="735" t="s">
        <v>427</v>
      </c>
      <c r="AR48" s="982" t="s">
        <v>390</v>
      </c>
      <c r="AS48" s="735" t="s">
        <v>427</v>
      </c>
      <c r="AT48" s="982" t="s">
        <v>390</v>
      </c>
      <c r="AU48" s="735" t="s">
        <v>427</v>
      </c>
      <c r="AV48" s="982" t="s">
        <v>390</v>
      </c>
      <c r="AW48" s="735" t="s">
        <v>427</v>
      </c>
      <c r="AX48" s="982" t="s">
        <v>390</v>
      </c>
      <c r="AY48" s="735" t="s">
        <v>427</v>
      </c>
      <c r="AZ48" s="983" t="s">
        <v>390</v>
      </c>
      <c r="BA48" s="984" t="s">
        <v>427</v>
      </c>
      <c r="BB48" s="985" t="s">
        <v>390</v>
      </c>
      <c r="BC48" s="921"/>
      <c r="BD48" s="980" t="s">
        <v>425</v>
      </c>
      <c r="BE48" s="981" t="s">
        <v>426</v>
      </c>
      <c r="BF48" s="884"/>
      <c r="BG48" s="814"/>
      <c r="BH48" s="814"/>
      <c r="BI48" s="815"/>
      <c r="BJ48" s="733" t="s">
        <v>427</v>
      </c>
      <c r="BK48" s="660" t="s">
        <v>390</v>
      </c>
      <c r="BL48" s="735" t="s">
        <v>427</v>
      </c>
      <c r="BM48" s="982" t="s">
        <v>390</v>
      </c>
      <c r="BN48" s="735" t="s">
        <v>427</v>
      </c>
      <c r="BO48" s="982" t="s">
        <v>390</v>
      </c>
      <c r="BP48" s="735" t="s">
        <v>427</v>
      </c>
      <c r="BQ48" s="982" t="s">
        <v>390</v>
      </c>
      <c r="BR48" s="735" t="s">
        <v>427</v>
      </c>
      <c r="BS48" s="982" t="s">
        <v>390</v>
      </c>
      <c r="BT48" s="735" t="s">
        <v>427</v>
      </c>
      <c r="BU48" s="982" t="s">
        <v>390</v>
      </c>
      <c r="BV48" s="735" t="s">
        <v>427</v>
      </c>
      <c r="BW48" s="982" t="s">
        <v>390</v>
      </c>
      <c r="BX48" s="735" t="s">
        <v>427</v>
      </c>
      <c r="BY48" s="982" t="s">
        <v>390</v>
      </c>
      <c r="BZ48" s="735" t="s">
        <v>427</v>
      </c>
      <c r="CA48" s="982" t="s">
        <v>390</v>
      </c>
      <c r="CB48" s="735" t="s">
        <v>427</v>
      </c>
      <c r="CC48" s="982" t="s">
        <v>390</v>
      </c>
      <c r="CD48" s="735" t="s">
        <v>427</v>
      </c>
      <c r="CE48" s="982" t="s">
        <v>390</v>
      </c>
      <c r="CF48" s="735" t="s">
        <v>427</v>
      </c>
      <c r="CG48" s="982" t="s">
        <v>390</v>
      </c>
      <c r="CH48" s="735" t="s">
        <v>427</v>
      </c>
      <c r="CI48" s="982" t="s">
        <v>390</v>
      </c>
      <c r="CJ48" s="735" t="s">
        <v>427</v>
      </c>
      <c r="CK48" s="982" t="s">
        <v>390</v>
      </c>
      <c r="CL48" s="735" t="s">
        <v>427</v>
      </c>
      <c r="CM48" s="982" t="s">
        <v>390</v>
      </c>
      <c r="CN48" s="735" t="s">
        <v>427</v>
      </c>
      <c r="CO48" s="982" t="s">
        <v>390</v>
      </c>
      <c r="CP48" s="735" t="s">
        <v>427</v>
      </c>
      <c r="CQ48" s="982" t="s">
        <v>390</v>
      </c>
      <c r="CR48" s="735" t="s">
        <v>427</v>
      </c>
      <c r="CS48" s="982" t="s">
        <v>390</v>
      </c>
      <c r="CT48" s="735" t="s">
        <v>427</v>
      </c>
      <c r="CU48" s="982" t="s">
        <v>390</v>
      </c>
      <c r="CV48" s="735" t="s">
        <v>427</v>
      </c>
      <c r="CW48" s="982" t="s">
        <v>390</v>
      </c>
      <c r="CX48" s="735" t="s">
        <v>427</v>
      </c>
      <c r="CY48" s="982" t="s">
        <v>390</v>
      </c>
      <c r="CZ48" s="735" t="s">
        <v>427</v>
      </c>
      <c r="DA48" s="982" t="s">
        <v>390</v>
      </c>
      <c r="DB48" s="735" t="s">
        <v>427</v>
      </c>
      <c r="DC48" s="983" t="s">
        <v>390</v>
      </c>
      <c r="DD48" s="984" t="s">
        <v>427</v>
      </c>
      <c r="DE48" s="985" t="s">
        <v>390</v>
      </c>
      <c r="DF48" s="921"/>
      <c r="DG48" s="980" t="s">
        <v>425</v>
      </c>
      <c r="DH48" s="981" t="s">
        <v>426</v>
      </c>
      <c r="DI48" s="884"/>
      <c r="DJ48" s="814"/>
      <c r="DK48" s="814"/>
      <c r="DL48" s="815"/>
      <c r="DM48" s="733" t="s">
        <v>427</v>
      </c>
      <c r="DN48" s="660" t="s">
        <v>390</v>
      </c>
      <c r="DO48" s="735" t="s">
        <v>427</v>
      </c>
      <c r="DP48" s="982" t="s">
        <v>390</v>
      </c>
      <c r="DQ48" s="735" t="s">
        <v>427</v>
      </c>
      <c r="DR48" s="982" t="s">
        <v>390</v>
      </c>
      <c r="DS48" s="735" t="s">
        <v>427</v>
      </c>
      <c r="DT48" s="982" t="s">
        <v>390</v>
      </c>
      <c r="DU48" s="735" t="s">
        <v>427</v>
      </c>
      <c r="DV48" s="982" t="s">
        <v>390</v>
      </c>
      <c r="DW48" s="735" t="s">
        <v>427</v>
      </c>
      <c r="DX48" s="982" t="s">
        <v>390</v>
      </c>
      <c r="DY48" s="735" t="s">
        <v>427</v>
      </c>
      <c r="DZ48" s="982" t="s">
        <v>390</v>
      </c>
      <c r="EA48" s="735" t="s">
        <v>427</v>
      </c>
      <c r="EB48" s="982" t="s">
        <v>390</v>
      </c>
      <c r="EC48" s="735" t="s">
        <v>427</v>
      </c>
      <c r="ED48" s="982" t="s">
        <v>390</v>
      </c>
      <c r="EE48" s="735" t="s">
        <v>427</v>
      </c>
      <c r="EF48" s="982" t="s">
        <v>390</v>
      </c>
      <c r="EG48" s="735" t="s">
        <v>427</v>
      </c>
      <c r="EH48" s="982" t="s">
        <v>390</v>
      </c>
      <c r="EI48" s="735" t="s">
        <v>427</v>
      </c>
      <c r="EJ48" s="982" t="s">
        <v>390</v>
      </c>
      <c r="EK48" s="735" t="s">
        <v>427</v>
      </c>
      <c r="EL48" s="982" t="s">
        <v>390</v>
      </c>
      <c r="EM48" s="735" t="s">
        <v>427</v>
      </c>
      <c r="EN48" s="982" t="s">
        <v>390</v>
      </c>
      <c r="EO48" s="735" t="s">
        <v>427</v>
      </c>
      <c r="EP48" s="982" t="s">
        <v>390</v>
      </c>
      <c r="EQ48" s="735" t="s">
        <v>427</v>
      </c>
      <c r="ER48" s="982" t="s">
        <v>390</v>
      </c>
      <c r="ES48" s="735" t="s">
        <v>427</v>
      </c>
      <c r="ET48" s="982" t="s">
        <v>390</v>
      </c>
      <c r="EU48" s="735" t="s">
        <v>427</v>
      </c>
      <c r="EV48" s="982" t="s">
        <v>390</v>
      </c>
      <c r="EW48" s="735" t="s">
        <v>427</v>
      </c>
      <c r="EX48" s="982" t="s">
        <v>390</v>
      </c>
      <c r="EY48" s="735" t="s">
        <v>427</v>
      </c>
      <c r="EZ48" s="982" t="s">
        <v>390</v>
      </c>
      <c r="FA48" s="735" t="s">
        <v>427</v>
      </c>
      <c r="FB48" s="982" t="s">
        <v>390</v>
      </c>
      <c r="FC48" s="735" t="s">
        <v>427</v>
      </c>
      <c r="FD48" s="982" t="s">
        <v>390</v>
      </c>
      <c r="FE48" s="735" t="s">
        <v>427</v>
      </c>
      <c r="FF48" s="983" t="s">
        <v>390</v>
      </c>
      <c r="FG48" s="984" t="s">
        <v>427</v>
      </c>
      <c r="FH48" s="985" t="s">
        <v>390</v>
      </c>
      <c r="FI48" s="921"/>
      <c r="FJ48" s="980" t="s">
        <v>425</v>
      </c>
      <c r="FK48" s="731" t="s">
        <v>426</v>
      </c>
      <c r="FL48" s="884"/>
      <c r="FM48" s="814"/>
      <c r="FN48" s="814"/>
      <c r="FO48" s="815"/>
      <c r="FP48" s="740" t="s">
        <v>392</v>
      </c>
      <c r="FQ48" s="666" t="s">
        <v>427</v>
      </c>
      <c r="FR48" s="660" t="s">
        <v>393</v>
      </c>
      <c r="FS48" s="986" t="s">
        <v>392</v>
      </c>
      <c r="FT48" s="666" t="s">
        <v>427</v>
      </c>
      <c r="FU48" s="987" t="s">
        <v>393</v>
      </c>
      <c r="FV48" s="988"/>
      <c r="FW48" s="982" t="s">
        <v>315</v>
      </c>
      <c r="FX48" s="986"/>
      <c r="FY48" s="982" t="s">
        <v>315</v>
      </c>
      <c r="FZ48" s="986"/>
      <c r="GA48" s="982" t="s">
        <v>315</v>
      </c>
      <c r="GB48" s="986"/>
      <c r="GC48" s="982" t="s">
        <v>315</v>
      </c>
      <c r="GD48" s="986"/>
      <c r="GE48" s="989" t="s">
        <v>316</v>
      </c>
      <c r="GF48" s="681"/>
      <c r="GG48" s="652"/>
      <c r="GH48" s="652"/>
      <c r="GI48" s="652"/>
      <c r="GJ48" s="527"/>
      <c r="GK48" s="612" t="s">
        <v>501</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394</v>
      </c>
      <c r="C49" s="991"/>
      <c r="D49" s="747">
        <v>68</v>
      </c>
      <c r="E49" s="748">
        <v>2</v>
      </c>
      <c r="F49" s="992" t="s">
        <v>395</v>
      </c>
      <c r="G49" s="750"/>
      <c r="H49" s="556"/>
      <c r="I49" s="751"/>
      <c r="J49" s="556"/>
      <c r="K49" s="751"/>
      <c r="L49" s="556"/>
      <c r="M49" s="751"/>
      <c r="N49" s="556"/>
      <c r="O49" s="751"/>
      <c r="P49" s="556"/>
      <c r="Q49" s="751"/>
      <c r="R49" s="556"/>
      <c r="S49" s="751"/>
      <c r="T49" s="556"/>
      <c r="U49" s="751"/>
      <c r="V49" s="556"/>
      <c r="W49" s="751">
        <v>1</v>
      </c>
      <c r="X49" s="556">
        <v>136</v>
      </c>
      <c r="Y49" s="751">
        <v>1</v>
      </c>
      <c r="Z49" s="556">
        <v>136</v>
      </c>
      <c r="AA49" s="751">
        <v>1</v>
      </c>
      <c r="AB49" s="556">
        <v>136</v>
      </c>
      <c r="AC49" s="751">
        <v>1</v>
      </c>
      <c r="AD49" s="556">
        <v>136</v>
      </c>
      <c r="AE49" s="751">
        <v>1</v>
      </c>
      <c r="AF49" s="556">
        <v>136</v>
      </c>
      <c r="AG49" s="751">
        <v>1</v>
      </c>
      <c r="AH49" s="556">
        <v>136</v>
      </c>
      <c r="AI49" s="751">
        <v>1</v>
      </c>
      <c r="AJ49" s="556">
        <v>136</v>
      </c>
      <c r="AK49" s="751">
        <v>1</v>
      </c>
      <c r="AL49" s="556">
        <v>136</v>
      </c>
      <c r="AM49" s="751">
        <v>1</v>
      </c>
      <c r="AN49" s="556">
        <v>136</v>
      </c>
      <c r="AO49" s="751">
        <v>1</v>
      </c>
      <c r="AP49" s="556">
        <v>136</v>
      </c>
      <c r="AQ49" s="751"/>
      <c r="AR49" s="556"/>
      <c r="AS49" s="751"/>
      <c r="AT49" s="556"/>
      <c r="AU49" s="751"/>
      <c r="AV49" s="556"/>
      <c r="AW49" s="751"/>
      <c r="AX49" s="556"/>
      <c r="AY49" s="993"/>
      <c r="AZ49" s="994"/>
      <c r="BA49" s="995"/>
      <c r="BB49" s="996"/>
      <c r="BC49" s="927"/>
      <c r="BD49" s="990"/>
      <c r="BE49" s="745" t="s">
        <v>394</v>
      </c>
      <c r="BF49" s="991"/>
      <c r="BG49" s="747"/>
      <c r="BH49" s="748">
        <v>2</v>
      </c>
      <c r="BI49" s="992" t="s">
        <v>395</v>
      </c>
      <c r="BJ49" s="750"/>
      <c r="BK49" s="556"/>
      <c r="BL49" s="751"/>
      <c r="BM49" s="556"/>
      <c r="BN49" s="751"/>
      <c r="BO49" s="556"/>
      <c r="BP49" s="751"/>
      <c r="BQ49" s="556"/>
      <c r="BR49" s="751"/>
      <c r="BS49" s="556"/>
      <c r="BT49" s="751"/>
      <c r="BU49" s="556"/>
      <c r="BV49" s="751"/>
      <c r="BW49" s="556"/>
      <c r="BX49" s="751"/>
      <c r="BY49" s="556"/>
      <c r="BZ49" s="751">
        <v>1</v>
      </c>
      <c r="CA49" s="556">
        <v>136</v>
      </c>
      <c r="CB49" s="751">
        <v>1</v>
      </c>
      <c r="CC49" s="556">
        <v>136</v>
      </c>
      <c r="CD49" s="751">
        <v>1</v>
      </c>
      <c r="CE49" s="556">
        <v>136</v>
      </c>
      <c r="CF49" s="751">
        <v>1</v>
      </c>
      <c r="CG49" s="556">
        <v>136</v>
      </c>
      <c r="CH49" s="751">
        <v>1</v>
      </c>
      <c r="CI49" s="556">
        <v>136</v>
      </c>
      <c r="CJ49" s="751">
        <v>1</v>
      </c>
      <c r="CK49" s="556">
        <v>136</v>
      </c>
      <c r="CL49" s="751">
        <v>1</v>
      </c>
      <c r="CM49" s="556">
        <v>136</v>
      </c>
      <c r="CN49" s="751">
        <v>1</v>
      </c>
      <c r="CO49" s="556">
        <v>136</v>
      </c>
      <c r="CP49" s="751">
        <v>1</v>
      </c>
      <c r="CQ49" s="556">
        <v>136</v>
      </c>
      <c r="CR49" s="751">
        <v>1</v>
      </c>
      <c r="CS49" s="556">
        <v>136</v>
      </c>
      <c r="CT49" s="751"/>
      <c r="CU49" s="556"/>
      <c r="CV49" s="751"/>
      <c r="CW49" s="556"/>
      <c r="CX49" s="751"/>
      <c r="CY49" s="556"/>
      <c r="CZ49" s="751"/>
      <c r="DA49" s="556"/>
      <c r="DB49" s="993"/>
      <c r="DC49" s="994"/>
      <c r="DD49" s="995"/>
      <c r="DE49" s="996"/>
      <c r="DF49" s="927"/>
      <c r="DG49" s="990"/>
      <c r="DH49" s="745" t="s">
        <v>394</v>
      </c>
      <c r="DI49" s="991"/>
      <c r="DJ49" s="747"/>
      <c r="DK49" s="748">
        <v>2</v>
      </c>
      <c r="DL49" s="992" t="s">
        <v>395</v>
      </c>
      <c r="DM49" s="750"/>
      <c r="DN49" s="556"/>
      <c r="DO49" s="751"/>
      <c r="DP49" s="556"/>
      <c r="DQ49" s="751"/>
      <c r="DR49" s="556"/>
      <c r="DS49" s="751"/>
      <c r="DT49" s="556"/>
      <c r="DU49" s="751"/>
      <c r="DV49" s="556"/>
      <c r="DW49" s="751"/>
      <c r="DX49" s="556"/>
      <c r="DY49" s="751"/>
      <c r="DZ49" s="556"/>
      <c r="EA49" s="751"/>
      <c r="EB49" s="556"/>
      <c r="EC49" s="751">
        <v>1</v>
      </c>
      <c r="ED49" s="556">
        <v>136</v>
      </c>
      <c r="EE49" s="751">
        <v>1</v>
      </c>
      <c r="EF49" s="556">
        <v>136</v>
      </c>
      <c r="EG49" s="751">
        <v>1</v>
      </c>
      <c r="EH49" s="556">
        <v>136</v>
      </c>
      <c r="EI49" s="751">
        <v>1</v>
      </c>
      <c r="EJ49" s="556">
        <v>136</v>
      </c>
      <c r="EK49" s="751">
        <v>1</v>
      </c>
      <c r="EL49" s="556">
        <v>136</v>
      </c>
      <c r="EM49" s="751">
        <v>1</v>
      </c>
      <c r="EN49" s="556">
        <v>136</v>
      </c>
      <c r="EO49" s="751">
        <v>1</v>
      </c>
      <c r="EP49" s="556">
        <v>136</v>
      </c>
      <c r="EQ49" s="751">
        <v>1</v>
      </c>
      <c r="ER49" s="556">
        <v>136</v>
      </c>
      <c r="ES49" s="751">
        <v>1</v>
      </c>
      <c r="ET49" s="556">
        <v>136</v>
      </c>
      <c r="EU49" s="751">
        <v>1</v>
      </c>
      <c r="EV49" s="556">
        <v>136</v>
      </c>
      <c r="EW49" s="751"/>
      <c r="EX49" s="556"/>
      <c r="EY49" s="751"/>
      <c r="EZ49" s="556"/>
      <c r="FA49" s="751"/>
      <c r="FB49" s="556"/>
      <c r="FC49" s="751"/>
      <c r="FD49" s="556"/>
      <c r="FE49" s="993"/>
      <c r="FF49" s="994"/>
      <c r="FG49" s="995"/>
      <c r="FH49" s="996"/>
      <c r="FI49" s="927"/>
      <c r="FJ49" s="990"/>
      <c r="FK49" s="745" t="s">
        <v>394</v>
      </c>
      <c r="FL49" s="991"/>
      <c r="FM49" s="752"/>
      <c r="FN49" s="748">
        <v>0</v>
      </c>
      <c r="FO49" s="992"/>
      <c r="FP49" s="678"/>
      <c r="FQ49" s="753"/>
      <c r="FR49" s="584">
        <v>0</v>
      </c>
      <c r="FS49" s="754"/>
      <c r="FT49" s="753"/>
      <c r="FU49" s="564">
        <v>0</v>
      </c>
      <c r="FV49" s="997" t="s">
        <v>324</v>
      </c>
      <c r="FW49" s="998"/>
      <c r="FX49" s="999" t="s">
        <v>325</v>
      </c>
      <c r="FY49" s="1000"/>
      <c r="FZ49" s="1001" t="s">
        <v>326</v>
      </c>
      <c r="GA49" s="1002"/>
      <c r="GB49" s="1003" t="s">
        <v>327</v>
      </c>
      <c r="GC49" s="1004"/>
      <c r="GD49" s="1003" t="s">
        <v>328</v>
      </c>
      <c r="GE49" s="1005"/>
      <c r="GF49" s="681"/>
      <c r="GG49" s="599"/>
      <c r="GH49" s="599"/>
      <c r="GI49" s="599"/>
      <c r="GJ49" s="577"/>
      <c r="GK49" s="414" t="s">
        <v>502</v>
      </c>
      <c r="GL49" s="577"/>
      <c r="GM49" s="414"/>
      <c r="GN49" s="577"/>
      <c r="GO49" s="414"/>
      <c r="GP49" s="414"/>
      <c r="GQ49" s="414"/>
      <c r="GR49" s="577"/>
      <c r="GS49" s="527"/>
      <c r="GT49" s="850"/>
      <c r="GU49" s="527" t="s">
        <v>480</v>
      </c>
      <c r="GV49" s="612"/>
      <c r="GW49" s="527"/>
      <c r="GX49" s="612"/>
      <c r="GY49" s="527"/>
      <c r="GZ49" s="392"/>
      <c r="HA49" s="577"/>
      <c r="HB49" s="392"/>
      <c r="HC49" s="1006"/>
      <c r="HD49" s="416"/>
    </row>
    <row r="50" spans="1:212" ht="20.100000000000001" customHeight="1">
      <c r="A50" s="990"/>
      <c r="B50" s="757" t="s">
        <v>401</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401</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401</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401</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503</v>
      </c>
      <c r="GL50" s="577"/>
      <c r="GM50" s="414"/>
      <c r="GN50" s="577"/>
      <c r="GO50" s="414"/>
      <c r="GP50" s="414"/>
      <c r="GQ50" s="414"/>
      <c r="GR50" s="577"/>
      <c r="GS50" s="942"/>
      <c r="GT50" s="926"/>
      <c r="GU50" s="577" t="s">
        <v>595</v>
      </c>
      <c r="GV50" s="577"/>
      <c r="GW50" s="577"/>
      <c r="GX50" s="577"/>
      <c r="GY50" s="612"/>
      <c r="GZ50" s="576"/>
      <c r="HA50" s="612">
        <v>29.8</v>
      </c>
      <c r="HB50" s="576" t="s">
        <v>462</v>
      </c>
      <c r="HC50" s="1027"/>
      <c r="HD50" s="416"/>
    </row>
    <row r="51" spans="1:212" ht="20.100000000000001" customHeight="1" thickBot="1">
      <c r="A51" s="1028"/>
      <c r="B51" s="463" t="s">
        <v>428</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428</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428</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428</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392</v>
      </c>
      <c r="GM51" s="1036" t="s">
        <v>505</v>
      </c>
      <c r="GN51" s="1037" t="s">
        <v>506</v>
      </c>
      <c r="GO51" s="1038" t="s">
        <v>507</v>
      </c>
      <c r="GP51" s="1038" t="s">
        <v>486</v>
      </c>
      <c r="GQ51" s="1039" t="s">
        <v>487</v>
      </c>
      <c r="GR51" s="726"/>
      <c r="GS51" s="942"/>
      <c r="GT51" s="756"/>
      <c r="GU51" s="577" t="s">
        <v>508</v>
      </c>
      <c r="GV51" s="577"/>
      <c r="GW51" s="577"/>
      <c r="GX51" s="577"/>
      <c r="GY51" s="414"/>
      <c r="GZ51" s="1040"/>
      <c r="HA51" s="612">
        <v>29.8</v>
      </c>
      <c r="HB51" s="576" t="s">
        <v>462</v>
      </c>
      <c r="HC51" s="1041"/>
      <c r="HD51" s="416"/>
    </row>
    <row r="52" spans="1:212" ht="20.100000000000001" customHeight="1" thickBot="1">
      <c r="A52" s="1042" t="s">
        <v>429</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136</v>
      </c>
      <c r="Y52" s="1048"/>
      <c r="Z52" s="1047">
        <v>136</v>
      </c>
      <c r="AA52" s="1048"/>
      <c r="AB52" s="1047">
        <v>136</v>
      </c>
      <c r="AC52" s="1048"/>
      <c r="AD52" s="1047">
        <v>136</v>
      </c>
      <c r="AE52" s="1048"/>
      <c r="AF52" s="1047">
        <v>136</v>
      </c>
      <c r="AG52" s="1048"/>
      <c r="AH52" s="1047">
        <v>136</v>
      </c>
      <c r="AI52" s="1048"/>
      <c r="AJ52" s="1047">
        <v>136</v>
      </c>
      <c r="AK52" s="1048"/>
      <c r="AL52" s="1047">
        <v>136</v>
      </c>
      <c r="AM52" s="1048"/>
      <c r="AN52" s="1047">
        <v>136</v>
      </c>
      <c r="AO52" s="1048"/>
      <c r="AP52" s="1047">
        <v>136</v>
      </c>
      <c r="AQ52" s="1048"/>
      <c r="AR52" s="1047">
        <v>0</v>
      </c>
      <c r="AS52" s="1048"/>
      <c r="AT52" s="1047">
        <v>0</v>
      </c>
      <c r="AU52" s="1048"/>
      <c r="AV52" s="1047">
        <v>0</v>
      </c>
      <c r="AW52" s="1048"/>
      <c r="AX52" s="1047">
        <v>0</v>
      </c>
      <c r="AY52" s="1049"/>
      <c r="AZ52" s="1050">
        <v>0</v>
      </c>
      <c r="BA52" s="1051"/>
      <c r="BB52" s="1052">
        <v>0</v>
      </c>
      <c r="BC52" s="970"/>
      <c r="BD52" s="1042" t="s">
        <v>429</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136</v>
      </c>
      <c r="CB52" s="1048"/>
      <c r="CC52" s="1047">
        <v>136</v>
      </c>
      <c r="CD52" s="1048"/>
      <c r="CE52" s="1047">
        <v>136</v>
      </c>
      <c r="CF52" s="1048"/>
      <c r="CG52" s="1047">
        <v>136</v>
      </c>
      <c r="CH52" s="1048"/>
      <c r="CI52" s="1047">
        <v>136</v>
      </c>
      <c r="CJ52" s="1048"/>
      <c r="CK52" s="1047">
        <v>136</v>
      </c>
      <c r="CL52" s="1048"/>
      <c r="CM52" s="1047">
        <v>136</v>
      </c>
      <c r="CN52" s="1048"/>
      <c r="CO52" s="1047">
        <v>136</v>
      </c>
      <c r="CP52" s="1048"/>
      <c r="CQ52" s="1047">
        <v>136</v>
      </c>
      <c r="CR52" s="1048"/>
      <c r="CS52" s="1047">
        <v>136</v>
      </c>
      <c r="CT52" s="1048"/>
      <c r="CU52" s="1047">
        <v>0</v>
      </c>
      <c r="CV52" s="1048"/>
      <c r="CW52" s="1047">
        <v>0</v>
      </c>
      <c r="CX52" s="1048"/>
      <c r="CY52" s="1047">
        <v>0</v>
      </c>
      <c r="CZ52" s="1048"/>
      <c r="DA52" s="1047">
        <v>0</v>
      </c>
      <c r="DB52" s="1049"/>
      <c r="DC52" s="1050">
        <v>0</v>
      </c>
      <c r="DD52" s="1051"/>
      <c r="DE52" s="1052">
        <v>0</v>
      </c>
      <c r="DF52" s="970"/>
      <c r="DG52" s="1042" t="s">
        <v>429</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136</v>
      </c>
      <c r="EE52" s="1048"/>
      <c r="EF52" s="1047">
        <v>136</v>
      </c>
      <c r="EG52" s="1048"/>
      <c r="EH52" s="1047">
        <v>136</v>
      </c>
      <c r="EI52" s="1048"/>
      <c r="EJ52" s="1047">
        <v>136</v>
      </c>
      <c r="EK52" s="1048"/>
      <c r="EL52" s="1047">
        <v>136</v>
      </c>
      <c r="EM52" s="1048"/>
      <c r="EN52" s="1047">
        <v>136</v>
      </c>
      <c r="EO52" s="1048"/>
      <c r="EP52" s="1047">
        <v>136</v>
      </c>
      <c r="EQ52" s="1048"/>
      <c r="ER52" s="1047">
        <v>136</v>
      </c>
      <c r="ES52" s="1048"/>
      <c r="ET52" s="1047">
        <v>136</v>
      </c>
      <c r="EU52" s="1048"/>
      <c r="EV52" s="1047">
        <v>136</v>
      </c>
      <c r="EW52" s="1048"/>
      <c r="EX52" s="1047">
        <v>0</v>
      </c>
      <c r="EY52" s="1048"/>
      <c r="EZ52" s="1047">
        <v>0</v>
      </c>
      <c r="FA52" s="1048"/>
      <c r="FB52" s="1047">
        <v>0</v>
      </c>
      <c r="FC52" s="1048"/>
      <c r="FD52" s="1047">
        <v>0</v>
      </c>
      <c r="FE52" s="1049"/>
      <c r="FF52" s="1050">
        <v>0</v>
      </c>
      <c r="FG52" s="1051"/>
      <c r="FH52" s="1052">
        <v>0</v>
      </c>
      <c r="FI52" s="970"/>
      <c r="FJ52" s="1042" t="s">
        <v>429</v>
      </c>
      <c r="FK52" s="1043"/>
      <c r="FL52" s="1044"/>
      <c r="FM52" s="1044"/>
      <c r="FN52" s="1045"/>
      <c r="FO52" s="1044"/>
      <c r="FP52" s="1053"/>
      <c r="FQ52" s="1054"/>
      <c r="FR52" s="1047">
        <v>0</v>
      </c>
      <c r="FS52" s="1055"/>
      <c r="FT52" s="1054"/>
      <c r="FU52" s="1056">
        <v>0</v>
      </c>
      <c r="FV52" s="1057">
        <v>9</v>
      </c>
      <c r="FW52" s="1058">
        <v>136</v>
      </c>
      <c r="FX52" s="1059">
        <v>9</v>
      </c>
      <c r="FY52" s="1058">
        <v>136</v>
      </c>
      <c r="FZ52" s="1059">
        <v>9</v>
      </c>
      <c r="GA52" s="1058">
        <v>136</v>
      </c>
      <c r="GB52" s="1060" t="s">
        <v>565</v>
      </c>
      <c r="GC52" s="1061">
        <v>136</v>
      </c>
      <c r="GD52" s="1060" t="s">
        <v>352</v>
      </c>
      <c r="GE52" s="1062">
        <v>0</v>
      </c>
      <c r="GF52" s="681"/>
      <c r="GG52" s="979"/>
      <c r="GH52" s="979"/>
      <c r="GI52" s="979"/>
      <c r="GJ52" s="925"/>
      <c r="GK52" s="726"/>
      <c r="GL52" s="1063"/>
      <c r="GM52" s="1064"/>
      <c r="GN52" s="1064"/>
      <c r="GO52" s="1065"/>
      <c r="GP52" s="1065"/>
      <c r="GQ52" s="1066"/>
      <c r="GR52" s="942"/>
      <c r="GS52" s="882"/>
      <c r="GT52" s="850"/>
      <c r="GU52" s="527" t="s">
        <v>482</v>
      </c>
      <c r="GV52" s="726"/>
      <c r="GW52" s="925"/>
      <c r="GX52" s="726"/>
      <c r="GY52" s="414"/>
      <c r="GZ52" s="1067"/>
      <c r="HA52" s="942"/>
      <c r="HB52" s="1067"/>
      <c r="HC52" s="559"/>
      <c r="HD52" s="416"/>
    </row>
    <row r="53" spans="1:212" ht="20.100000000000001" customHeight="1" thickTop="1">
      <c r="A53" s="1068" t="s">
        <v>430</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3701</v>
      </c>
      <c r="Y53" s="1075"/>
      <c r="Z53" s="1074">
        <v>3391</v>
      </c>
      <c r="AA53" s="1075"/>
      <c r="AB53" s="1074">
        <v>3491</v>
      </c>
      <c r="AC53" s="1075"/>
      <c r="AD53" s="1074">
        <v>3534</v>
      </c>
      <c r="AE53" s="1075"/>
      <c r="AF53" s="1074">
        <v>3545</v>
      </c>
      <c r="AG53" s="1075"/>
      <c r="AH53" s="1074">
        <v>3523</v>
      </c>
      <c r="AI53" s="1075"/>
      <c r="AJ53" s="1074">
        <v>3429</v>
      </c>
      <c r="AK53" s="1075"/>
      <c r="AL53" s="1074">
        <v>3313</v>
      </c>
      <c r="AM53" s="1075"/>
      <c r="AN53" s="1074">
        <v>3139</v>
      </c>
      <c r="AO53" s="1075"/>
      <c r="AP53" s="1074">
        <v>2956</v>
      </c>
      <c r="AQ53" s="1075"/>
      <c r="AR53" s="1074">
        <v>0</v>
      </c>
      <c r="AS53" s="1075"/>
      <c r="AT53" s="1074">
        <v>0</v>
      </c>
      <c r="AU53" s="1075"/>
      <c r="AV53" s="1074">
        <v>0</v>
      </c>
      <c r="AW53" s="1075"/>
      <c r="AX53" s="1074">
        <v>0</v>
      </c>
      <c r="AY53" s="1076"/>
      <c r="AZ53" s="1077">
        <v>0</v>
      </c>
      <c r="BA53" s="1078"/>
      <c r="BB53" s="1079">
        <v>0</v>
      </c>
      <c r="BC53" s="970"/>
      <c r="BD53" s="1068" t="s">
        <v>430</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3756</v>
      </c>
      <c r="CB53" s="1075"/>
      <c r="CC53" s="1074">
        <v>3399</v>
      </c>
      <c r="CD53" s="1075"/>
      <c r="CE53" s="1074">
        <v>3474</v>
      </c>
      <c r="CF53" s="1075"/>
      <c r="CG53" s="1074">
        <v>3479</v>
      </c>
      <c r="CH53" s="1075"/>
      <c r="CI53" s="1074">
        <v>3473</v>
      </c>
      <c r="CJ53" s="1075"/>
      <c r="CK53" s="1074">
        <v>3424</v>
      </c>
      <c r="CL53" s="1075"/>
      <c r="CM53" s="1074">
        <v>3343</v>
      </c>
      <c r="CN53" s="1075"/>
      <c r="CO53" s="1074">
        <v>3252</v>
      </c>
      <c r="CP53" s="1075"/>
      <c r="CQ53" s="1074">
        <v>3121</v>
      </c>
      <c r="CR53" s="1075"/>
      <c r="CS53" s="1074">
        <v>2945</v>
      </c>
      <c r="CT53" s="1075"/>
      <c r="CU53" s="1074">
        <v>0</v>
      </c>
      <c r="CV53" s="1075"/>
      <c r="CW53" s="1074">
        <v>0</v>
      </c>
      <c r="CX53" s="1075"/>
      <c r="CY53" s="1074">
        <v>0</v>
      </c>
      <c r="CZ53" s="1075"/>
      <c r="DA53" s="1074">
        <v>0</v>
      </c>
      <c r="DB53" s="1076"/>
      <c r="DC53" s="1077">
        <v>0</v>
      </c>
      <c r="DD53" s="1078"/>
      <c r="DE53" s="1079">
        <v>0</v>
      </c>
      <c r="DF53" s="970"/>
      <c r="DG53" s="1068" t="s">
        <v>430</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3471</v>
      </c>
      <c r="EE53" s="1075"/>
      <c r="EF53" s="1074">
        <v>3013</v>
      </c>
      <c r="EG53" s="1075"/>
      <c r="EH53" s="1074">
        <v>3117</v>
      </c>
      <c r="EI53" s="1075"/>
      <c r="EJ53" s="1074">
        <v>3169</v>
      </c>
      <c r="EK53" s="1075"/>
      <c r="EL53" s="1074">
        <v>3159</v>
      </c>
      <c r="EM53" s="1075"/>
      <c r="EN53" s="1074">
        <v>3109</v>
      </c>
      <c r="EO53" s="1075"/>
      <c r="EP53" s="1074">
        <v>3036</v>
      </c>
      <c r="EQ53" s="1075"/>
      <c r="ER53" s="1074">
        <v>2945</v>
      </c>
      <c r="ES53" s="1075"/>
      <c r="ET53" s="1074">
        <v>2767</v>
      </c>
      <c r="EU53" s="1075"/>
      <c r="EV53" s="1074">
        <v>2602</v>
      </c>
      <c r="EW53" s="1075"/>
      <c r="EX53" s="1074">
        <v>0</v>
      </c>
      <c r="EY53" s="1075"/>
      <c r="EZ53" s="1074">
        <v>0</v>
      </c>
      <c r="FA53" s="1075"/>
      <c r="FB53" s="1074">
        <v>0</v>
      </c>
      <c r="FC53" s="1075"/>
      <c r="FD53" s="1074">
        <v>0</v>
      </c>
      <c r="FE53" s="1076"/>
      <c r="FF53" s="1077">
        <v>0</v>
      </c>
      <c r="FG53" s="1078"/>
      <c r="FH53" s="1079">
        <v>0</v>
      </c>
      <c r="FI53" s="970"/>
      <c r="FJ53" s="1068" t="s">
        <v>430</v>
      </c>
      <c r="FK53" s="1069"/>
      <c r="FL53" s="1070"/>
      <c r="FM53" s="1070"/>
      <c r="FN53" s="1071"/>
      <c r="FO53" s="1072"/>
      <c r="FP53" s="1080"/>
      <c r="FQ53" s="1081"/>
      <c r="FR53" s="1074">
        <v>5708</v>
      </c>
      <c r="FS53" s="1082"/>
      <c r="FT53" s="1081"/>
      <c r="FU53" s="1083">
        <v>5770</v>
      </c>
      <c r="FV53" s="1084">
        <v>9</v>
      </c>
      <c r="FW53" s="1085">
        <v>3701</v>
      </c>
      <c r="FX53" s="1086">
        <v>9</v>
      </c>
      <c r="FY53" s="1085">
        <v>3756</v>
      </c>
      <c r="FZ53" s="1086">
        <v>9</v>
      </c>
      <c r="GA53" s="1085">
        <v>3471</v>
      </c>
      <c r="GB53" s="1087" t="s">
        <v>565</v>
      </c>
      <c r="GC53" s="1085">
        <v>3756</v>
      </c>
      <c r="GD53" s="1087" t="s">
        <v>352</v>
      </c>
      <c r="GE53" s="1088">
        <v>5770</v>
      </c>
      <c r="GF53" s="681"/>
      <c r="GG53" s="979"/>
      <c r="GH53" s="979"/>
      <c r="GI53" s="979"/>
      <c r="GJ53" s="942"/>
      <c r="GK53" s="414"/>
      <c r="GL53" s="1089">
        <v>10</v>
      </c>
      <c r="GM53" s="1090">
        <v>1</v>
      </c>
      <c r="GN53" s="1091">
        <v>0.92</v>
      </c>
      <c r="GO53" s="1092">
        <v>6.3</v>
      </c>
      <c r="GP53" s="1092">
        <v>10</v>
      </c>
      <c r="GQ53" s="1093">
        <v>16.3</v>
      </c>
      <c r="GR53" s="577"/>
      <c r="GS53" s="480"/>
      <c r="GT53" s="850"/>
      <c r="GU53" s="577" t="s">
        <v>596</v>
      </c>
      <c r="GV53" s="577"/>
      <c r="GW53" s="577"/>
      <c r="GX53" s="577"/>
      <c r="GY53" s="414"/>
      <c r="GZ53" s="410"/>
      <c r="HA53" s="612">
        <v>25.2</v>
      </c>
      <c r="HB53" s="576" t="s">
        <v>462</v>
      </c>
      <c r="HC53" s="792"/>
      <c r="HD53" s="416"/>
    </row>
    <row r="54" spans="1:212" ht="20.100000000000001" customHeight="1">
      <c r="A54" s="1094" t="s">
        <v>431</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69.400000000000006</v>
      </c>
      <c r="Y54" s="1102"/>
      <c r="Z54" s="1101">
        <v>63.6</v>
      </c>
      <c r="AA54" s="1102"/>
      <c r="AB54" s="1101">
        <v>65.5</v>
      </c>
      <c r="AC54" s="1102"/>
      <c r="AD54" s="1101">
        <v>66.3</v>
      </c>
      <c r="AE54" s="1102"/>
      <c r="AF54" s="1101">
        <v>66.5</v>
      </c>
      <c r="AG54" s="1102"/>
      <c r="AH54" s="1101">
        <v>66.099999999999994</v>
      </c>
      <c r="AI54" s="1102"/>
      <c r="AJ54" s="1101">
        <v>64.3</v>
      </c>
      <c r="AK54" s="1102"/>
      <c r="AL54" s="1101">
        <v>62.2</v>
      </c>
      <c r="AM54" s="1102"/>
      <c r="AN54" s="1101">
        <v>58.9</v>
      </c>
      <c r="AO54" s="1102"/>
      <c r="AP54" s="1101">
        <v>55.5</v>
      </c>
      <c r="AQ54" s="1102"/>
      <c r="AR54" s="1101">
        <v>0</v>
      </c>
      <c r="AS54" s="1102"/>
      <c r="AT54" s="1101">
        <v>0</v>
      </c>
      <c r="AU54" s="1102"/>
      <c r="AV54" s="1101">
        <v>0</v>
      </c>
      <c r="AW54" s="1102"/>
      <c r="AX54" s="1101">
        <v>0</v>
      </c>
      <c r="AY54" s="1102"/>
      <c r="AZ54" s="1101">
        <v>0</v>
      </c>
      <c r="BA54" s="1102"/>
      <c r="BB54" s="1103">
        <v>0</v>
      </c>
      <c r="BC54" s="1006"/>
      <c r="BD54" s="1094" t="s">
        <v>431</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70.5</v>
      </c>
      <c r="CB54" s="1102"/>
      <c r="CC54" s="1101">
        <v>63.8</v>
      </c>
      <c r="CD54" s="1102"/>
      <c r="CE54" s="1101">
        <v>65.2</v>
      </c>
      <c r="CF54" s="1102"/>
      <c r="CG54" s="1101">
        <v>65.3</v>
      </c>
      <c r="CH54" s="1102"/>
      <c r="CI54" s="1101">
        <v>65.2</v>
      </c>
      <c r="CJ54" s="1102"/>
      <c r="CK54" s="1101">
        <v>64.2</v>
      </c>
      <c r="CL54" s="1102"/>
      <c r="CM54" s="1101">
        <v>62.7</v>
      </c>
      <c r="CN54" s="1102"/>
      <c r="CO54" s="1101">
        <v>61</v>
      </c>
      <c r="CP54" s="1102"/>
      <c r="CQ54" s="1101">
        <v>58.6</v>
      </c>
      <c r="CR54" s="1102"/>
      <c r="CS54" s="1101">
        <v>55.3</v>
      </c>
      <c r="CT54" s="1102"/>
      <c r="CU54" s="1101">
        <v>0</v>
      </c>
      <c r="CV54" s="1102"/>
      <c r="CW54" s="1101">
        <v>0</v>
      </c>
      <c r="CX54" s="1102"/>
      <c r="CY54" s="1101">
        <v>0</v>
      </c>
      <c r="CZ54" s="1102"/>
      <c r="DA54" s="1101">
        <v>0</v>
      </c>
      <c r="DB54" s="1102"/>
      <c r="DC54" s="1101">
        <v>0</v>
      </c>
      <c r="DD54" s="1102"/>
      <c r="DE54" s="1103">
        <v>0</v>
      </c>
      <c r="DF54" s="1006"/>
      <c r="DG54" s="1094" t="s">
        <v>431</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65.099999999999994</v>
      </c>
      <c r="EE54" s="1102"/>
      <c r="EF54" s="1101">
        <v>56.5</v>
      </c>
      <c r="EG54" s="1102"/>
      <c r="EH54" s="1101">
        <v>58.5</v>
      </c>
      <c r="EI54" s="1102"/>
      <c r="EJ54" s="1101">
        <v>59.5</v>
      </c>
      <c r="EK54" s="1102"/>
      <c r="EL54" s="1101">
        <v>59.3</v>
      </c>
      <c r="EM54" s="1102"/>
      <c r="EN54" s="1101">
        <v>58.3</v>
      </c>
      <c r="EO54" s="1102"/>
      <c r="EP54" s="1101">
        <v>57</v>
      </c>
      <c r="EQ54" s="1102"/>
      <c r="ER54" s="1101">
        <v>55.3</v>
      </c>
      <c r="ES54" s="1102"/>
      <c r="ET54" s="1101">
        <v>51.9</v>
      </c>
      <c r="EU54" s="1102"/>
      <c r="EV54" s="1101">
        <v>48.8</v>
      </c>
      <c r="EW54" s="1102"/>
      <c r="EX54" s="1101">
        <v>0</v>
      </c>
      <c r="EY54" s="1102"/>
      <c r="EZ54" s="1101">
        <v>0</v>
      </c>
      <c r="FA54" s="1102"/>
      <c r="FB54" s="1101">
        <v>0</v>
      </c>
      <c r="FC54" s="1102"/>
      <c r="FD54" s="1101">
        <v>0</v>
      </c>
      <c r="FE54" s="1102"/>
      <c r="FF54" s="1101">
        <v>0</v>
      </c>
      <c r="FG54" s="1102"/>
      <c r="FH54" s="1103">
        <v>0</v>
      </c>
      <c r="FI54" s="1006"/>
      <c r="FJ54" s="1094" t="s">
        <v>431</v>
      </c>
      <c r="FK54" s="1095"/>
      <c r="FL54" s="1096"/>
      <c r="FM54" s="1097"/>
      <c r="FN54" s="1098"/>
      <c r="FO54" s="1099"/>
      <c r="FP54" s="1104"/>
      <c r="FQ54" s="1102"/>
      <c r="FR54" s="1101">
        <v>107.1</v>
      </c>
      <c r="FS54" s="1105"/>
      <c r="FT54" s="1102"/>
      <c r="FU54" s="1106">
        <v>108.3</v>
      </c>
      <c r="FV54" s="1105"/>
      <c r="FW54" s="1101">
        <f>IF(面積=0,0,ROUND(FW53/面積,1))</f>
        <v>69.400000000000006</v>
      </c>
      <c r="FX54" s="1105"/>
      <c r="FY54" s="1101">
        <f>IF(面積=0,0,ROUND(FY53/面積,1))</f>
        <v>70.5</v>
      </c>
      <c r="FZ54" s="1105"/>
      <c r="GA54" s="1101">
        <f>IF(面積=0,0,ROUND(GA53/面積,1))</f>
        <v>65.099999999999994</v>
      </c>
      <c r="GB54" s="1105"/>
      <c r="GC54" s="1101">
        <f>IF(面積=0,0,ROUND(GC53/面積,1))</f>
        <v>70.5</v>
      </c>
      <c r="GD54" s="1105"/>
      <c r="GE54" s="1103">
        <f>IF(面積=0,0,ROUND(GE53/面積,1))</f>
        <v>108.3</v>
      </c>
      <c r="GF54" s="681"/>
      <c r="GG54" s="926"/>
      <c r="GH54" s="926"/>
      <c r="GI54" s="926"/>
      <c r="GJ54" s="577"/>
      <c r="GK54" s="576"/>
      <c r="GL54" s="1089">
        <v>11</v>
      </c>
      <c r="GM54" s="1090">
        <v>2</v>
      </c>
      <c r="GN54" s="1091">
        <v>0.85</v>
      </c>
      <c r="GO54" s="1092">
        <v>5.9</v>
      </c>
      <c r="GP54" s="1092">
        <v>10</v>
      </c>
      <c r="GQ54" s="1093">
        <v>15.9</v>
      </c>
      <c r="GR54" s="527"/>
      <c r="GS54" s="577"/>
      <c r="GT54" s="850"/>
      <c r="GU54" s="1107" t="s">
        <v>510</v>
      </c>
      <c r="GV54" s="1107"/>
      <c r="GW54" s="1107"/>
      <c r="GX54" s="1107"/>
      <c r="GY54" s="768"/>
      <c r="GZ54" s="1108"/>
      <c r="HA54" s="1109">
        <v>55</v>
      </c>
      <c r="HB54" s="1110" t="s">
        <v>462</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5.4</v>
      </c>
      <c r="GP55" s="1092">
        <v>10</v>
      </c>
      <c r="GQ55" s="1093">
        <v>15.4</v>
      </c>
      <c r="GR55" s="527"/>
      <c r="GS55" s="527"/>
      <c r="GT55" s="1115"/>
      <c r="GU55" s="1116"/>
      <c r="GV55" s="576"/>
      <c r="GW55" s="527"/>
      <c r="GX55" s="576"/>
      <c r="GY55" s="392"/>
      <c r="GZ55" s="526"/>
      <c r="HA55" s="577"/>
      <c r="HB55" s="526"/>
      <c r="HC55" s="392"/>
      <c r="HD55" s="388"/>
    </row>
    <row r="56" spans="1:212" ht="20.100000000000001" customHeight="1">
      <c r="A56" s="1117" t="s">
        <v>329</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329</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329</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330</v>
      </c>
      <c r="FK56" s="1118"/>
      <c r="FL56" s="1118"/>
      <c r="FM56" s="1118"/>
      <c r="FN56" s="1119"/>
      <c r="FO56" s="1119"/>
      <c r="FP56" s="1125" t="s">
        <v>339</v>
      </c>
      <c r="FQ56" s="1126"/>
      <c r="FR56" s="1127"/>
      <c r="FS56" s="1128" t="s">
        <v>291</v>
      </c>
      <c r="FT56" s="1129"/>
      <c r="FU56" s="1130"/>
      <c r="FV56" s="1131" t="s">
        <v>331</v>
      </c>
      <c r="FW56" s="1132"/>
      <c r="FX56" s="1133" t="s">
        <v>332</v>
      </c>
      <c r="FY56" s="1134"/>
      <c r="FZ56" s="1135" t="s">
        <v>333</v>
      </c>
      <c r="GA56" s="1136"/>
      <c r="GB56" s="1137" t="s">
        <v>334</v>
      </c>
      <c r="GC56" s="1122"/>
      <c r="GD56" s="1137" t="s">
        <v>335</v>
      </c>
      <c r="GE56" s="1124"/>
      <c r="GF56" s="681"/>
      <c r="GG56" s="480"/>
      <c r="GH56" s="480"/>
      <c r="GI56" s="480"/>
      <c r="GJ56" s="527"/>
      <c r="GK56" s="576"/>
      <c r="GL56" s="1089">
        <v>13</v>
      </c>
      <c r="GM56" s="1090">
        <v>4</v>
      </c>
      <c r="GN56" s="1091">
        <v>0.72</v>
      </c>
      <c r="GO56" s="1092">
        <v>5</v>
      </c>
      <c r="GP56" s="1092">
        <v>10</v>
      </c>
      <c r="GQ56" s="1093">
        <v>15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336</v>
      </c>
      <c r="H57" s="1143" t="s">
        <v>315</v>
      </c>
      <c r="I57" s="1144" t="s">
        <v>336</v>
      </c>
      <c r="J57" s="1143" t="s">
        <v>315</v>
      </c>
      <c r="K57" s="1144" t="s">
        <v>336</v>
      </c>
      <c r="L57" s="1143" t="s">
        <v>315</v>
      </c>
      <c r="M57" s="1144" t="s">
        <v>336</v>
      </c>
      <c r="N57" s="1143" t="s">
        <v>315</v>
      </c>
      <c r="O57" s="1144" t="s">
        <v>336</v>
      </c>
      <c r="P57" s="1143" t="s">
        <v>315</v>
      </c>
      <c r="Q57" s="1144" t="s">
        <v>336</v>
      </c>
      <c r="R57" s="1143" t="s">
        <v>315</v>
      </c>
      <c r="S57" s="1144" t="s">
        <v>336</v>
      </c>
      <c r="T57" s="1143" t="s">
        <v>315</v>
      </c>
      <c r="U57" s="1144" t="s">
        <v>336</v>
      </c>
      <c r="V57" s="1143" t="s">
        <v>315</v>
      </c>
      <c r="W57" s="1144" t="s">
        <v>336</v>
      </c>
      <c r="X57" s="1143" t="s">
        <v>315</v>
      </c>
      <c r="Y57" s="1144" t="s">
        <v>336</v>
      </c>
      <c r="Z57" s="1143" t="s">
        <v>315</v>
      </c>
      <c r="AA57" s="1144" t="s">
        <v>336</v>
      </c>
      <c r="AB57" s="1143" t="s">
        <v>315</v>
      </c>
      <c r="AC57" s="1144" t="s">
        <v>336</v>
      </c>
      <c r="AD57" s="1143" t="s">
        <v>336</v>
      </c>
      <c r="AE57" s="1144" t="s">
        <v>336</v>
      </c>
      <c r="AF57" s="1143" t="s">
        <v>315</v>
      </c>
      <c r="AG57" s="1144" t="s">
        <v>336</v>
      </c>
      <c r="AH57" s="1143" t="s">
        <v>315</v>
      </c>
      <c r="AI57" s="1144" t="s">
        <v>336</v>
      </c>
      <c r="AJ57" s="1143" t="s">
        <v>315</v>
      </c>
      <c r="AK57" s="1144" t="s">
        <v>336</v>
      </c>
      <c r="AL57" s="1143" t="s">
        <v>315</v>
      </c>
      <c r="AM57" s="1144" t="s">
        <v>336</v>
      </c>
      <c r="AN57" s="1143" t="s">
        <v>315</v>
      </c>
      <c r="AO57" s="1144" t="s">
        <v>336</v>
      </c>
      <c r="AP57" s="1143" t="s">
        <v>315</v>
      </c>
      <c r="AQ57" s="1144" t="s">
        <v>336</v>
      </c>
      <c r="AR57" s="1143" t="s">
        <v>315</v>
      </c>
      <c r="AS57" s="1144" t="s">
        <v>336</v>
      </c>
      <c r="AT57" s="1143" t="s">
        <v>315</v>
      </c>
      <c r="AU57" s="1144" t="s">
        <v>336</v>
      </c>
      <c r="AV57" s="1143" t="s">
        <v>315</v>
      </c>
      <c r="AW57" s="1144" t="s">
        <v>336</v>
      </c>
      <c r="AX57" s="1143" t="s">
        <v>315</v>
      </c>
      <c r="AY57" s="1144" t="s">
        <v>336</v>
      </c>
      <c r="AZ57" s="1143" t="s">
        <v>315</v>
      </c>
      <c r="BA57" s="1145" t="s">
        <v>336</v>
      </c>
      <c r="BB57" s="1146" t="s">
        <v>315</v>
      </c>
      <c r="BC57" s="1041"/>
      <c r="BD57" s="1138"/>
      <c r="BE57" s="1139"/>
      <c r="BF57" s="1139"/>
      <c r="BG57" s="1139"/>
      <c r="BH57" s="1140"/>
      <c r="BI57" s="1141"/>
      <c r="BJ57" s="1142" t="s">
        <v>336</v>
      </c>
      <c r="BK57" s="1143" t="s">
        <v>315</v>
      </c>
      <c r="BL57" s="1144" t="s">
        <v>336</v>
      </c>
      <c r="BM57" s="1143" t="s">
        <v>315</v>
      </c>
      <c r="BN57" s="1144" t="s">
        <v>336</v>
      </c>
      <c r="BO57" s="1143" t="s">
        <v>315</v>
      </c>
      <c r="BP57" s="1144" t="s">
        <v>336</v>
      </c>
      <c r="BQ57" s="1143" t="s">
        <v>315</v>
      </c>
      <c r="BR57" s="1144" t="s">
        <v>336</v>
      </c>
      <c r="BS57" s="1143" t="s">
        <v>315</v>
      </c>
      <c r="BT57" s="1144" t="s">
        <v>336</v>
      </c>
      <c r="BU57" s="1143" t="s">
        <v>315</v>
      </c>
      <c r="BV57" s="1144" t="s">
        <v>336</v>
      </c>
      <c r="BW57" s="1143" t="s">
        <v>315</v>
      </c>
      <c r="BX57" s="1144" t="s">
        <v>336</v>
      </c>
      <c r="BY57" s="1143" t="s">
        <v>315</v>
      </c>
      <c r="BZ57" s="1144" t="s">
        <v>336</v>
      </c>
      <c r="CA57" s="1143" t="s">
        <v>315</v>
      </c>
      <c r="CB57" s="1144" t="s">
        <v>336</v>
      </c>
      <c r="CC57" s="1143" t="s">
        <v>315</v>
      </c>
      <c r="CD57" s="1144" t="s">
        <v>336</v>
      </c>
      <c r="CE57" s="1143" t="s">
        <v>315</v>
      </c>
      <c r="CF57" s="1144" t="s">
        <v>336</v>
      </c>
      <c r="CG57" s="1143" t="s">
        <v>336</v>
      </c>
      <c r="CH57" s="1144" t="s">
        <v>336</v>
      </c>
      <c r="CI57" s="1143" t="s">
        <v>315</v>
      </c>
      <c r="CJ57" s="1144" t="s">
        <v>336</v>
      </c>
      <c r="CK57" s="1143" t="s">
        <v>315</v>
      </c>
      <c r="CL57" s="1144" t="s">
        <v>336</v>
      </c>
      <c r="CM57" s="1143" t="s">
        <v>315</v>
      </c>
      <c r="CN57" s="1144" t="s">
        <v>336</v>
      </c>
      <c r="CO57" s="1143" t="s">
        <v>315</v>
      </c>
      <c r="CP57" s="1144" t="s">
        <v>336</v>
      </c>
      <c r="CQ57" s="1143" t="s">
        <v>315</v>
      </c>
      <c r="CR57" s="1144" t="s">
        <v>336</v>
      </c>
      <c r="CS57" s="1143" t="s">
        <v>315</v>
      </c>
      <c r="CT57" s="1144" t="s">
        <v>336</v>
      </c>
      <c r="CU57" s="1143" t="s">
        <v>315</v>
      </c>
      <c r="CV57" s="1144" t="s">
        <v>336</v>
      </c>
      <c r="CW57" s="1143" t="s">
        <v>315</v>
      </c>
      <c r="CX57" s="1144" t="s">
        <v>336</v>
      </c>
      <c r="CY57" s="1143" t="s">
        <v>315</v>
      </c>
      <c r="CZ57" s="1144" t="s">
        <v>336</v>
      </c>
      <c r="DA57" s="1143" t="s">
        <v>315</v>
      </c>
      <c r="DB57" s="1144" t="s">
        <v>336</v>
      </c>
      <c r="DC57" s="1143" t="s">
        <v>315</v>
      </c>
      <c r="DD57" s="1145" t="s">
        <v>336</v>
      </c>
      <c r="DE57" s="1146" t="s">
        <v>315</v>
      </c>
      <c r="DF57" s="1041"/>
      <c r="DG57" s="1138"/>
      <c r="DH57" s="1139"/>
      <c r="DI57" s="1139"/>
      <c r="DJ57" s="1139"/>
      <c r="DK57" s="1140"/>
      <c r="DL57" s="1141"/>
      <c r="DM57" s="1142" t="s">
        <v>336</v>
      </c>
      <c r="DN57" s="1143" t="s">
        <v>315</v>
      </c>
      <c r="DO57" s="1144" t="s">
        <v>336</v>
      </c>
      <c r="DP57" s="1143" t="s">
        <v>315</v>
      </c>
      <c r="DQ57" s="1144" t="s">
        <v>336</v>
      </c>
      <c r="DR57" s="1143" t="s">
        <v>315</v>
      </c>
      <c r="DS57" s="1144" t="s">
        <v>336</v>
      </c>
      <c r="DT57" s="1143" t="s">
        <v>315</v>
      </c>
      <c r="DU57" s="1144" t="s">
        <v>336</v>
      </c>
      <c r="DV57" s="1143" t="s">
        <v>315</v>
      </c>
      <c r="DW57" s="1144" t="s">
        <v>336</v>
      </c>
      <c r="DX57" s="1143" t="s">
        <v>315</v>
      </c>
      <c r="DY57" s="1144" t="s">
        <v>336</v>
      </c>
      <c r="DZ57" s="1143" t="s">
        <v>315</v>
      </c>
      <c r="EA57" s="1144" t="s">
        <v>336</v>
      </c>
      <c r="EB57" s="1143" t="s">
        <v>315</v>
      </c>
      <c r="EC57" s="1144" t="s">
        <v>336</v>
      </c>
      <c r="ED57" s="1143" t="s">
        <v>315</v>
      </c>
      <c r="EE57" s="1144" t="s">
        <v>336</v>
      </c>
      <c r="EF57" s="1143" t="s">
        <v>315</v>
      </c>
      <c r="EG57" s="1144" t="s">
        <v>336</v>
      </c>
      <c r="EH57" s="1143" t="s">
        <v>315</v>
      </c>
      <c r="EI57" s="1144" t="s">
        <v>336</v>
      </c>
      <c r="EJ57" s="1143" t="s">
        <v>336</v>
      </c>
      <c r="EK57" s="1144" t="s">
        <v>336</v>
      </c>
      <c r="EL57" s="1143" t="s">
        <v>315</v>
      </c>
      <c r="EM57" s="1144" t="s">
        <v>336</v>
      </c>
      <c r="EN57" s="1143" t="s">
        <v>315</v>
      </c>
      <c r="EO57" s="1144" t="s">
        <v>336</v>
      </c>
      <c r="EP57" s="1143" t="s">
        <v>315</v>
      </c>
      <c r="EQ57" s="1144" t="s">
        <v>336</v>
      </c>
      <c r="ER57" s="1143" t="s">
        <v>315</v>
      </c>
      <c r="ES57" s="1144" t="s">
        <v>336</v>
      </c>
      <c r="ET57" s="1143" t="s">
        <v>315</v>
      </c>
      <c r="EU57" s="1144" t="s">
        <v>336</v>
      </c>
      <c r="EV57" s="1143" t="s">
        <v>315</v>
      </c>
      <c r="EW57" s="1144" t="s">
        <v>336</v>
      </c>
      <c r="EX57" s="1143" t="s">
        <v>315</v>
      </c>
      <c r="EY57" s="1144" t="s">
        <v>336</v>
      </c>
      <c r="EZ57" s="1143" t="s">
        <v>315</v>
      </c>
      <c r="FA57" s="1144" t="s">
        <v>336</v>
      </c>
      <c r="FB57" s="1143" t="s">
        <v>315</v>
      </c>
      <c r="FC57" s="1144" t="s">
        <v>336</v>
      </c>
      <c r="FD57" s="1143" t="s">
        <v>315</v>
      </c>
      <c r="FE57" s="1144" t="s">
        <v>336</v>
      </c>
      <c r="FF57" s="1143" t="s">
        <v>315</v>
      </c>
      <c r="FG57" s="1145" t="s">
        <v>336</v>
      </c>
      <c r="FH57" s="1146" t="s">
        <v>315</v>
      </c>
      <c r="FI57" s="1041"/>
      <c r="FJ57" s="1138"/>
      <c r="FK57" s="1139"/>
      <c r="FL57" s="1139"/>
      <c r="FM57" s="1139"/>
      <c r="FN57" s="1140"/>
      <c r="FO57" s="1141"/>
      <c r="FP57" s="1147" t="s">
        <v>46</v>
      </c>
      <c r="FQ57" s="1145" t="s">
        <v>336</v>
      </c>
      <c r="FR57" s="1143" t="s">
        <v>316</v>
      </c>
      <c r="FS57" s="1148" t="s">
        <v>46</v>
      </c>
      <c r="FT57" s="1145" t="s">
        <v>336</v>
      </c>
      <c r="FU57" s="1149" t="s">
        <v>316</v>
      </c>
      <c r="FV57" s="1150" t="s">
        <v>46</v>
      </c>
      <c r="FW57" s="1143" t="s">
        <v>315</v>
      </c>
      <c r="FX57" s="1148" t="s">
        <v>46</v>
      </c>
      <c r="FY57" s="1143" t="s">
        <v>315</v>
      </c>
      <c r="FZ57" s="1148" t="s">
        <v>46</v>
      </c>
      <c r="GA57" s="1143" t="s">
        <v>315</v>
      </c>
      <c r="GB57" s="1148" t="s">
        <v>46</v>
      </c>
      <c r="GC57" s="1143" t="s">
        <v>315</v>
      </c>
      <c r="GD57" s="1148" t="s">
        <v>46</v>
      </c>
      <c r="GE57" s="1146" t="s">
        <v>316</v>
      </c>
      <c r="GF57" s="681"/>
      <c r="GG57" s="652"/>
      <c r="GH57" s="652"/>
      <c r="GI57" s="652"/>
      <c r="GJ57" s="942"/>
      <c r="GK57" s="410"/>
      <c r="GL57" s="1113">
        <v>14</v>
      </c>
      <c r="GM57" s="1114">
        <v>5</v>
      </c>
      <c r="GN57" s="1091">
        <v>0.66</v>
      </c>
      <c r="GO57" s="1092">
        <v>4.5999999999999996</v>
      </c>
      <c r="GP57" s="1092">
        <v>10</v>
      </c>
      <c r="GQ57" s="1093">
        <v>14.6</v>
      </c>
      <c r="GR57" s="942"/>
      <c r="GS57" s="526"/>
      <c r="GT57" s="1253"/>
      <c r="GU57" s="575"/>
      <c r="GV57" s="575"/>
      <c r="GW57" s="497"/>
      <c r="GX57" s="1256"/>
      <c r="GY57" s="576"/>
      <c r="GZ57" s="497"/>
      <c r="HA57" s="575"/>
      <c r="HB57" s="497"/>
      <c r="HC57" s="1041"/>
    </row>
    <row r="58" spans="1:212" ht="20.100000000000001" customHeight="1">
      <c r="A58" s="1151" t="s">
        <v>705</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110</v>
      </c>
      <c r="Y58" s="1157"/>
      <c r="Z58" s="1156">
        <v>110</v>
      </c>
      <c r="AA58" s="1157"/>
      <c r="AB58" s="1156">
        <v>110</v>
      </c>
      <c r="AC58" s="1157"/>
      <c r="AD58" s="1156">
        <v>110</v>
      </c>
      <c r="AE58" s="1157"/>
      <c r="AF58" s="1156">
        <v>110</v>
      </c>
      <c r="AG58" s="1157"/>
      <c r="AH58" s="1156">
        <v>110</v>
      </c>
      <c r="AI58" s="1157"/>
      <c r="AJ58" s="1156">
        <v>110</v>
      </c>
      <c r="AK58" s="1157"/>
      <c r="AL58" s="1156">
        <v>110</v>
      </c>
      <c r="AM58" s="1157"/>
      <c r="AN58" s="1156">
        <v>110</v>
      </c>
      <c r="AO58" s="1157"/>
      <c r="AP58" s="1156">
        <v>110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110</v>
      </c>
      <c r="CB58" s="1157"/>
      <c r="CC58" s="1156">
        <v>110</v>
      </c>
      <c r="CD58" s="1157"/>
      <c r="CE58" s="1156">
        <v>110</v>
      </c>
      <c r="CF58" s="1157"/>
      <c r="CG58" s="1156">
        <v>110</v>
      </c>
      <c r="CH58" s="1157"/>
      <c r="CI58" s="1156">
        <v>110</v>
      </c>
      <c r="CJ58" s="1157"/>
      <c r="CK58" s="1156">
        <v>110</v>
      </c>
      <c r="CL58" s="1157"/>
      <c r="CM58" s="1156">
        <v>110</v>
      </c>
      <c r="CN58" s="1157"/>
      <c r="CO58" s="1156">
        <v>110</v>
      </c>
      <c r="CP58" s="1157"/>
      <c r="CQ58" s="1156">
        <v>110</v>
      </c>
      <c r="CR58" s="1157"/>
      <c r="CS58" s="1156">
        <v>110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110</v>
      </c>
      <c r="EE58" s="1157"/>
      <c r="EF58" s="1156">
        <v>110</v>
      </c>
      <c r="EG58" s="1157"/>
      <c r="EH58" s="1156">
        <v>110</v>
      </c>
      <c r="EI58" s="1157"/>
      <c r="EJ58" s="1156">
        <v>110</v>
      </c>
      <c r="EK58" s="1157"/>
      <c r="EL58" s="1156">
        <v>110</v>
      </c>
      <c r="EM58" s="1157"/>
      <c r="EN58" s="1156">
        <v>110</v>
      </c>
      <c r="EO58" s="1157"/>
      <c r="EP58" s="1156">
        <v>110</v>
      </c>
      <c r="EQ58" s="1157"/>
      <c r="ER58" s="1156">
        <v>110</v>
      </c>
      <c r="ES58" s="1157"/>
      <c r="ET58" s="1156">
        <v>110</v>
      </c>
      <c r="EU58" s="1157"/>
      <c r="EV58" s="1156">
        <v>110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110</v>
      </c>
      <c r="FS58" s="1160"/>
      <c r="FT58" s="1159"/>
      <c r="FU58" s="1161">
        <v>110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4.2</v>
      </c>
      <c r="GP58" s="1092">
        <v>10</v>
      </c>
      <c r="GQ58" s="1093">
        <v>14.2</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26.6</v>
      </c>
      <c r="X59" s="584">
        <v>975</v>
      </c>
      <c r="Y59" s="1173">
        <v>27.5</v>
      </c>
      <c r="Z59" s="584">
        <v>1008</v>
      </c>
      <c r="AA59" s="1173">
        <v>27.8</v>
      </c>
      <c r="AB59" s="584">
        <v>1019</v>
      </c>
      <c r="AC59" s="1173">
        <v>29.1</v>
      </c>
      <c r="AD59" s="584">
        <v>1067</v>
      </c>
      <c r="AE59" s="1173">
        <v>28.7</v>
      </c>
      <c r="AF59" s="584">
        <v>1052</v>
      </c>
      <c r="AG59" s="1173">
        <v>28</v>
      </c>
      <c r="AH59" s="584">
        <v>1027</v>
      </c>
      <c r="AI59" s="1173">
        <v>28</v>
      </c>
      <c r="AJ59" s="584">
        <v>1027</v>
      </c>
      <c r="AK59" s="1173">
        <v>27.7</v>
      </c>
      <c r="AL59" s="584">
        <v>1016</v>
      </c>
      <c r="AM59" s="1173">
        <v>27</v>
      </c>
      <c r="AN59" s="584">
        <v>990</v>
      </c>
      <c r="AO59" s="1173">
        <v>26.3</v>
      </c>
      <c r="AP59" s="584">
        <v>964</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21.5</v>
      </c>
      <c r="CA59" s="584">
        <v>788</v>
      </c>
      <c r="CB59" s="1173">
        <v>22.3</v>
      </c>
      <c r="CC59" s="584">
        <v>818</v>
      </c>
      <c r="CD59" s="1173">
        <v>23.2</v>
      </c>
      <c r="CE59" s="584">
        <v>851</v>
      </c>
      <c r="CF59" s="1173">
        <v>23.9</v>
      </c>
      <c r="CG59" s="584">
        <v>876</v>
      </c>
      <c r="CH59" s="1173">
        <v>24.3</v>
      </c>
      <c r="CI59" s="584">
        <v>891</v>
      </c>
      <c r="CJ59" s="1173">
        <v>23.6</v>
      </c>
      <c r="CK59" s="584">
        <v>865</v>
      </c>
      <c r="CL59" s="1173">
        <v>23.4</v>
      </c>
      <c r="CM59" s="584">
        <v>858</v>
      </c>
      <c r="CN59" s="1173">
        <v>23.2</v>
      </c>
      <c r="CO59" s="584">
        <v>851</v>
      </c>
      <c r="CP59" s="1173">
        <v>23.2</v>
      </c>
      <c r="CQ59" s="584">
        <v>851</v>
      </c>
      <c r="CR59" s="1173">
        <v>22.5</v>
      </c>
      <c r="CS59" s="584">
        <v>825</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12.7</v>
      </c>
      <c r="ED59" s="584">
        <v>466</v>
      </c>
      <c r="EE59" s="1173">
        <v>13.8</v>
      </c>
      <c r="EF59" s="584">
        <v>506</v>
      </c>
      <c r="EG59" s="1173">
        <v>13.9</v>
      </c>
      <c r="EH59" s="584">
        <v>510</v>
      </c>
      <c r="EI59" s="1173">
        <v>14.3</v>
      </c>
      <c r="EJ59" s="584">
        <v>524</v>
      </c>
      <c r="EK59" s="1173">
        <v>14</v>
      </c>
      <c r="EL59" s="584">
        <v>513</v>
      </c>
      <c r="EM59" s="1173">
        <v>13.5</v>
      </c>
      <c r="EN59" s="584">
        <v>495</v>
      </c>
      <c r="EO59" s="1173">
        <v>13.3</v>
      </c>
      <c r="EP59" s="584">
        <v>488</v>
      </c>
      <c r="EQ59" s="1173">
        <v>13.4</v>
      </c>
      <c r="ER59" s="584">
        <v>491</v>
      </c>
      <c r="ES59" s="1173">
        <v>12.9</v>
      </c>
      <c r="ET59" s="584">
        <v>473</v>
      </c>
      <c r="EU59" s="1173">
        <v>13.4</v>
      </c>
      <c r="EV59" s="584">
        <v>491</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33.1</v>
      </c>
      <c r="FR59" s="1175">
        <v>1214</v>
      </c>
      <c r="FS59" s="1176">
        <v>9</v>
      </c>
      <c r="FT59" s="1174">
        <v>29.4</v>
      </c>
      <c r="FU59" s="1177">
        <v>1078</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3.9</v>
      </c>
      <c r="GP59" s="1092">
        <v>10</v>
      </c>
      <c r="GQ59" s="1093">
        <v>13.9</v>
      </c>
      <c r="GR59" s="882"/>
      <c r="GS59" s="392"/>
      <c r="GT59" s="1255"/>
      <c r="GU59" s="576"/>
      <c r="GV59" s="497"/>
      <c r="GW59" s="497"/>
      <c r="GX59" s="1256"/>
      <c r="GY59" s="1254"/>
      <c r="GZ59" s="576"/>
      <c r="HA59" s="575"/>
      <c r="HB59" s="497"/>
      <c r="HC59" s="1167"/>
      <c r="HD59" s="1183"/>
    </row>
    <row r="60" spans="1:212" ht="20.100000000000001" customHeight="1">
      <c r="A60" s="1168" t="s">
        <v>664</v>
      </c>
      <c r="B60" s="1169"/>
      <c r="C60" s="1169"/>
      <c r="D60" s="1184"/>
      <c r="E60" s="1184"/>
      <c r="F60" s="1185">
        <v>1</v>
      </c>
      <c r="G60" s="581"/>
      <c r="H60" s="582"/>
      <c r="I60" s="585"/>
      <c r="J60" s="584"/>
      <c r="K60" s="585"/>
      <c r="L60" s="584"/>
      <c r="M60" s="585"/>
      <c r="N60" s="584"/>
      <c r="O60" s="585"/>
      <c r="P60" s="584"/>
      <c r="Q60" s="585"/>
      <c r="R60" s="584"/>
      <c r="S60" s="585"/>
      <c r="T60" s="584"/>
      <c r="U60" s="585"/>
      <c r="V60" s="584"/>
      <c r="W60" s="585"/>
      <c r="X60" s="584">
        <v>55</v>
      </c>
      <c r="Y60" s="585"/>
      <c r="Z60" s="584">
        <v>365</v>
      </c>
      <c r="AA60" s="585"/>
      <c r="AB60" s="584">
        <v>265</v>
      </c>
      <c r="AC60" s="585"/>
      <c r="AD60" s="584">
        <v>222</v>
      </c>
      <c r="AE60" s="585"/>
      <c r="AF60" s="584">
        <v>211</v>
      </c>
      <c r="AG60" s="585"/>
      <c r="AH60" s="584">
        <v>233</v>
      </c>
      <c r="AI60" s="585"/>
      <c r="AJ60" s="584">
        <v>327</v>
      </c>
      <c r="AK60" s="585"/>
      <c r="AL60" s="584">
        <v>443</v>
      </c>
      <c r="AM60" s="585"/>
      <c r="AN60" s="584">
        <v>617</v>
      </c>
      <c r="AO60" s="585"/>
      <c r="AP60" s="584">
        <v>800</v>
      </c>
      <c r="AQ60" s="585"/>
      <c r="AR60" s="584"/>
      <c r="AS60" s="585"/>
      <c r="AT60" s="584"/>
      <c r="AU60" s="585"/>
      <c r="AV60" s="584"/>
      <c r="AW60" s="585"/>
      <c r="AX60" s="584"/>
      <c r="AY60" s="585"/>
      <c r="AZ60" s="584"/>
      <c r="BA60" s="585"/>
      <c r="BB60" s="586"/>
      <c r="BC60" s="560"/>
      <c r="BD60" s="1168" t="s">
        <v>665</v>
      </c>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357</v>
      </c>
      <c r="CD60" s="585"/>
      <c r="CE60" s="584">
        <v>282</v>
      </c>
      <c r="CF60" s="585"/>
      <c r="CG60" s="584">
        <v>277</v>
      </c>
      <c r="CH60" s="585"/>
      <c r="CI60" s="584">
        <v>283</v>
      </c>
      <c r="CJ60" s="585"/>
      <c r="CK60" s="584">
        <v>332</v>
      </c>
      <c r="CL60" s="585"/>
      <c r="CM60" s="584">
        <v>413</v>
      </c>
      <c r="CN60" s="585"/>
      <c r="CO60" s="584">
        <v>504</v>
      </c>
      <c r="CP60" s="585"/>
      <c r="CQ60" s="584">
        <v>635</v>
      </c>
      <c r="CR60" s="585"/>
      <c r="CS60" s="584">
        <v>811</v>
      </c>
      <c r="CT60" s="585"/>
      <c r="CU60" s="584"/>
      <c r="CV60" s="585"/>
      <c r="CW60" s="584"/>
      <c r="CX60" s="585"/>
      <c r="CY60" s="584"/>
      <c r="CZ60" s="585"/>
      <c r="DA60" s="584"/>
      <c r="DB60" s="585"/>
      <c r="DC60" s="584"/>
      <c r="DD60" s="585"/>
      <c r="DE60" s="586"/>
      <c r="DF60" s="559"/>
      <c r="DG60" s="1168" t="s">
        <v>665</v>
      </c>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285</v>
      </c>
      <c r="EE60" s="585"/>
      <c r="EF60" s="584">
        <v>743</v>
      </c>
      <c r="EG60" s="585"/>
      <c r="EH60" s="584">
        <v>639</v>
      </c>
      <c r="EI60" s="585"/>
      <c r="EJ60" s="584">
        <v>587</v>
      </c>
      <c r="EK60" s="585"/>
      <c r="EL60" s="584">
        <v>597</v>
      </c>
      <c r="EM60" s="585"/>
      <c r="EN60" s="584">
        <v>647</v>
      </c>
      <c r="EO60" s="585"/>
      <c r="EP60" s="584">
        <v>720</v>
      </c>
      <c r="EQ60" s="585"/>
      <c r="ER60" s="584">
        <v>811</v>
      </c>
      <c r="ES60" s="585"/>
      <c r="ET60" s="584">
        <v>989</v>
      </c>
      <c r="EU60" s="585"/>
      <c r="EV60" s="584">
        <v>1154</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3.5</v>
      </c>
      <c r="GP60" s="1092">
        <v>10</v>
      </c>
      <c r="GQ60" s="1093">
        <v>13.5</v>
      </c>
      <c r="GR60" s="392"/>
      <c r="GS60" s="480"/>
      <c r="GT60" s="1255"/>
      <c r="GU60" s="497"/>
      <c r="GV60" s="576"/>
      <c r="GW60" s="497"/>
      <c r="GX60" s="576"/>
      <c r="GY60" s="497"/>
      <c r="GZ60" s="497"/>
      <c r="HA60" s="575"/>
      <c r="HB60" s="497"/>
      <c r="HC60" s="1188"/>
      <c r="HD60" s="1027"/>
    </row>
    <row r="61" spans="1:212" ht="20.100000000000001" customHeight="1">
      <c r="A61" s="1189" t="s">
        <v>666</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4731</v>
      </c>
      <c r="Y61" s="1194"/>
      <c r="Z61" s="1195">
        <v>4764</v>
      </c>
      <c r="AA61" s="1194"/>
      <c r="AB61" s="1195">
        <v>4775</v>
      </c>
      <c r="AC61" s="1194"/>
      <c r="AD61" s="1195">
        <v>4823</v>
      </c>
      <c r="AE61" s="1194"/>
      <c r="AF61" s="1195">
        <v>4808</v>
      </c>
      <c r="AG61" s="1194"/>
      <c r="AH61" s="1195">
        <v>4783</v>
      </c>
      <c r="AI61" s="1194"/>
      <c r="AJ61" s="1195">
        <v>4783</v>
      </c>
      <c r="AK61" s="1194"/>
      <c r="AL61" s="1195">
        <v>4772</v>
      </c>
      <c r="AM61" s="1194"/>
      <c r="AN61" s="1195">
        <v>4746</v>
      </c>
      <c r="AO61" s="1194"/>
      <c r="AP61" s="1195">
        <v>4720</v>
      </c>
      <c r="AQ61" s="1194"/>
      <c r="AR61" s="1195">
        <v>0</v>
      </c>
      <c r="AS61" s="1194"/>
      <c r="AT61" s="1195">
        <v>0</v>
      </c>
      <c r="AU61" s="1194"/>
      <c r="AV61" s="1195">
        <v>0</v>
      </c>
      <c r="AW61" s="1194"/>
      <c r="AX61" s="1195">
        <v>0</v>
      </c>
      <c r="AY61" s="1194"/>
      <c r="AZ61" s="1195">
        <v>0</v>
      </c>
      <c r="BA61" s="1194"/>
      <c r="BB61" s="1196">
        <v>0</v>
      </c>
      <c r="BC61" s="560"/>
      <c r="BD61" s="1189" t="s">
        <v>666</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4544</v>
      </c>
      <c r="CB61" s="1194"/>
      <c r="CC61" s="1195">
        <v>4574</v>
      </c>
      <c r="CD61" s="1194"/>
      <c r="CE61" s="1195">
        <v>4607</v>
      </c>
      <c r="CF61" s="1194"/>
      <c r="CG61" s="1195">
        <v>4632</v>
      </c>
      <c r="CH61" s="1194"/>
      <c r="CI61" s="1195">
        <v>4647</v>
      </c>
      <c r="CJ61" s="1194"/>
      <c r="CK61" s="1195">
        <v>4621</v>
      </c>
      <c r="CL61" s="1194"/>
      <c r="CM61" s="1195">
        <v>4614</v>
      </c>
      <c r="CN61" s="1194"/>
      <c r="CO61" s="1195">
        <v>4607</v>
      </c>
      <c r="CP61" s="1194"/>
      <c r="CQ61" s="1195">
        <v>4607</v>
      </c>
      <c r="CR61" s="1194"/>
      <c r="CS61" s="1195">
        <v>4581</v>
      </c>
      <c r="CT61" s="1194"/>
      <c r="CU61" s="1195">
        <v>0</v>
      </c>
      <c r="CV61" s="1194"/>
      <c r="CW61" s="1195">
        <v>0</v>
      </c>
      <c r="CX61" s="1194"/>
      <c r="CY61" s="1195">
        <v>0</v>
      </c>
      <c r="CZ61" s="1194"/>
      <c r="DA61" s="1195">
        <v>0</v>
      </c>
      <c r="DB61" s="1194"/>
      <c r="DC61" s="1195">
        <v>0</v>
      </c>
      <c r="DD61" s="1194"/>
      <c r="DE61" s="1196">
        <v>0</v>
      </c>
      <c r="DF61" s="559"/>
      <c r="DG61" s="1189" t="s">
        <v>666</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4222</v>
      </c>
      <c r="EE61" s="1194"/>
      <c r="EF61" s="1195">
        <v>4262</v>
      </c>
      <c r="EG61" s="1194"/>
      <c r="EH61" s="1195">
        <v>4266</v>
      </c>
      <c r="EI61" s="1194"/>
      <c r="EJ61" s="1195">
        <v>4280</v>
      </c>
      <c r="EK61" s="1194"/>
      <c r="EL61" s="1195">
        <v>4269</v>
      </c>
      <c r="EM61" s="1194"/>
      <c r="EN61" s="1195">
        <v>4251</v>
      </c>
      <c r="EO61" s="1194"/>
      <c r="EP61" s="1195">
        <v>4244</v>
      </c>
      <c r="EQ61" s="1194"/>
      <c r="ER61" s="1195">
        <v>4247</v>
      </c>
      <c r="ES61" s="1194"/>
      <c r="ET61" s="1195">
        <v>4229</v>
      </c>
      <c r="EU61" s="1194"/>
      <c r="EV61" s="1195">
        <v>4247</v>
      </c>
      <c r="EW61" s="1194"/>
      <c r="EX61" s="1195">
        <v>0</v>
      </c>
      <c r="EY61" s="1194"/>
      <c r="EZ61" s="1195">
        <v>0</v>
      </c>
      <c r="FA61" s="1194"/>
      <c r="FB61" s="1195">
        <v>0</v>
      </c>
      <c r="FC61" s="1194"/>
      <c r="FD61" s="1195">
        <v>0</v>
      </c>
      <c r="FE61" s="1194"/>
      <c r="FF61" s="1195">
        <v>0</v>
      </c>
      <c r="FG61" s="1194"/>
      <c r="FH61" s="1196">
        <v>0</v>
      </c>
      <c r="FI61" s="560"/>
      <c r="FJ61" s="1189" t="s">
        <v>666</v>
      </c>
      <c r="FK61" s="1190"/>
      <c r="FL61" s="1190"/>
      <c r="FM61" s="1190"/>
      <c r="FN61" s="1190"/>
      <c r="FO61" s="1190"/>
      <c r="FP61" s="1197"/>
      <c r="FQ61" s="1198"/>
      <c r="FR61" s="1199">
        <v>6922</v>
      </c>
      <c r="FS61" s="1200"/>
      <c r="FT61" s="1198"/>
      <c r="FU61" s="1201">
        <v>6848</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3.2</v>
      </c>
      <c r="GP61" s="1092">
        <v>10</v>
      </c>
      <c r="GQ61" s="1093">
        <v>13.2</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337</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338</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337</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337</v>
      </c>
      <c r="FK63" s="1119"/>
      <c r="FL63" s="1119"/>
      <c r="FM63" s="1119"/>
      <c r="FN63" s="1119"/>
      <c r="FO63" s="1120"/>
      <c r="FP63" s="1125" t="s">
        <v>339</v>
      </c>
      <c r="FQ63" s="1126"/>
      <c r="FR63" s="1127"/>
      <c r="FS63" s="1128" t="s">
        <v>291</v>
      </c>
      <c r="FT63" s="1129"/>
      <c r="FU63" s="1130"/>
      <c r="FV63" s="1131" t="s">
        <v>331</v>
      </c>
      <c r="FW63" s="1132"/>
      <c r="FX63" s="1133" t="s">
        <v>332</v>
      </c>
      <c r="FY63" s="1134"/>
      <c r="FZ63" s="1135" t="s">
        <v>333</v>
      </c>
      <c r="GA63" s="1136"/>
      <c r="GB63" s="1137" t="s">
        <v>334</v>
      </c>
      <c r="GC63" s="1122"/>
      <c r="GD63" s="1137" t="s">
        <v>335</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340</v>
      </c>
      <c r="I64" s="1144"/>
      <c r="J64" s="1143" t="s">
        <v>340</v>
      </c>
      <c r="K64" s="1144"/>
      <c r="L64" s="1143" t="s">
        <v>340</v>
      </c>
      <c r="M64" s="1144"/>
      <c r="N64" s="1143" t="s">
        <v>340</v>
      </c>
      <c r="O64" s="1144"/>
      <c r="P64" s="1143" t="s">
        <v>340</v>
      </c>
      <c r="Q64" s="1144"/>
      <c r="R64" s="1143" t="s">
        <v>340</v>
      </c>
      <c r="S64" s="1144"/>
      <c r="T64" s="1143" t="s">
        <v>340</v>
      </c>
      <c r="U64" s="1144"/>
      <c r="V64" s="1143" t="s">
        <v>340</v>
      </c>
      <c r="W64" s="1144"/>
      <c r="X64" s="1143" t="s">
        <v>340</v>
      </c>
      <c r="Y64" s="1144"/>
      <c r="Z64" s="1143" t="s">
        <v>340</v>
      </c>
      <c r="AA64" s="1144"/>
      <c r="AB64" s="1143" t="s">
        <v>340</v>
      </c>
      <c r="AC64" s="1144"/>
      <c r="AD64" s="1143" t="s">
        <v>340</v>
      </c>
      <c r="AE64" s="1144"/>
      <c r="AF64" s="1143" t="s">
        <v>340</v>
      </c>
      <c r="AG64" s="1144"/>
      <c r="AH64" s="1143" t="s">
        <v>340</v>
      </c>
      <c r="AI64" s="1144"/>
      <c r="AJ64" s="1143" t="s">
        <v>340</v>
      </c>
      <c r="AK64" s="1144"/>
      <c r="AL64" s="1143" t="s">
        <v>340</v>
      </c>
      <c r="AM64" s="1144"/>
      <c r="AN64" s="1143" t="s">
        <v>340</v>
      </c>
      <c r="AO64" s="1144"/>
      <c r="AP64" s="1143" t="s">
        <v>340</v>
      </c>
      <c r="AQ64" s="1144"/>
      <c r="AR64" s="1143" t="s">
        <v>340</v>
      </c>
      <c r="AS64" s="1144"/>
      <c r="AT64" s="1143" t="s">
        <v>340</v>
      </c>
      <c r="AU64" s="1144"/>
      <c r="AV64" s="1143" t="s">
        <v>340</v>
      </c>
      <c r="AW64" s="1144"/>
      <c r="AX64" s="1143" t="s">
        <v>340</v>
      </c>
      <c r="AY64" s="1144"/>
      <c r="AZ64" s="1143" t="s">
        <v>340</v>
      </c>
      <c r="BA64" s="1144"/>
      <c r="BB64" s="1146" t="s">
        <v>340</v>
      </c>
      <c r="BC64" s="1041"/>
      <c r="BD64" s="1210"/>
      <c r="BE64" s="1211"/>
      <c r="BF64" s="1211"/>
      <c r="BG64" s="1211"/>
      <c r="BH64" s="1140"/>
      <c r="BI64" s="1141"/>
      <c r="BJ64" s="1142"/>
      <c r="BK64" s="1143" t="s">
        <v>340</v>
      </c>
      <c r="BL64" s="1144"/>
      <c r="BM64" s="1143" t="s">
        <v>340</v>
      </c>
      <c r="BN64" s="1144"/>
      <c r="BO64" s="1143" t="s">
        <v>340</v>
      </c>
      <c r="BP64" s="1144"/>
      <c r="BQ64" s="1143" t="s">
        <v>340</v>
      </c>
      <c r="BR64" s="1144"/>
      <c r="BS64" s="1143" t="s">
        <v>340</v>
      </c>
      <c r="BT64" s="1144"/>
      <c r="BU64" s="1143" t="s">
        <v>340</v>
      </c>
      <c r="BV64" s="1144"/>
      <c r="BW64" s="1143" t="s">
        <v>340</v>
      </c>
      <c r="BX64" s="1144"/>
      <c r="BY64" s="1143" t="s">
        <v>340</v>
      </c>
      <c r="BZ64" s="1144"/>
      <c r="CA64" s="1143" t="s">
        <v>340</v>
      </c>
      <c r="CB64" s="1144"/>
      <c r="CC64" s="1143" t="s">
        <v>340</v>
      </c>
      <c r="CD64" s="1144"/>
      <c r="CE64" s="1143" t="s">
        <v>340</v>
      </c>
      <c r="CF64" s="1144"/>
      <c r="CG64" s="1143" t="s">
        <v>340</v>
      </c>
      <c r="CH64" s="1144"/>
      <c r="CI64" s="1143" t="s">
        <v>340</v>
      </c>
      <c r="CJ64" s="1144"/>
      <c r="CK64" s="1143" t="s">
        <v>340</v>
      </c>
      <c r="CL64" s="1144"/>
      <c r="CM64" s="1143" t="s">
        <v>340</v>
      </c>
      <c r="CN64" s="1144"/>
      <c r="CO64" s="1143" t="s">
        <v>340</v>
      </c>
      <c r="CP64" s="1144"/>
      <c r="CQ64" s="1143" t="s">
        <v>340</v>
      </c>
      <c r="CR64" s="1144"/>
      <c r="CS64" s="1143" t="s">
        <v>340</v>
      </c>
      <c r="CT64" s="1144"/>
      <c r="CU64" s="1143" t="s">
        <v>340</v>
      </c>
      <c r="CV64" s="1144"/>
      <c r="CW64" s="1143" t="s">
        <v>340</v>
      </c>
      <c r="CX64" s="1144"/>
      <c r="CY64" s="1143" t="s">
        <v>340</v>
      </c>
      <c r="CZ64" s="1144"/>
      <c r="DA64" s="1143" t="s">
        <v>340</v>
      </c>
      <c r="DB64" s="1144"/>
      <c r="DC64" s="1143" t="s">
        <v>340</v>
      </c>
      <c r="DD64" s="1144"/>
      <c r="DE64" s="1146" t="s">
        <v>340</v>
      </c>
      <c r="DF64" s="1041"/>
      <c r="DG64" s="1209"/>
      <c r="DH64" s="1140"/>
      <c r="DI64" s="1140"/>
      <c r="DJ64" s="1140"/>
      <c r="DK64" s="1140"/>
      <c r="DL64" s="1141"/>
      <c r="DM64" s="1142"/>
      <c r="DN64" s="1143" t="s">
        <v>340</v>
      </c>
      <c r="DO64" s="1144"/>
      <c r="DP64" s="1143" t="s">
        <v>340</v>
      </c>
      <c r="DQ64" s="1144"/>
      <c r="DR64" s="1143" t="s">
        <v>340</v>
      </c>
      <c r="DS64" s="1144"/>
      <c r="DT64" s="1143" t="s">
        <v>340</v>
      </c>
      <c r="DU64" s="1144"/>
      <c r="DV64" s="1143" t="s">
        <v>340</v>
      </c>
      <c r="DW64" s="1144"/>
      <c r="DX64" s="1143" t="s">
        <v>340</v>
      </c>
      <c r="DY64" s="1144"/>
      <c r="DZ64" s="1143" t="s">
        <v>340</v>
      </c>
      <c r="EA64" s="1144"/>
      <c r="EB64" s="1143" t="s">
        <v>340</v>
      </c>
      <c r="EC64" s="1144"/>
      <c r="ED64" s="1143" t="s">
        <v>340</v>
      </c>
      <c r="EE64" s="1144"/>
      <c r="EF64" s="1143" t="s">
        <v>340</v>
      </c>
      <c r="EG64" s="1144"/>
      <c r="EH64" s="1143" t="s">
        <v>340</v>
      </c>
      <c r="EI64" s="1144"/>
      <c r="EJ64" s="1143" t="s">
        <v>340</v>
      </c>
      <c r="EK64" s="1144"/>
      <c r="EL64" s="1143" t="s">
        <v>340</v>
      </c>
      <c r="EM64" s="1144"/>
      <c r="EN64" s="1143" t="s">
        <v>340</v>
      </c>
      <c r="EO64" s="1144"/>
      <c r="EP64" s="1143" t="s">
        <v>340</v>
      </c>
      <c r="EQ64" s="1144"/>
      <c r="ER64" s="1143" t="s">
        <v>340</v>
      </c>
      <c r="ES64" s="1144"/>
      <c r="ET64" s="1143" t="s">
        <v>340</v>
      </c>
      <c r="EU64" s="1144"/>
      <c r="EV64" s="1143" t="s">
        <v>340</v>
      </c>
      <c r="EW64" s="1144"/>
      <c r="EX64" s="1143" t="s">
        <v>340</v>
      </c>
      <c r="EY64" s="1144"/>
      <c r="EZ64" s="1143" t="s">
        <v>340</v>
      </c>
      <c r="FA64" s="1144"/>
      <c r="FB64" s="1143" t="s">
        <v>340</v>
      </c>
      <c r="FC64" s="1144"/>
      <c r="FD64" s="1143" t="s">
        <v>340</v>
      </c>
      <c r="FE64" s="1144"/>
      <c r="FF64" s="1143" t="s">
        <v>340</v>
      </c>
      <c r="FG64" s="1144"/>
      <c r="FH64" s="1146" t="s">
        <v>340</v>
      </c>
      <c r="FI64" s="1041"/>
      <c r="FJ64" s="1209"/>
      <c r="FK64" s="1140"/>
      <c r="FL64" s="1140"/>
      <c r="FM64" s="1140"/>
      <c r="FN64" s="1140"/>
      <c r="FO64" s="1141"/>
      <c r="FP64" s="1147" t="s">
        <v>46</v>
      </c>
      <c r="FQ64" s="1145" t="s">
        <v>341</v>
      </c>
      <c r="FR64" s="1143" t="s">
        <v>340</v>
      </c>
      <c r="FS64" s="1148" t="s">
        <v>46</v>
      </c>
      <c r="FT64" s="1145" t="s">
        <v>341</v>
      </c>
      <c r="FU64" s="1149" t="s">
        <v>340</v>
      </c>
      <c r="FV64" s="1150" t="s">
        <v>46</v>
      </c>
      <c r="FW64" s="1143" t="s">
        <v>340</v>
      </c>
      <c r="FX64" s="1148" t="s">
        <v>46</v>
      </c>
      <c r="FY64" s="1143" t="s">
        <v>340</v>
      </c>
      <c r="FZ64" s="1148" t="s">
        <v>46</v>
      </c>
      <c r="GA64" s="1143" t="s">
        <v>340</v>
      </c>
      <c r="GB64" s="1148" t="s">
        <v>46</v>
      </c>
      <c r="GC64" s="1143" t="s">
        <v>340</v>
      </c>
      <c r="GD64" s="1148" t="s">
        <v>46</v>
      </c>
      <c r="GE64" s="1146" t="s">
        <v>340</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t="s">
        <v>667</v>
      </c>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2678</v>
      </c>
      <c r="Y65" s="1218"/>
      <c r="Z65" s="1217">
        <v>2678</v>
      </c>
      <c r="AA65" s="1218"/>
      <c r="AB65" s="1217">
        <v>2678</v>
      </c>
      <c r="AC65" s="1218"/>
      <c r="AD65" s="1217">
        <v>2678</v>
      </c>
      <c r="AE65" s="1218"/>
      <c r="AF65" s="1217">
        <v>2678</v>
      </c>
      <c r="AG65" s="1218"/>
      <c r="AH65" s="1217">
        <v>2678</v>
      </c>
      <c r="AI65" s="1218"/>
      <c r="AJ65" s="1217">
        <v>2678</v>
      </c>
      <c r="AK65" s="1218"/>
      <c r="AL65" s="1217">
        <v>2678</v>
      </c>
      <c r="AM65" s="1218"/>
      <c r="AN65" s="1217">
        <v>2678</v>
      </c>
      <c r="AO65" s="1218"/>
      <c r="AP65" s="1217">
        <v>2678</v>
      </c>
      <c r="AQ65" s="1218"/>
      <c r="AR65" s="1217"/>
      <c r="AS65" s="1218"/>
      <c r="AT65" s="1217"/>
      <c r="AU65" s="1218"/>
      <c r="AV65" s="1217"/>
      <c r="AW65" s="1218"/>
      <c r="AX65" s="1217"/>
      <c r="AY65" s="1218"/>
      <c r="AZ65" s="1217"/>
      <c r="BA65" s="1218"/>
      <c r="BB65" s="558"/>
      <c r="BC65" s="560"/>
      <c r="BD65" s="1151" t="s">
        <v>668</v>
      </c>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2678</v>
      </c>
      <c r="CB65" s="1218"/>
      <c r="CC65" s="1217">
        <v>2678</v>
      </c>
      <c r="CD65" s="1218"/>
      <c r="CE65" s="1217">
        <v>2678</v>
      </c>
      <c r="CF65" s="1218"/>
      <c r="CG65" s="1217">
        <v>2678</v>
      </c>
      <c r="CH65" s="1218"/>
      <c r="CI65" s="1217">
        <v>2678</v>
      </c>
      <c r="CJ65" s="1218"/>
      <c r="CK65" s="1217">
        <v>2678</v>
      </c>
      <c r="CL65" s="1218"/>
      <c r="CM65" s="1217">
        <v>2678</v>
      </c>
      <c r="CN65" s="1218"/>
      <c r="CO65" s="1217">
        <v>2678</v>
      </c>
      <c r="CP65" s="1218"/>
      <c r="CQ65" s="1217">
        <v>2678</v>
      </c>
      <c r="CR65" s="1218"/>
      <c r="CS65" s="1217">
        <v>2678</v>
      </c>
      <c r="CT65" s="1218"/>
      <c r="CU65" s="1217"/>
      <c r="CV65" s="1218"/>
      <c r="CW65" s="1217"/>
      <c r="CX65" s="1218"/>
      <c r="CY65" s="1217"/>
      <c r="CZ65" s="1218"/>
      <c r="DA65" s="1217"/>
      <c r="DB65" s="1218"/>
      <c r="DC65" s="1217"/>
      <c r="DD65" s="1218"/>
      <c r="DE65" s="558"/>
      <c r="DF65" s="559"/>
      <c r="DG65" s="1151" t="s">
        <v>668</v>
      </c>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2678</v>
      </c>
      <c r="EE65" s="1218"/>
      <c r="EF65" s="1217">
        <v>2678</v>
      </c>
      <c r="EG65" s="1218"/>
      <c r="EH65" s="1217">
        <v>2678</v>
      </c>
      <c r="EI65" s="1218"/>
      <c r="EJ65" s="1217">
        <v>2678</v>
      </c>
      <c r="EK65" s="1218"/>
      <c r="EL65" s="1217">
        <v>2678</v>
      </c>
      <c r="EM65" s="1218"/>
      <c r="EN65" s="1217">
        <v>2678</v>
      </c>
      <c r="EO65" s="1218"/>
      <c r="EP65" s="1217">
        <v>2678</v>
      </c>
      <c r="EQ65" s="1218"/>
      <c r="ER65" s="1217">
        <v>2678</v>
      </c>
      <c r="ES65" s="1218"/>
      <c r="ET65" s="1217">
        <v>2678</v>
      </c>
      <c r="EU65" s="1218"/>
      <c r="EV65" s="1217">
        <v>2678</v>
      </c>
      <c r="EW65" s="1218"/>
      <c r="EX65" s="1217"/>
      <c r="EY65" s="1218"/>
      <c r="EZ65" s="1217"/>
      <c r="FA65" s="1218"/>
      <c r="FB65" s="1217"/>
      <c r="FC65" s="1218"/>
      <c r="FD65" s="1217"/>
      <c r="FE65" s="1218"/>
      <c r="FF65" s="1217"/>
      <c r="FG65" s="1218"/>
      <c r="FH65" s="558"/>
      <c r="FI65" s="560"/>
      <c r="FJ65" s="1151" t="s">
        <v>668</v>
      </c>
      <c r="FK65" s="1152"/>
      <c r="FL65" s="1219"/>
      <c r="FM65" s="1219"/>
      <c r="FN65" s="1219"/>
      <c r="FO65" s="1214"/>
      <c r="FP65" s="1158"/>
      <c r="FQ65" s="1216"/>
      <c r="FR65" s="1156">
        <v>0</v>
      </c>
      <c r="FS65" s="1220"/>
      <c r="FT65" s="1216"/>
      <c r="FU65" s="1161">
        <v>0</v>
      </c>
      <c r="FV65" s="1220"/>
      <c r="FW65" s="1221">
        <v>2678</v>
      </c>
      <c r="FX65" s="1160"/>
      <c r="FY65" s="1221">
        <v>2678</v>
      </c>
      <c r="FZ65" s="1160"/>
      <c r="GA65" s="1221">
        <v>2678</v>
      </c>
      <c r="GB65" s="1160"/>
      <c r="GC65" s="1221">
        <v>2678</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669</v>
      </c>
      <c r="FK66" s="1190"/>
      <c r="FL66" s="1229"/>
      <c r="FM66" s="1230" t="s">
        <v>670</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342</v>
      </c>
      <c r="B68" s="1241"/>
      <c r="C68" s="1241"/>
      <c r="D68" s="1241"/>
      <c r="E68" s="814"/>
      <c r="F68" s="814"/>
      <c r="G68" s="1242" t="s">
        <v>347</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342</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342</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342</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597</v>
      </c>
    </row>
    <row r="6" spans="1:5" ht="30" customHeight="1">
      <c r="A6" s="6"/>
    </row>
    <row r="7" spans="1:5" ht="30" customHeight="1">
      <c r="A7" s="6" t="s">
        <v>598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25</v>
      </c>
    </row>
    <row r="9" spans="1:5" ht="30" customHeight="1">
      <c r="A9" s="6" t="s">
        <v>108</v>
      </c>
    </row>
    <row r="10" spans="1:5" ht="30" customHeight="1">
      <c r="A10" s="6" t="s">
        <v>109</v>
      </c>
    </row>
    <row r="11" spans="1:5" ht="30" customHeight="1">
      <c r="A11" s="6" t="s">
        <v>192</v>
      </c>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8" width="7.7109375" style="1276" customWidth="1"/>
    <col min="9" max="10" width="7.7109375" style="1276" hidden="1" customWidth="1"/>
    <col min="11" max="14" width="7.7109375" style="1276" customWidth="1"/>
    <col min="15" max="16" width="7.7109375" style="1276" hidden="1" customWidth="1"/>
    <col min="17" max="25" width="7.7109375" style="1276" customWidth="1"/>
    <col min="26" max="27" width="9.140625" style="1272"/>
    <col min="28" max="43" width="9.140625" style="1275"/>
    <col min="44" max="44" width="9.140625" style="1274"/>
    <col min="45" max="46" width="9.140625" style="1273"/>
    <col min="47" max="16384" width="9.140625" style="1272"/>
  </cols>
  <sheetData>
    <row r="1" spans="1:46" s="1398" customFormat="1" ht="24" customHeight="1" thickBot="1">
      <c r="A1" s="1410" t="s">
        <v>635</v>
      </c>
      <c r="B1" s="1409"/>
      <c r="C1" s="1408"/>
      <c r="D1" s="1407"/>
      <c r="E1" s="1406"/>
      <c r="F1" s="1405"/>
      <c r="G1" s="1405"/>
      <c r="H1" s="1406"/>
      <c r="I1" s="1406"/>
      <c r="J1" s="1406"/>
      <c r="K1" s="1405"/>
      <c r="L1" s="1405"/>
      <c r="M1" s="1404"/>
      <c r="N1" s="1405"/>
      <c r="O1" s="1406"/>
      <c r="P1" s="1406"/>
      <c r="Q1" s="1405"/>
      <c r="R1" s="1405"/>
      <c r="S1" s="1404"/>
      <c r="T1" s="1404"/>
      <c r="U1" s="1404"/>
      <c r="V1" s="1404"/>
      <c r="W1" s="1404"/>
      <c r="X1" s="1404"/>
      <c r="Y1" s="1403"/>
      <c r="AB1" s="1402" t="s">
        <v>634</v>
      </c>
      <c r="AC1" s="1401"/>
      <c r="AD1" s="1401"/>
      <c r="AE1" s="1401"/>
      <c r="AF1" s="1401"/>
      <c r="AG1" s="1401"/>
      <c r="AH1" s="1401"/>
      <c r="AI1" s="1401"/>
      <c r="AJ1" s="1401"/>
      <c r="AK1" s="1401"/>
      <c r="AL1" s="1401"/>
      <c r="AM1" s="1401"/>
      <c r="AN1" s="1401"/>
      <c r="AO1" s="1401"/>
      <c r="AP1" s="1401"/>
      <c r="AQ1" s="1401"/>
      <c r="AR1" s="1400"/>
      <c r="AS1" s="1399"/>
      <c r="AT1" s="1399"/>
    </row>
    <row r="2" spans="1:46" ht="13.5" customHeight="1">
      <c r="AB2" s="1397" t="s">
        <v>633</v>
      </c>
      <c r="AC2" s="1396"/>
      <c r="AD2" s="1396"/>
      <c r="AE2" s="1396"/>
      <c r="AF2" s="1396"/>
      <c r="AG2" s="1396"/>
      <c r="AH2" s="1396"/>
      <c r="AI2" s="1395"/>
      <c r="AJ2" s="1394" t="s">
        <v>632</v>
      </c>
      <c r="AK2" s="1394"/>
      <c r="AL2" s="1394"/>
      <c r="AM2" s="1394"/>
      <c r="AN2" s="1394"/>
      <c r="AO2" s="1394"/>
      <c r="AP2" s="1394"/>
      <c r="AQ2" s="1393"/>
      <c r="AS2" s="1392" t="s">
        <v>631</v>
      </c>
      <c r="AT2" s="1391"/>
    </row>
    <row r="3" spans="1:46" ht="13.5" customHeight="1">
      <c r="H3" s="1276" t="s">
        <v>641</v>
      </c>
      <c r="Y3" s="1390" t="s">
        <v>642</v>
      </c>
      <c r="AB3" s="1389"/>
      <c r="AC3" s="1388"/>
      <c r="AD3" s="1388"/>
      <c r="AE3" s="1388"/>
      <c r="AF3" s="1388"/>
      <c r="AG3" s="1388"/>
      <c r="AH3" s="1388"/>
      <c r="AI3" s="1387"/>
      <c r="AJ3" s="1386"/>
      <c r="AK3" s="1386"/>
      <c r="AL3" s="1386"/>
      <c r="AM3" s="1386"/>
      <c r="AN3" s="1386"/>
      <c r="AO3" s="1386"/>
      <c r="AP3" s="1386"/>
      <c r="AQ3" s="1385"/>
      <c r="AS3" s="1384"/>
      <c r="AT3" s="1383"/>
    </row>
    <row r="4" spans="1:46" ht="13.5" customHeight="1" thickBot="1">
      <c r="A4" s="1382" t="s">
        <v>368</v>
      </c>
      <c r="B4" s="1381" t="s">
        <v>354</v>
      </c>
      <c r="C4" s="1381" t="s">
        <v>630</v>
      </c>
      <c r="D4" s="1380" t="s">
        <v>629</v>
      </c>
      <c r="E4" s="1380" t="s">
        <v>628</v>
      </c>
      <c r="F4" s="1379" t="s">
        <v>627</v>
      </c>
      <c r="G4" s="1378" t="s">
        <v>636</v>
      </c>
      <c r="H4" s="1373" t="s">
        <v>626</v>
      </c>
      <c r="I4" s="1372"/>
      <c r="J4" s="1372"/>
      <c r="K4" s="1372"/>
      <c r="L4" s="1376"/>
      <c r="M4" s="1377" t="s">
        <v>625</v>
      </c>
      <c r="N4" s="1373" t="s">
        <v>624</v>
      </c>
      <c r="O4" s="1372"/>
      <c r="P4" s="1372"/>
      <c r="Q4" s="1372"/>
      <c r="R4" s="1376"/>
      <c r="S4" s="1375" t="s">
        <v>623</v>
      </c>
      <c r="T4" s="1374"/>
      <c r="U4" s="1373" t="s">
        <v>622</v>
      </c>
      <c r="V4" s="1372"/>
      <c r="W4" s="1372"/>
      <c r="X4" s="1371"/>
      <c r="Y4" s="1370" t="s">
        <v>621</v>
      </c>
      <c r="AB4" s="1369" t="s">
        <v>620</v>
      </c>
      <c r="AC4" s="1369"/>
      <c r="AD4" s="1369"/>
      <c r="AE4" s="1369"/>
      <c r="AF4" s="1368" t="s">
        <v>619</v>
      </c>
      <c r="AG4" s="1368"/>
      <c r="AH4" s="1368"/>
      <c r="AI4" s="1368"/>
      <c r="AJ4" s="1369" t="s">
        <v>620</v>
      </c>
      <c r="AK4" s="1369"/>
      <c r="AL4" s="1369"/>
      <c r="AM4" s="1369"/>
      <c r="AN4" s="1368" t="s">
        <v>619</v>
      </c>
      <c r="AO4" s="1368"/>
      <c r="AP4" s="1368"/>
      <c r="AQ4" s="1368"/>
      <c r="AS4" s="1367"/>
      <c r="AT4" s="1366"/>
    </row>
    <row r="5" spans="1:46" ht="22.5" customHeight="1">
      <c r="A5" s="1350"/>
      <c r="B5" s="1349"/>
      <c r="C5" s="1349"/>
      <c r="D5" s="1348"/>
      <c r="E5" s="1348"/>
      <c r="F5" s="1347"/>
      <c r="G5" s="1365"/>
      <c r="H5" s="1444" t="s">
        <v>640</v>
      </c>
      <c r="I5" s="1440"/>
      <c r="J5" s="1441"/>
      <c r="K5" s="1362" t="s">
        <v>618</v>
      </c>
      <c r="L5" s="1364" t="s">
        <v>617</v>
      </c>
      <c r="M5" s="1363"/>
      <c r="N5" s="1444" t="s">
        <v>640</v>
      </c>
      <c r="O5" s="1440"/>
      <c r="P5" s="1441"/>
      <c r="Q5" s="1362" t="s">
        <v>618</v>
      </c>
      <c r="R5" s="1361" t="s">
        <v>617</v>
      </c>
      <c r="S5" s="1360"/>
      <c r="T5" s="1359"/>
      <c r="U5" s="1337" t="s">
        <v>616</v>
      </c>
      <c r="V5" s="1336" t="s">
        <v>615</v>
      </c>
      <c r="W5" s="1336" t="s">
        <v>614</v>
      </c>
      <c r="X5" s="1358" t="s">
        <v>613</v>
      </c>
      <c r="Y5" s="1334"/>
      <c r="AB5" s="1355" t="s">
        <v>612</v>
      </c>
      <c r="AC5" s="1354" t="s">
        <v>611</v>
      </c>
      <c r="AD5" s="1354" t="s">
        <v>610</v>
      </c>
      <c r="AE5" s="1353" t="s">
        <v>609</v>
      </c>
      <c r="AF5" s="1357" t="s">
        <v>612</v>
      </c>
      <c r="AG5" s="1354" t="s">
        <v>611</v>
      </c>
      <c r="AH5" s="1354" t="s">
        <v>610</v>
      </c>
      <c r="AI5" s="1353" t="s">
        <v>609</v>
      </c>
      <c r="AJ5" s="1357" t="s">
        <v>612</v>
      </c>
      <c r="AK5" s="1354" t="s">
        <v>611</v>
      </c>
      <c r="AL5" s="1354" t="s">
        <v>610</v>
      </c>
      <c r="AM5" s="1356" t="s">
        <v>609</v>
      </c>
      <c r="AN5" s="1355" t="s">
        <v>612</v>
      </c>
      <c r="AO5" s="1354" t="s">
        <v>611</v>
      </c>
      <c r="AP5" s="1354" t="s">
        <v>610</v>
      </c>
      <c r="AQ5" s="1353" t="s">
        <v>609</v>
      </c>
      <c r="AS5" s="1352" t="s">
        <v>608</v>
      </c>
      <c r="AT5" s="1351" t="s">
        <v>607</v>
      </c>
    </row>
    <row r="6" spans="1:46" ht="13.5" customHeight="1">
      <c r="A6" s="1350"/>
      <c r="B6" s="1349"/>
      <c r="C6" s="1349"/>
      <c r="D6" s="1348"/>
      <c r="E6" s="1348"/>
      <c r="F6" s="1347"/>
      <c r="G6" s="1346"/>
      <c r="H6" s="1443"/>
      <c r="I6" s="1343" t="s">
        <v>606</v>
      </c>
      <c r="J6" s="1342" t="s">
        <v>605</v>
      </c>
      <c r="K6" s="1341"/>
      <c r="L6" s="1345"/>
      <c r="M6" s="1344"/>
      <c r="N6" s="1443"/>
      <c r="O6" s="1343" t="s">
        <v>606</v>
      </c>
      <c r="P6" s="1342" t="s">
        <v>605</v>
      </c>
      <c r="Q6" s="1341"/>
      <c r="R6" s="1340"/>
      <c r="S6" s="1339" t="s">
        <v>604</v>
      </c>
      <c r="T6" s="1338" t="s">
        <v>603</v>
      </c>
      <c r="U6" s="1337"/>
      <c r="V6" s="1336"/>
      <c r="W6" s="1336"/>
      <c r="X6" s="1335"/>
      <c r="Y6" s="1334"/>
      <c r="AB6" s="1331" t="s">
        <v>602</v>
      </c>
      <c r="AC6" s="1330" t="s">
        <v>601</v>
      </c>
      <c r="AD6" s="1330" t="s">
        <v>600</v>
      </c>
      <c r="AE6" s="1329" t="s">
        <v>599</v>
      </c>
      <c r="AF6" s="1333" t="s">
        <v>602</v>
      </c>
      <c r="AG6" s="1330" t="s">
        <v>601</v>
      </c>
      <c r="AH6" s="1330" t="s">
        <v>600</v>
      </c>
      <c r="AI6" s="1329" t="s">
        <v>599</v>
      </c>
      <c r="AJ6" s="1333" t="s">
        <v>602</v>
      </c>
      <c r="AK6" s="1330" t="s">
        <v>601</v>
      </c>
      <c r="AL6" s="1330" t="s">
        <v>600</v>
      </c>
      <c r="AM6" s="1332" t="s">
        <v>599</v>
      </c>
      <c r="AN6" s="1331" t="s">
        <v>602</v>
      </c>
      <c r="AO6" s="1330" t="s">
        <v>601</v>
      </c>
      <c r="AP6" s="1330" t="s">
        <v>600</v>
      </c>
      <c r="AQ6" s="1329" t="s">
        <v>599</v>
      </c>
      <c r="AS6" s="1328"/>
      <c r="AT6" s="1327"/>
    </row>
    <row r="7" spans="1:46" ht="13.5" customHeight="1">
      <c r="A7" s="1326">
        <v>2</v>
      </c>
      <c r="B7" s="1325">
        <v>201</v>
      </c>
      <c r="C7" s="1324" t="s">
        <v>343</v>
      </c>
      <c r="D7" s="1323">
        <v>54.8</v>
      </c>
      <c r="E7" s="1322">
        <v>2.8</v>
      </c>
      <c r="F7" s="1321">
        <v>153.5</v>
      </c>
      <c r="G7" s="1320" t="s">
        <v>637</v>
      </c>
      <c r="H7" s="1313">
        <v>6263</v>
      </c>
      <c r="I7" s="1312"/>
      <c r="J7" s="1310">
        <v>6263</v>
      </c>
      <c r="K7" s="1312">
        <v>318</v>
      </c>
      <c r="L7" s="1319">
        <v>6581</v>
      </c>
      <c r="M7" s="1318">
        <v>4740</v>
      </c>
      <c r="N7" s="1312">
        <v>6289</v>
      </c>
      <c r="O7" s="1312"/>
      <c r="P7" s="1310">
        <v>6289</v>
      </c>
      <c r="Q7" s="1317">
        <v>0</v>
      </c>
      <c r="R7" s="1316">
        <v>6289</v>
      </c>
      <c r="S7" s="1315">
        <v>10.17</v>
      </c>
      <c r="T7" s="1314">
        <v>8.120000000000001</v>
      </c>
      <c r="U7" s="1313">
        <v>180</v>
      </c>
      <c r="V7" s="1312">
        <v>1840</v>
      </c>
      <c r="W7" s="1311">
        <v>2310</v>
      </c>
      <c r="X7" s="1310">
        <v>2310</v>
      </c>
      <c r="Y7" s="1309">
        <v>15</v>
      </c>
      <c r="AB7" s="1275">
        <v>26</v>
      </c>
      <c r="AC7" s="1275">
        <v>50</v>
      </c>
      <c r="AD7" s="1275">
        <v>53</v>
      </c>
      <c r="AE7" s="1275">
        <v>10.5</v>
      </c>
      <c r="AF7" s="1275">
        <v>22</v>
      </c>
      <c r="AG7" s="1275">
        <v>40</v>
      </c>
      <c r="AH7" s="1275">
        <v>38.9</v>
      </c>
      <c r="AI7" s="1275">
        <v>6.6</v>
      </c>
      <c r="AJ7" s="1275">
        <v>26</v>
      </c>
      <c r="AK7" s="1275">
        <v>49</v>
      </c>
      <c r="AL7" s="1275">
        <v>52.6</v>
      </c>
      <c r="AM7" s="1275">
        <v>10.4</v>
      </c>
      <c r="AN7" s="1275">
        <v>22</v>
      </c>
      <c r="AO7" s="1275">
        <v>40</v>
      </c>
      <c r="AP7" s="1275">
        <v>38.9</v>
      </c>
      <c r="AQ7" s="1275">
        <v>6.6</v>
      </c>
      <c r="AS7" s="1273">
        <v>1836.47</v>
      </c>
      <c r="AT7" s="1273">
        <v>2310</v>
      </c>
    </row>
    <row r="8" spans="1:46" ht="13.5" customHeight="1">
      <c r="A8" s="1308">
        <v>2</v>
      </c>
      <c r="B8" s="1307">
        <v>204</v>
      </c>
      <c r="C8" s="1306" t="s">
        <v>538</v>
      </c>
      <c r="D8" s="1305">
        <v>13.2</v>
      </c>
      <c r="E8" s="1304">
        <v>2.8</v>
      </c>
      <c r="F8" s="1303">
        <v>37</v>
      </c>
      <c r="G8" s="1302" t="s">
        <v>638</v>
      </c>
      <c r="H8" s="1295">
        <v>980</v>
      </c>
      <c r="I8" s="1294"/>
      <c r="J8" s="1292">
        <v>980</v>
      </c>
      <c r="K8" s="1294">
        <v>212</v>
      </c>
      <c r="L8" s="1301">
        <v>1192</v>
      </c>
      <c r="M8" s="1300">
        <v>506</v>
      </c>
      <c r="N8" s="1294">
        <v>1850</v>
      </c>
      <c r="O8" s="1294"/>
      <c r="P8" s="1292">
        <v>1850</v>
      </c>
      <c r="Q8" s="1299">
        <v>0</v>
      </c>
      <c r="R8" s="1298">
        <v>1850</v>
      </c>
      <c r="S8" s="1297">
        <v>10.17</v>
      </c>
      <c r="T8" s="1296">
        <v>16.079999999999998</v>
      </c>
      <c r="U8" s="1295">
        <v>120</v>
      </c>
      <c r="V8" s="1294">
        <v>290</v>
      </c>
      <c r="W8" s="1293"/>
      <c r="X8" s="1292">
        <v>290</v>
      </c>
      <c r="Y8" s="1291">
        <v>7.8</v>
      </c>
      <c r="AB8" s="1275">
        <v>26</v>
      </c>
      <c r="AC8" s="1275">
        <v>50</v>
      </c>
      <c r="AD8" s="1275">
        <v>53</v>
      </c>
      <c r="AE8" s="1275">
        <v>10.5</v>
      </c>
      <c r="AF8" s="1275">
        <v>22</v>
      </c>
      <c r="AG8" s="1275">
        <v>40</v>
      </c>
      <c r="AH8" s="1275">
        <v>38.9</v>
      </c>
      <c r="AI8" s="1275">
        <v>6.6</v>
      </c>
      <c r="AJ8" s="1275">
        <v>25.9</v>
      </c>
      <c r="AK8" s="1275">
        <v>53</v>
      </c>
      <c r="AL8" s="1275">
        <v>54.3</v>
      </c>
      <c r="AM8" s="1275">
        <v>11.1</v>
      </c>
      <c r="AN8" s="1275">
        <v>19.100000000000001</v>
      </c>
      <c r="AO8" s="1275">
        <v>48</v>
      </c>
      <c r="AP8" s="1275">
        <v>35.9</v>
      </c>
      <c r="AQ8" s="1275">
        <v>6.6</v>
      </c>
      <c r="AS8" s="1273">
        <v>287.36</v>
      </c>
      <c r="AT8" s="1273">
        <v>287.36</v>
      </c>
    </row>
    <row r="9" spans="1:46" ht="13.5" customHeight="1">
      <c r="A9" s="1308">
        <v>2</v>
      </c>
      <c r="B9" s="1307">
        <v>205</v>
      </c>
      <c r="C9" s="1306" t="s">
        <v>563</v>
      </c>
      <c r="D9" s="1305">
        <v>13.2</v>
      </c>
      <c r="E9" s="1304">
        <v>2.8</v>
      </c>
      <c r="F9" s="1303">
        <v>37</v>
      </c>
      <c r="G9" s="1302" t="s">
        <v>638</v>
      </c>
      <c r="H9" s="1295">
        <v>1157</v>
      </c>
      <c r="I9" s="1294"/>
      <c r="J9" s="1292">
        <v>1157</v>
      </c>
      <c r="K9" s="1294">
        <v>212</v>
      </c>
      <c r="L9" s="1301">
        <v>1369</v>
      </c>
      <c r="M9" s="1300">
        <v>683</v>
      </c>
      <c r="N9" s="1294">
        <v>2006</v>
      </c>
      <c r="O9" s="1294"/>
      <c r="P9" s="1292">
        <v>2006</v>
      </c>
      <c r="Q9" s="1299">
        <v>0</v>
      </c>
      <c r="R9" s="1298">
        <v>2006</v>
      </c>
      <c r="S9" s="1297">
        <v>10.17</v>
      </c>
      <c r="T9" s="1296">
        <v>16.079999999999998</v>
      </c>
      <c r="U9" s="1295">
        <v>120</v>
      </c>
      <c r="V9" s="1294">
        <v>340</v>
      </c>
      <c r="W9" s="1293"/>
      <c r="X9" s="1292">
        <v>340</v>
      </c>
      <c r="Y9" s="1291">
        <v>9.1999999999999993</v>
      </c>
      <c r="AB9" s="1275">
        <v>26</v>
      </c>
      <c r="AC9" s="1275">
        <v>50</v>
      </c>
      <c r="AD9" s="1275">
        <v>53</v>
      </c>
      <c r="AE9" s="1275">
        <v>10.5</v>
      </c>
      <c r="AF9" s="1275">
        <v>22</v>
      </c>
      <c r="AG9" s="1275">
        <v>40</v>
      </c>
      <c r="AH9" s="1275">
        <v>38.9</v>
      </c>
      <c r="AI9" s="1275">
        <v>6.6</v>
      </c>
      <c r="AJ9" s="1275">
        <v>26</v>
      </c>
      <c r="AK9" s="1275">
        <v>52</v>
      </c>
      <c r="AL9" s="1275">
        <v>54.1</v>
      </c>
      <c r="AM9" s="1275">
        <v>11</v>
      </c>
      <c r="AN9" s="1275">
        <v>20.5</v>
      </c>
      <c r="AO9" s="1275">
        <v>44</v>
      </c>
      <c r="AP9" s="1275">
        <v>37.299999999999997</v>
      </c>
      <c r="AQ9" s="1275">
        <v>6.6</v>
      </c>
      <c r="AS9" s="1273">
        <v>339.26</v>
      </c>
      <c r="AT9" s="1273">
        <v>339.26</v>
      </c>
    </row>
    <row r="10" spans="1:46" ht="13.5" customHeight="1">
      <c r="A10" s="1308">
        <v>2</v>
      </c>
      <c r="B10" s="1307">
        <v>208</v>
      </c>
      <c r="C10" s="1306" t="s">
        <v>583</v>
      </c>
      <c r="D10" s="1305">
        <v>53.3</v>
      </c>
      <c r="E10" s="1304">
        <v>2.8</v>
      </c>
      <c r="F10" s="1303">
        <v>149.30000000000001</v>
      </c>
      <c r="G10" s="1302" t="s">
        <v>638</v>
      </c>
      <c r="H10" s="1295">
        <v>3620</v>
      </c>
      <c r="I10" s="1294"/>
      <c r="J10" s="1292">
        <v>3620</v>
      </c>
      <c r="K10" s="1294">
        <v>136</v>
      </c>
      <c r="L10" s="1301">
        <v>3756</v>
      </c>
      <c r="M10" s="1300">
        <v>2678</v>
      </c>
      <c r="N10" s="1294">
        <v>5770</v>
      </c>
      <c r="O10" s="1294"/>
      <c r="P10" s="1292">
        <v>5770</v>
      </c>
      <c r="Q10" s="1299">
        <v>0</v>
      </c>
      <c r="R10" s="1298">
        <v>5770</v>
      </c>
      <c r="S10" s="1297">
        <v>10.17</v>
      </c>
      <c r="T10" s="1296">
        <v>16.079999999999998</v>
      </c>
      <c r="U10" s="1295">
        <v>110</v>
      </c>
      <c r="V10" s="1294">
        <v>1070</v>
      </c>
      <c r="W10" s="1293"/>
      <c r="X10" s="1292">
        <v>1070</v>
      </c>
      <c r="Y10" s="1291">
        <v>7.2</v>
      </c>
      <c r="AB10" s="1275">
        <v>26</v>
      </c>
      <c r="AC10" s="1275">
        <v>50</v>
      </c>
      <c r="AD10" s="1275">
        <v>53</v>
      </c>
      <c r="AE10" s="1275">
        <v>10.5</v>
      </c>
      <c r="AF10" s="1275">
        <v>22</v>
      </c>
      <c r="AG10" s="1275">
        <v>40</v>
      </c>
      <c r="AH10" s="1275">
        <v>38.9</v>
      </c>
      <c r="AI10" s="1275">
        <v>6.6</v>
      </c>
      <c r="AJ10" s="1275">
        <v>26</v>
      </c>
      <c r="AK10" s="1275">
        <v>49</v>
      </c>
      <c r="AL10" s="1275">
        <v>52.5</v>
      </c>
      <c r="AM10" s="1275">
        <v>10.4</v>
      </c>
      <c r="AN10" s="1275">
        <v>22</v>
      </c>
      <c r="AO10" s="1275">
        <v>40</v>
      </c>
      <c r="AP10" s="1275">
        <v>38.9</v>
      </c>
      <c r="AQ10" s="1275">
        <v>6.6</v>
      </c>
      <c r="AS10" s="1273">
        <v>1061.48</v>
      </c>
      <c r="AT10" s="1273">
        <v>1061.48</v>
      </c>
    </row>
    <row r="11" spans="1:46" ht="13.5" customHeight="1">
      <c r="A11" s="1308"/>
      <c r="B11" s="1307"/>
      <c r="C11" s="1306"/>
      <c r="D11" s="1305"/>
      <c r="E11" s="1304"/>
      <c r="F11" s="1303"/>
      <c r="G11" s="1302"/>
      <c r="H11" s="1295"/>
      <c r="I11" s="1294"/>
      <c r="J11" s="1292"/>
      <c r="K11" s="1294"/>
      <c r="L11" s="1301"/>
      <c r="M11" s="1300"/>
      <c r="N11" s="1294"/>
      <c r="O11" s="1294"/>
      <c r="P11" s="1292"/>
      <c r="Q11" s="1299"/>
      <c r="R11" s="1298"/>
      <c r="S11" s="1297"/>
      <c r="T11" s="1296"/>
      <c r="U11" s="1295"/>
      <c r="V11" s="1294"/>
      <c r="W11" s="1293"/>
      <c r="X11" s="1292"/>
      <c r="Y11" s="1291"/>
    </row>
    <row r="12" spans="1:46" ht="13.5" customHeight="1">
      <c r="A12" s="1308"/>
      <c r="B12" s="1307"/>
      <c r="C12" s="1306"/>
      <c r="D12" s="1305"/>
      <c r="E12" s="1304"/>
      <c r="F12" s="1303"/>
      <c r="G12" s="1302"/>
      <c r="H12" s="1295"/>
      <c r="I12" s="1294"/>
      <c r="J12" s="1292"/>
      <c r="K12" s="1294"/>
      <c r="L12" s="1301"/>
      <c r="M12" s="1300"/>
      <c r="N12" s="1294"/>
      <c r="O12" s="1294"/>
      <c r="P12" s="1292"/>
      <c r="Q12" s="1299"/>
      <c r="R12" s="1298"/>
      <c r="S12" s="1297"/>
      <c r="T12" s="1296"/>
      <c r="U12" s="1295"/>
      <c r="V12" s="1294"/>
      <c r="W12" s="1293"/>
      <c r="X12" s="1292"/>
      <c r="Y12" s="1291"/>
    </row>
    <row r="13" spans="1:46" ht="13.5" customHeight="1">
      <c r="A13" s="1308"/>
      <c r="B13" s="1307"/>
      <c r="C13" s="1306"/>
      <c r="D13" s="1305"/>
      <c r="E13" s="1304"/>
      <c r="F13" s="1303"/>
      <c r="G13" s="1302"/>
      <c r="H13" s="1295"/>
      <c r="I13" s="1294"/>
      <c r="J13" s="1292"/>
      <c r="K13" s="1294"/>
      <c r="L13" s="1301"/>
      <c r="M13" s="1300"/>
      <c r="N13" s="1294"/>
      <c r="O13" s="1294"/>
      <c r="P13" s="1292"/>
      <c r="Q13" s="1299"/>
      <c r="R13" s="1298"/>
      <c r="S13" s="1297"/>
      <c r="T13" s="1296"/>
      <c r="U13" s="1295"/>
      <c r="V13" s="1294"/>
      <c r="W13" s="1293"/>
      <c r="X13" s="1292"/>
      <c r="Y13" s="1291"/>
    </row>
    <row r="14" spans="1:46" ht="13.5" customHeight="1">
      <c r="A14" s="1308"/>
      <c r="B14" s="1307"/>
      <c r="C14" s="1306"/>
      <c r="D14" s="1305"/>
      <c r="E14" s="1304"/>
      <c r="F14" s="1303"/>
      <c r="G14" s="1302"/>
      <c r="H14" s="1295"/>
      <c r="I14" s="1294"/>
      <c r="J14" s="1292"/>
      <c r="K14" s="1294"/>
      <c r="L14" s="1301"/>
      <c r="M14" s="1300"/>
      <c r="N14" s="1294"/>
      <c r="O14" s="1294"/>
      <c r="P14" s="1292"/>
      <c r="Q14" s="1299"/>
      <c r="R14" s="1298"/>
      <c r="S14" s="1297"/>
      <c r="T14" s="1296"/>
      <c r="U14" s="1295"/>
      <c r="V14" s="1294"/>
      <c r="W14" s="1293"/>
      <c r="X14" s="1292"/>
      <c r="Y14" s="1291"/>
    </row>
    <row r="15" spans="1:46" ht="13.5" customHeight="1">
      <c r="A15" s="1308"/>
      <c r="B15" s="1307"/>
      <c r="C15" s="1306"/>
      <c r="D15" s="1305"/>
      <c r="E15" s="1304"/>
      <c r="F15" s="1303"/>
      <c r="G15" s="1302"/>
      <c r="H15" s="1295"/>
      <c r="I15" s="1294"/>
      <c r="J15" s="1292"/>
      <c r="K15" s="1294"/>
      <c r="L15" s="1301"/>
      <c r="M15" s="1300"/>
      <c r="N15" s="1294"/>
      <c r="O15" s="1294"/>
      <c r="P15" s="1292"/>
      <c r="Q15" s="1299"/>
      <c r="R15" s="1298"/>
      <c r="S15" s="1297"/>
      <c r="T15" s="1296"/>
      <c r="U15" s="1295"/>
      <c r="V15" s="1294"/>
      <c r="W15" s="1293"/>
      <c r="X15" s="1292"/>
      <c r="Y15" s="1291"/>
    </row>
    <row r="16" spans="1:46" ht="13.5" customHeight="1">
      <c r="A16" s="1308"/>
      <c r="B16" s="1307"/>
      <c r="C16" s="1306"/>
      <c r="D16" s="1305"/>
      <c r="E16" s="1304"/>
      <c r="F16" s="1303"/>
      <c r="G16" s="1302"/>
      <c r="H16" s="1295"/>
      <c r="I16" s="1294"/>
      <c r="J16" s="1292"/>
      <c r="K16" s="1294"/>
      <c r="L16" s="1301"/>
      <c r="M16" s="1300"/>
      <c r="N16" s="1294"/>
      <c r="O16" s="1294"/>
      <c r="P16" s="1292"/>
      <c r="Q16" s="1299"/>
      <c r="R16" s="1298"/>
      <c r="S16" s="1297"/>
      <c r="T16" s="1296"/>
      <c r="U16" s="1295"/>
      <c r="V16" s="1294"/>
      <c r="W16" s="1293"/>
      <c r="X16" s="1292"/>
      <c r="Y16" s="1291"/>
    </row>
    <row r="17" spans="1:25" ht="13.5" customHeight="1">
      <c r="A17" s="1308"/>
      <c r="B17" s="1307"/>
      <c r="C17" s="1306"/>
      <c r="D17" s="1305"/>
      <c r="E17" s="1304"/>
      <c r="F17" s="1303"/>
      <c r="G17" s="1302"/>
      <c r="H17" s="1295"/>
      <c r="I17" s="1294"/>
      <c r="J17" s="1292"/>
      <c r="K17" s="1294"/>
      <c r="L17" s="1301"/>
      <c r="M17" s="1300"/>
      <c r="N17" s="1294"/>
      <c r="O17" s="1294"/>
      <c r="P17" s="1292"/>
      <c r="Q17" s="1299"/>
      <c r="R17" s="1298"/>
      <c r="S17" s="1297"/>
      <c r="T17" s="1296"/>
      <c r="U17" s="1295"/>
      <c r="V17" s="1294"/>
      <c r="W17" s="1293"/>
      <c r="X17" s="1292"/>
      <c r="Y17" s="1291"/>
    </row>
    <row r="18" spans="1:25" ht="13.5" customHeight="1">
      <c r="A18" s="1308"/>
      <c r="B18" s="1307"/>
      <c r="C18" s="1306"/>
      <c r="D18" s="1305"/>
      <c r="E18" s="1304"/>
      <c r="F18" s="1303"/>
      <c r="G18" s="1302"/>
      <c r="H18" s="1295"/>
      <c r="I18" s="1294"/>
      <c r="J18" s="1292"/>
      <c r="K18" s="1294"/>
      <c r="L18" s="1301"/>
      <c r="M18" s="1300"/>
      <c r="N18" s="1294"/>
      <c r="O18" s="1294"/>
      <c r="P18" s="1292"/>
      <c r="Q18" s="1299"/>
      <c r="R18" s="1298"/>
      <c r="S18" s="1297"/>
      <c r="T18" s="1296"/>
      <c r="U18" s="1295"/>
      <c r="V18" s="1294"/>
      <c r="W18" s="1293"/>
      <c r="X18" s="1292"/>
      <c r="Y18" s="1291"/>
    </row>
    <row r="19" spans="1:25" ht="13.5" customHeight="1">
      <c r="A19" s="1308"/>
      <c r="B19" s="1307"/>
      <c r="C19" s="1306"/>
      <c r="D19" s="1305"/>
      <c r="E19" s="1304"/>
      <c r="F19" s="1303"/>
      <c r="G19" s="1302"/>
      <c r="H19" s="1295"/>
      <c r="I19" s="1294"/>
      <c r="J19" s="1292"/>
      <c r="K19" s="1294"/>
      <c r="L19" s="1301"/>
      <c r="M19" s="1300"/>
      <c r="N19" s="1294"/>
      <c r="O19" s="1294"/>
      <c r="P19" s="1292"/>
      <c r="Q19" s="1299"/>
      <c r="R19" s="1298"/>
      <c r="S19" s="1297"/>
      <c r="T19" s="1296"/>
      <c r="U19" s="1295"/>
      <c r="V19" s="1294"/>
      <c r="W19" s="1293"/>
      <c r="X19" s="1292"/>
      <c r="Y19" s="1291"/>
    </row>
    <row r="20" spans="1:25" ht="13.5" customHeight="1">
      <c r="A20" s="1308"/>
      <c r="B20" s="1307"/>
      <c r="C20" s="1306"/>
      <c r="D20" s="1305"/>
      <c r="E20" s="1304"/>
      <c r="F20" s="1303"/>
      <c r="G20" s="1302"/>
      <c r="H20" s="1295"/>
      <c r="I20" s="1294"/>
      <c r="J20" s="1292"/>
      <c r="K20" s="1294"/>
      <c r="L20" s="1301"/>
      <c r="M20" s="1300"/>
      <c r="N20" s="1294"/>
      <c r="O20" s="1294"/>
      <c r="P20" s="1292"/>
      <c r="Q20" s="1299"/>
      <c r="R20" s="1298"/>
      <c r="S20" s="1297"/>
      <c r="T20" s="1296"/>
      <c r="U20" s="1295"/>
      <c r="V20" s="1294"/>
      <c r="W20" s="1293"/>
      <c r="X20" s="1292"/>
      <c r="Y20" s="1291"/>
    </row>
    <row r="21" spans="1:25" ht="13.5" customHeight="1">
      <c r="A21" s="1308"/>
      <c r="B21" s="1307"/>
      <c r="C21" s="1306"/>
      <c r="D21" s="1305"/>
      <c r="E21" s="1304"/>
      <c r="F21" s="1303"/>
      <c r="G21" s="1302"/>
      <c r="H21" s="1295"/>
      <c r="I21" s="1294"/>
      <c r="J21" s="1292"/>
      <c r="K21" s="1294"/>
      <c r="L21" s="1301"/>
      <c r="M21" s="1300"/>
      <c r="N21" s="1294"/>
      <c r="O21" s="1294"/>
      <c r="P21" s="1292"/>
      <c r="Q21" s="1299"/>
      <c r="R21" s="1298"/>
      <c r="S21" s="1297"/>
      <c r="T21" s="1296"/>
      <c r="U21" s="1295"/>
      <c r="V21" s="1294"/>
      <c r="W21" s="1293"/>
      <c r="X21" s="1292"/>
      <c r="Y21" s="1291"/>
    </row>
    <row r="22" spans="1:25" ht="13.5" customHeight="1">
      <c r="A22" s="1308"/>
      <c r="B22" s="1307"/>
      <c r="C22" s="1306"/>
      <c r="D22" s="1305"/>
      <c r="E22" s="1304"/>
      <c r="F22" s="1303"/>
      <c r="G22" s="1302"/>
      <c r="H22" s="1295"/>
      <c r="I22" s="1294"/>
      <c r="J22" s="1292"/>
      <c r="K22" s="1294"/>
      <c r="L22" s="1301"/>
      <c r="M22" s="1300"/>
      <c r="N22" s="1294"/>
      <c r="O22" s="1294"/>
      <c r="P22" s="1292"/>
      <c r="Q22" s="1299"/>
      <c r="R22" s="1298"/>
      <c r="S22" s="1297"/>
      <c r="T22" s="1296"/>
      <c r="U22" s="1295"/>
      <c r="V22" s="1294"/>
      <c r="W22" s="1293"/>
      <c r="X22" s="1292"/>
      <c r="Y22" s="1291"/>
    </row>
    <row r="23" spans="1:25" ht="13.5" customHeight="1">
      <c r="A23" s="1308"/>
      <c r="B23" s="1307"/>
      <c r="C23" s="1306"/>
      <c r="D23" s="1305"/>
      <c r="E23" s="1304"/>
      <c r="F23" s="1303"/>
      <c r="G23" s="1302"/>
      <c r="H23" s="1295"/>
      <c r="I23" s="1294"/>
      <c r="J23" s="1292"/>
      <c r="K23" s="1294"/>
      <c r="L23" s="1301"/>
      <c r="M23" s="1300"/>
      <c r="N23" s="1294"/>
      <c r="O23" s="1294"/>
      <c r="P23" s="1292"/>
      <c r="Q23" s="1299"/>
      <c r="R23" s="1298"/>
      <c r="S23" s="1297"/>
      <c r="T23" s="1296"/>
      <c r="U23" s="1295"/>
      <c r="V23" s="1294"/>
      <c r="W23" s="1293"/>
      <c r="X23" s="1292"/>
      <c r="Y23" s="1291"/>
    </row>
    <row r="24" spans="1:25" ht="13.5" customHeight="1">
      <c r="A24" s="1308"/>
      <c r="B24" s="1307"/>
      <c r="C24" s="1306"/>
      <c r="D24" s="1305"/>
      <c r="E24" s="1304"/>
      <c r="F24" s="1303"/>
      <c r="G24" s="1302"/>
      <c r="H24" s="1295"/>
      <c r="I24" s="1294"/>
      <c r="J24" s="1292"/>
      <c r="K24" s="1294"/>
      <c r="L24" s="1301"/>
      <c r="M24" s="1300"/>
      <c r="N24" s="1294"/>
      <c r="O24" s="1294"/>
      <c r="P24" s="1292"/>
      <c r="Q24" s="1299"/>
      <c r="R24" s="1298"/>
      <c r="S24" s="1297"/>
      <c r="T24" s="1296"/>
      <c r="U24" s="1295"/>
      <c r="V24" s="1294"/>
      <c r="W24" s="1293"/>
      <c r="X24" s="1292"/>
      <c r="Y24" s="1291"/>
    </row>
    <row r="25" spans="1:25" ht="13.5" customHeight="1">
      <c r="A25" s="1308"/>
      <c r="B25" s="1307"/>
      <c r="C25" s="1306"/>
      <c r="D25" s="1305"/>
      <c r="E25" s="1304"/>
      <c r="F25" s="1303"/>
      <c r="G25" s="1302"/>
      <c r="H25" s="1295"/>
      <c r="I25" s="1294"/>
      <c r="J25" s="1292"/>
      <c r="K25" s="1294"/>
      <c r="L25" s="1301"/>
      <c r="M25" s="1300"/>
      <c r="N25" s="1294"/>
      <c r="O25" s="1294"/>
      <c r="P25" s="1292"/>
      <c r="Q25" s="1299"/>
      <c r="R25" s="1298"/>
      <c r="S25" s="1297"/>
      <c r="T25" s="1296"/>
      <c r="U25" s="1295"/>
      <c r="V25" s="1294"/>
      <c r="W25" s="1293"/>
      <c r="X25" s="1292"/>
      <c r="Y25" s="1291"/>
    </row>
    <row r="26" spans="1:25" ht="13.5" customHeight="1">
      <c r="A26" s="1308"/>
      <c r="B26" s="1307"/>
      <c r="C26" s="1306"/>
      <c r="D26" s="1305"/>
      <c r="E26" s="1304"/>
      <c r="F26" s="1303"/>
      <c r="G26" s="1302"/>
      <c r="H26" s="1295"/>
      <c r="I26" s="1294"/>
      <c r="J26" s="1292"/>
      <c r="K26" s="1294"/>
      <c r="L26" s="1301"/>
      <c r="M26" s="1300"/>
      <c r="N26" s="1294"/>
      <c r="O26" s="1294"/>
      <c r="P26" s="1292"/>
      <c r="Q26" s="1299"/>
      <c r="R26" s="1298"/>
      <c r="S26" s="1297"/>
      <c r="T26" s="1296"/>
      <c r="U26" s="1295"/>
      <c r="V26" s="1294"/>
      <c r="W26" s="1293"/>
      <c r="X26" s="1292"/>
      <c r="Y26" s="1291"/>
    </row>
    <row r="27" spans="1:25" ht="13.5" customHeight="1">
      <c r="A27" s="1308"/>
      <c r="B27" s="1307"/>
      <c r="C27" s="1306"/>
      <c r="D27" s="1305"/>
      <c r="E27" s="1304"/>
      <c r="F27" s="1303"/>
      <c r="G27" s="1302"/>
      <c r="H27" s="1295"/>
      <c r="I27" s="1294"/>
      <c r="J27" s="1292"/>
      <c r="K27" s="1294"/>
      <c r="L27" s="1301"/>
      <c r="M27" s="1300"/>
      <c r="N27" s="1294"/>
      <c r="O27" s="1294"/>
      <c r="P27" s="1292"/>
      <c r="Q27" s="1299"/>
      <c r="R27" s="1298"/>
      <c r="S27" s="1297"/>
      <c r="T27" s="1296"/>
      <c r="U27" s="1295"/>
      <c r="V27" s="1294"/>
      <c r="W27" s="1293"/>
      <c r="X27" s="1292"/>
      <c r="Y27" s="1291"/>
    </row>
    <row r="28" spans="1:25" ht="13.5" customHeight="1">
      <c r="A28" s="1308"/>
      <c r="B28" s="1307"/>
      <c r="C28" s="1306"/>
      <c r="D28" s="1305"/>
      <c r="E28" s="1304"/>
      <c r="F28" s="1303"/>
      <c r="G28" s="1302"/>
      <c r="H28" s="1295"/>
      <c r="I28" s="1294"/>
      <c r="J28" s="1292"/>
      <c r="K28" s="1294"/>
      <c r="L28" s="1301"/>
      <c r="M28" s="1300"/>
      <c r="N28" s="1294"/>
      <c r="O28" s="1294"/>
      <c r="P28" s="1292"/>
      <c r="Q28" s="1299"/>
      <c r="R28" s="1298"/>
      <c r="S28" s="1297"/>
      <c r="T28" s="1296"/>
      <c r="U28" s="1295"/>
      <c r="V28" s="1294"/>
      <c r="W28" s="1293"/>
      <c r="X28" s="1292"/>
      <c r="Y28" s="1291"/>
    </row>
    <row r="29" spans="1:25" ht="13.5" customHeight="1">
      <c r="A29" s="1308"/>
      <c r="B29" s="1307"/>
      <c r="C29" s="1306"/>
      <c r="D29" s="1305"/>
      <c r="E29" s="1304"/>
      <c r="F29" s="1303"/>
      <c r="G29" s="1302"/>
      <c r="H29" s="1295"/>
      <c r="I29" s="1294"/>
      <c r="J29" s="1292"/>
      <c r="K29" s="1294"/>
      <c r="L29" s="1301"/>
      <c r="M29" s="1300"/>
      <c r="N29" s="1294"/>
      <c r="O29" s="1294"/>
      <c r="P29" s="1292"/>
      <c r="Q29" s="1299"/>
      <c r="R29" s="1298"/>
      <c r="S29" s="1297"/>
      <c r="T29" s="1296"/>
      <c r="U29" s="1295"/>
      <c r="V29" s="1294"/>
      <c r="W29" s="1293"/>
      <c r="X29" s="1292"/>
      <c r="Y29" s="1291"/>
    </row>
    <row r="30" spans="1:25" ht="13.5" customHeight="1">
      <c r="A30" s="1308"/>
      <c r="B30" s="1307"/>
      <c r="C30" s="1306"/>
      <c r="D30" s="1305"/>
      <c r="E30" s="1304"/>
      <c r="F30" s="1303"/>
      <c r="G30" s="1302"/>
      <c r="H30" s="1295"/>
      <c r="I30" s="1294"/>
      <c r="J30" s="1292"/>
      <c r="K30" s="1294"/>
      <c r="L30" s="1301"/>
      <c r="M30" s="1300"/>
      <c r="N30" s="1294"/>
      <c r="O30" s="1294"/>
      <c r="P30" s="1292"/>
      <c r="Q30" s="1299"/>
      <c r="R30" s="1298"/>
      <c r="S30" s="1297"/>
      <c r="T30" s="1296"/>
      <c r="U30" s="1295"/>
      <c r="V30" s="1294"/>
      <c r="W30" s="1293"/>
      <c r="X30" s="1292"/>
      <c r="Y30" s="1291"/>
    </row>
    <row r="31" spans="1:25" ht="13.5" customHeight="1">
      <c r="A31" s="1308"/>
      <c r="B31" s="1307"/>
      <c r="C31" s="1306"/>
      <c r="D31" s="1305"/>
      <c r="E31" s="1304"/>
      <c r="F31" s="1303"/>
      <c r="G31" s="1302"/>
      <c r="H31" s="1295"/>
      <c r="I31" s="1294"/>
      <c r="J31" s="1292"/>
      <c r="K31" s="1294"/>
      <c r="L31" s="1301"/>
      <c r="M31" s="1300"/>
      <c r="N31" s="1294"/>
      <c r="O31" s="1294"/>
      <c r="P31" s="1292"/>
      <c r="Q31" s="1299"/>
      <c r="R31" s="1298"/>
      <c r="S31" s="1297"/>
      <c r="T31" s="1296"/>
      <c r="U31" s="1295"/>
      <c r="V31" s="1294"/>
      <c r="W31" s="1293"/>
      <c r="X31" s="1292"/>
      <c r="Y31" s="1291"/>
    </row>
    <row r="32" spans="1:25" ht="13.5" customHeight="1">
      <c r="A32" s="1308"/>
      <c r="B32" s="1307"/>
      <c r="C32" s="1306"/>
      <c r="D32" s="1305"/>
      <c r="E32" s="1304"/>
      <c r="F32" s="1303"/>
      <c r="G32" s="1302"/>
      <c r="H32" s="1295"/>
      <c r="I32" s="1294"/>
      <c r="J32" s="1292"/>
      <c r="K32" s="1294"/>
      <c r="L32" s="1301"/>
      <c r="M32" s="1300"/>
      <c r="N32" s="1294"/>
      <c r="O32" s="1294"/>
      <c r="P32" s="1292"/>
      <c r="Q32" s="1299"/>
      <c r="R32" s="1298"/>
      <c r="S32" s="1297"/>
      <c r="T32" s="1296"/>
      <c r="U32" s="1295"/>
      <c r="V32" s="1294"/>
      <c r="W32" s="1293"/>
      <c r="X32" s="1292"/>
      <c r="Y32" s="1291"/>
    </row>
    <row r="33" spans="1:25" ht="13.5" customHeight="1">
      <c r="A33" s="1308"/>
      <c r="B33" s="1307"/>
      <c r="C33" s="1306"/>
      <c r="D33" s="1305"/>
      <c r="E33" s="1304"/>
      <c r="F33" s="1303"/>
      <c r="G33" s="1302"/>
      <c r="H33" s="1295"/>
      <c r="I33" s="1294"/>
      <c r="J33" s="1292"/>
      <c r="K33" s="1294"/>
      <c r="L33" s="1301"/>
      <c r="M33" s="1300"/>
      <c r="N33" s="1294"/>
      <c r="O33" s="1294"/>
      <c r="P33" s="1292"/>
      <c r="Q33" s="1299"/>
      <c r="R33" s="1298"/>
      <c r="S33" s="1297"/>
      <c r="T33" s="1296"/>
      <c r="U33" s="1295"/>
      <c r="V33" s="1294"/>
      <c r="W33" s="1293"/>
      <c r="X33" s="1292"/>
      <c r="Y33" s="1291"/>
    </row>
    <row r="34" spans="1:25" ht="13.5" customHeight="1">
      <c r="A34" s="1308"/>
      <c r="B34" s="1307"/>
      <c r="C34" s="1306"/>
      <c r="D34" s="1305"/>
      <c r="E34" s="1304"/>
      <c r="F34" s="1303"/>
      <c r="G34" s="1302"/>
      <c r="H34" s="1295"/>
      <c r="I34" s="1294"/>
      <c r="J34" s="1292"/>
      <c r="K34" s="1294"/>
      <c r="L34" s="1301"/>
      <c r="M34" s="1300"/>
      <c r="N34" s="1294"/>
      <c r="O34" s="1294"/>
      <c r="P34" s="1292"/>
      <c r="Q34" s="1299"/>
      <c r="R34" s="1298"/>
      <c r="S34" s="1297"/>
      <c r="T34" s="1296"/>
      <c r="U34" s="1295"/>
      <c r="V34" s="1294"/>
      <c r="W34" s="1293"/>
      <c r="X34" s="1292"/>
      <c r="Y34" s="1291"/>
    </row>
    <row r="35" spans="1:25" ht="13.5" customHeight="1">
      <c r="A35" s="1308"/>
      <c r="B35" s="1307"/>
      <c r="C35" s="1306"/>
      <c r="D35" s="1305"/>
      <c r="E35" s="1304"/>
      <c r="F35" s="1303"/>
      <c r="G35" s="1302"/>
      <c r="H35" s="1295"/>
      <c r="I35" s="1294"/>
      <c r="J35" s="1292"/>
      <c r="K35" s="1294"/>
      <c r="L35" s="1301"/>
      <c r="M35" s="1300"/>
      <c r="N35" s="1294"/>
      <c r="O35" s="1294"/>
      <c r="P35" s="1292"/>
      <c r="Q35" s="1299"/>
      <c r="R35" s="1298"/>
      <c r="S35" s="1297"/>
      <c r="T35" s="1296"/>
      <c r="U35" s="1295"/>
      <c r="V35" s="1294"/>
      <c r="W35" s="1293"/>
      <c r="X35" s="1292"/>
      <c r="Y35" s="1291"/>
    </row>
    <row r="36" spans="1:25" ht="13.5" customHeight="1" thickBot="1">
      <c r="A36" s="1411"/>
      <c r="B36" s="1412"/>
      <c r="C36" s="1413"/>
      <c r="D36" s="1414"/>
      <c r="E36" s="1415"/>
      <c r="F36" s="1416"/>
      <c r="G36" s="1417"/>
      <c r="H36" s="1418"/>
      <c r="I36" s="1419"/>
      <c r="J36" s="1420"/>
      <c r="K36" s="1419"/>
      <c r="L36" s="1421"/>
      <c r="M36" s="1422"/>
      <c r="N36" s="1419"/>
      <c r="O36" s="1419"/>
      <c r="P36" s="1420"/>
      <c r="Q36" s="1423"/>
      <c r="R36" s="1424"/>
      <c r="S36" s="1425"/>
      <c r="T36" s="1426"/>
      <c r="U36" s="1418"/>
      <c r="V36" s="1419"/>
      <c r="W36" s="1427"/>
      <c r="X36" s="1420"/>
      <c r="Y36" s="1428"/>
    </row>
    <row r="37" spans="1:25" ht="18.95" customHeight="1" thickTop="1">
      <c r="A37" s="1437" t="s">
        <v>639</v>
      </c>
      <c r="B37" s="1438"/>
      <c r="C37" s="1439"/>
      <c r="D37" s="1429">
        <v>134.5</v>
      </c>
      <c r="E37" s="1430"/>
      <c r="F37" s="1430">
        <v>376.8</v>
      </c>
      <c r="G37" s="1431"/>
      <c r="H37" s="1432">
        <v>12020</v>
      </c>
      <c r="I37" s="1433">
        <v>0</v>
      </c>
      <c r="J37" s="1433">
        <v>12020</v>
      </c>
      <c r="K37" s="1433">
        <v>878</v>
      </c>
      <c r="L37" s="1433">
        <v>12898</v>
      </c>
      <c r="M37" s="1432">
        <v>8607</v>
      </c>
      <c r="N37" s="1432">
        <v>15915</v>
      </c>
      <c r="O37" s="1433">
        <v>0</v>
      </c>
      <c r="P37" s="1433">
        <v>15915</v>
      </c>
      <c r="Q37" s="1433">
        <v>0</v>
      </c>
      <c r="R37" s="1433">
        <v>15915</v>
      </c>
      <c r="S37" s="1434"/>
      <c r="T37" s="1435"/>
      <c r="U37" s="1432">
        <v>530</v>
      </c>
      <c r="V37" s="1433">
        <v>3540</v>
      </c>
      <c r="W37" s="1433">
        <v>2310</v>
      </c>
      <c r="X37" s="1433">
        <v>4010</v>
      </c>
      <c r="Y37" s="1436"/>
    </row>
    <row r="38" spans="1:25" ht="13.5" customHeight="1">
      <c r="A38" s="1276" t="s">
        <v>706</v>
      </c>
      <c r="C38" s="1276" t="s">
        <v>707</v>
      </c>
    </row>
    <row r="39" spans="1:25" ht="13.5" customHeight="1">
      <c r="C39" s="1276" t="s">
        <v>708</v>
      </c>
    </row>
    <row r="40" spans="1:25" ht="13.5" customHeight="1">
      <c r="C40" s="1276" t="s">
        <v>709</v>
      </c>
    </row>
    <row r="41" spans="1:25" ht="13.5" customHeight="1">
      <c r="C41" s="1276" t="s">
        <v>710</v>
      </c>
    </row>
    <row r="42" spans="1:25" ht="13.5" customHeight="1">
      <c r="C42" s="1276" t="s">
        <v>711</v>
      </c>
    </row>
    <row r="56" spans="3:46" s="1276" customFormat="1" ht="13.5" customHeight="1">
      <c r="C56" s="1283"/>
      <c r="D56" s="1283"/>
      <c r="E56" s="1283"/>
      <c r="F56" s="1283"/>
      <c r="G56" s="1283"/>
      <c r="H56" s="1283"/>
      <c r="J56" s="1280"/>
      <c r="P56" s="1280"/>
      <c r="AB56" s="1279"/>
      <c r="AC56" s="1279"/>
      <c r="AD56" s="1279"/>
      <c r="AE56" s="1279"/>
      <c r="AF56" s="1279"/>
      <c r="AG56" s="1279"/>
      <c r="AH56" s="1279"/>
      <c r="AI56" s="1279"/>
      <c r="AJ56" s="1279"/>
      <c r="AK56" s="1279"/>
      <c r="AL56" s="1279"/>
      <c r="AM56" s="1279"/>
      <c r="AN56" s="1279"/>
      <c r="AO56" s="1279"/>
      <c r="AP56" s="1279"/>
      <c r="AQ56" s="1279"/>
      <c r="AR56" s="1278"/>
      <c r="AS56" s="1277"/>
      <c r="AT56" s="1277"/>
    </row>
    <row r="57" spans="3:46" s="1276" customFormat="1" ht="13.5" customHeight="1">
      <c r="C57" s="1283"/>
      <c r="D57" s="1283"/>
      <c r="E57" s="1283"/>
      <c r="F57" s="1283"/>
      <c r="G57" s="1283"/>
      <c r="H57" s="1283"/>
      <c r="I57" s="1284"/>
      <c r="J57" s="1280"/>
      <c r="O57" s="1284"/>
      <c r="P57" s="1280"/>
      <c r="AB57" s="1279"/>
      <c r="AC57" s="1279"/>
      <c r="AD57" s="1279"/>
      <c r="AE57" s="1279"/>
      <c r="AF57" s="1279"/>
      <c r="AG57" s="1279"/>
      <c r="AH57" s="1279"/>
      <c r="AI57" s="1279"/>
      <c r="AJ57" s="1279"/>
      <c r="AK57" s="1279"/>
      <c r="AL57" s="1279"/>
      <c r="AM57" s="1279"/>
      <c r="AN57" s="1279"/>
      <c r="AO57" s="1279"/>
      <c r="AP57" s="1279"/>
      <c r="AQ57" s="1279"/>
      <c r="AR57" s="1278"/>
      <c r="AS57" s="1277"/>
      <c r="AT57" s="1277"/>
    </row>
    <row r="58" spans="3:46" s="1276" customFormat="1" ht="13.5" customHeight="1">
      <c r="C58" s="1283"/>
      <c r="D58" s="1283"/>
      <c r="E58" s="1283"/>
      <c r="F58" s="1283"/>
      <c r="G58" s="1283"/>
      <c r="H58" s="1283"/>
      <c r="I58" s="1282"/>
      <c r="J58" s="1280"/>
      <c r="O58" s="1282"/>
      <c r="P58" s="1280"/>
      <c r="AB58" s="1279"/>
      <c r="AC58" s="1279"/>
      <c r="AD58" s="1279"/>
      <c r="AE58" s="1279"/>
      <c r="AF58" s="1279"/>
      <c r="AG58" s="1279"/>
      <c r="AH58" s="1279"/>
      <c r="AI58" s="1279"/>
      <c r="AJ58" s="1279"/>
      <c r="AK58" s="1279"/>
      <c r="AL58" s="1279"/>
      <c r="AM58" s="1279"/>
      <c r="AN58" s="1279"/>
      <c r="AO58" s="1279"/>
      <c r="AP58" s="1279"/>
      <c r="AQ58" s="1279"/>
      <c r="AR58" s="1278"/>
      <c r="AS58" s="1277"/>
      <c r="AT58" s="1277"/>
    </row>
    <row r="59" spans="3:46" s="1276" customFormat="1" ht="13.5" customHeight="1">
      <c r="C59" s="1281"/>
      <c r="D59" s="1281"/>
      <c r="E59" s="1281"/>
      <c r="F59" s="1281"/>
      <c r="G59" s="1281"/>
      <c r="H59" s="1281"/>
      <c r="I59" s="1280"/>
      <c r="O59" s="1280"/>
      <c r="AB59" s="1279"/>
      <c r="AC59" s="1279"/>
      <c r="AD59" s="1279"/>
      <c r="AE59" s="1279"/>
      <c r="AF59" s="1279"/>
      <c r="AG59" s="1279"/>
      <c r="AH59" s="1279"/>
      <c r="AI59" s="1279"/>
      <c r="AJ59" s="1279"/>
      <c r="AK59" s="1279"/>
      <c r="AL59" s="1279"/>
      <c r="AM59" s="1279"/>
      <c r="AN59" s="1279"/>
      <c r="AO59" s="1279"/>
      <c r="AP59" s="1279"/>
      <c r="AQ59" s="1279"/>
      <c r="AR59" s="1278"/>
      <c r="AS59" s="1277"/>
      <c r="AT59" s="1277"/>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3"/>
  <printOptions horizontalCentered="1"/>
  <pageMargins left="0.39370078740157483" right="0.39370078740157483" top="0.70866141732283472" bottom="0.47244094488188981" header="0.31496062992125984" footer="0.31496062992125984"/>
  <pageSetup paperSize="9" scale="75" orientation="landscape" horizontalDpi="1200" verticalDpi="1200" r:id="rId1"/>
  <headerFooter scaleWithDoc="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3">
    <pageSetUpPr fitToPage="1"/>
  </sheetPr>
  <dimension ref="A1:AH32"/>
  <sheetViews>
    <sheetView showGridLines="0" zoomScaleNormal="100" workbookViewId="0"/>
  </sheetViews>
  <sheetFormatPr defaultColWidth="11.7109375" defaultRowHeight="18" customHeight="1"/>
  <cols>
    <col min="1" max="12" width="9.140625" style="1455" customWidth="1"/>
    <col min="13" max="13" width="2.5703125" style="1455" customWidth="1"/>
    <col min="14" max="16" width="9.140625" style="1455" customWidth="1"/>
    <col min="17" max="18" width="3.7109375" style="1455" customWidth="1"/>
    <col min="19" max="25" width="9.140625" style="1455" customWidth="1"/>
    <col min="26" max="27" width="3.7109375" style="1455" customWidth="1"/>
    <col min="28" max="34" width="9.140625" style="1455" customWidth="1"/>
    <col min="35" max="35" width="3.7109375" style="1455" customWidth="1"/>
    <col min="36" max="16384" width="11.7109375" style="1455"/>
  </cols>
  <sheetData>
    <row r="1" spans="1:34" s="1485" customFormat="1" ht="18" customHeight="1">
      <c r="A1" s="1492" t="s">
        <v>737</v>
      </c>
      <c r="B1" s="1487"/>
      <c r="C1" s="1487"/>
      <c r="D1" s="1487"/>
      <c r="E1" s="1487"/>
      <c r="F1" s="1487"/>
      <c r="G1" s="1487"/>
      <c r="H1" s="1487"/>
      <c r="I1" s="1487"/>
      <c r="J1" s="1487"/>
      <c r="K1" s="1487"/>
      <c r="L1" s="1487"/>
      <c r="M1" s="1487"/>
      <c r="N1" s="1491"/>
      <c r="O1" s="1491"/>
      <c r="P1" s="1490"/>
      <c r="R1" s="1489" t="s">
        <v>772</v>
      </c>
      <c r="S1" s="1488"/>
      <c r="T1" s="1487"/>
      <c r="U1" s="1487"/>
      <c r="V1" s="1487"/>
      <c r="W1" s="1487"/>
      <c r="X1" s="1487"/>
      <c r="Y1" s="1487"/>
      <c r="Z1" s="1487"/>
      <c r="AA1" s="1487"/>
      <c r="AB1" s="1487"/>
      <c r="AC1" s="1487"/>
      <c r="AD1" s="1487"/>
      <c r="AE1" s="1487"/>
      <c r="AF1" s="1487"/>
      <c r="AG1" s="1487"/>
      <c r="AH1" s="1486"/>
    </row>
    <row r="2" spans="1:34" ht="9.75" customHeight="1" thickBot="1">
      <c r="M2" s="1484"/>
      <c r="N2" s="1483"/>
      <c r="O2" s="1483"/>
      <c r="P2" s="1483"/>
    </row>
    <row r="3" spans="1:34" ht="18" customHeight="1" thickBot="1">
      <c r="A3" s="1471"/>
      <c r="B3" s="1482"/>
      <c r="C3" s="1482"/>
      <c r="D3" s="1482"/>
      <c r="E3" s="1482"/>
      <c r="F3" s="1482"/>
      <c r="G3" s="1482"/>
      <c r="H3" s="1482"/>
      <c r="I3" s="1482"/>
      <c r="J3" s="1482"/>
      <c r="K3" s="1482"/>
      <c r="L3" s="1473"/>
      <c r="M3" s="1473"/>
      <c r="N3" s="1481" t="s">
        <v>733</v>
      </c>
      <c r="O3" s="1480"/>
      <c r="P3" s="1479"/>
      <c r="Q3" s="1471"/>
      <c r="R3" s="1495" t="s">
        <v>738</v>
      </c>
      <c r="S3" s="1496"/>
      <c r="T3" s="1496"/>
      <c r="U3" s="1496"/>
      <c r="V3" s="1496"/>
      <c r="W3" s="1496"/>
      <c r="X3" s="1496"/>
      <c r="Y3" s="1496"/>
      <c r="AA3" s="1493" t="s">
        <v>762</v>
      </c>
      <c r="AB3" s="1494"/>
      <c r="AC3" s="1494"/>
      <c r="AD3" s="1494"/>
      <c r="AE3" s="1494"/>
      <c r="AF3" s="1494"/>
      <c r="AG3" s="1494"/>
      <c r="AH3" s="1494"/>
    </row>
    <row r="4" spans="1:34" ht="18" customHeight="1">
      <c r="A4" s="1471"/>
      <c r="B4" s="1471"/>
      <c r="C4" s="1471"/>
      <c r="D4" s="1471"/>
      <c r="E4" s="1471"/>
      <c r="F4" s="1471"/>
      <c r="G4" s="1471"/>
      <c r="H4" s="1471"/>
      <c r="I4" s="1478"/>
      <c r="J4" s="1473"/>
      <c r="K4" s="1478"/>
      <c r="L4" s="1473"/>
      <c r="M4" s="1473"/>
      <c r="N4" s="1462" t="s">
        <v>715</v>
      </c>
      <c r="O4" s="1461"/>
      <c r="P4" s="1460"/>
      <c r="Q4" s="1471"/>
      <c r="S4" s="1497" t="s">
        <v>739</v>
      </c>
      <c r="T4" s="1498"/>
      <c r="U4" s="1498"/>
      <c r="V4" s="1498"/>
      <c r="W4" s="1498"/>
      <c r="X4" s="1498"/>
      <c r="Y4" s="1498"/>
      <c r="AB4" s="1493" t="s">
        <v>763</v>
      </c>
      <c r="AC4" s="1494"/>
      <c r="AD4" s="1494"/>
      <c r="AE4" s="1494"/>
      <c r="AF4" s="1494"/>
      <c r="AG4" s="1494"/>
      <c r="AH4" s="1494"/>
    </row>
    <row r="5" spans="1:34" ht="18" customHeight="1">
      <c r="A5" s="1471"/>
      <c r="B5" s="1471"/>
      <c r="C5" s="1471"/>
      <c r="D5" s="1471"/>
      <c r="E5" s="1471"/>
      <c r="F5" s="1471"/>
      <c r="G5" s="1471"/>
      <c r="H5" s="1471"/>
      <c r="I5" s="1473"/>
      <c r="J5" s="1472"/>
      <c r="K5" s="1473"/>
      <c r="L5" s="1472"/>
      <c r="M5" s="1472"/>
      <c r="N5" s="1462" t="s">
        <v>716</v>
      </c>
      <c r="O5" s="1461"/>
      <c r="P5" s="1460"/>
      <c r="Q5" s="1471"/>
      <c r="S5" s="1493" t="s">
        <v>740</v>
      </c>
      <c r="T5" s="1494"/>
      <c r="U5" s="1494"/>
      <c r="V5" s="1494"/>
      <c r="W5" s="1494"/>
      <c r="X5" s="1494"/>
      <c r="Y5" s="1494"/>
      <c r="AB5" s="1493" t="s">
        <v>764</v>
      </c>
      <c r="AC5" s="1494"/>
      <c r="AD5" s="1494"/>
      <c r="AE5" s="1494"/>
      <c r="AF5" s="1494"/>
      <c r="AG5" s="1494"/>
      <c r="AH5" s="1494"/>
    </row>
    <row r="6" spans="1:34" ht="18" customHeight="1">
      <c r="A6" s="1471"/>
      <c r="B6" s="1471"/>
      <c r="C6" s="1471"/>
      <c r="D6" s="1471"/>
      <c r="E6" s="1471"/>
      <c r="F6" s="1471"/>
      <c r="G6" s="1471"/>
      <c r="H6" s="1471"/>
      <c r="I6" s="1473"/>
      <c r="J6" s="1472"/>
      <c r="K6" s="1473"/>
      <c r="L6" s="1472"/>
      <c r="M6" s="1472"/>
      <c r="N6" s="1462" t="s">
        <v>717</v>
      </c>
      <c r="O6" s="1461"/>
      <c r="P6" s="1460"/>
      <c r="Q6" s="1471"/>
      <c r="S6" s="1493" t="s">
        <v>714</v>
      </c>
      <c r="T6" s="1494"/>
      <c r="U6" s="1494"/>
      <c r="V6" s="1494"/>
      <c r="W6" s="1494"/>
      <c r="X6" s="1494"/>
      <c r="Y6" s="1494"/>
      <c r="AB6" s="1493" t="s">
        <v>765</v>
      </c>
      <c r="AC6" s="1494"/>
      <c r="AD6" s="1494"/>
      <c r="AE6" s="1494"/>
      <c r="AF6" s="1494"/>
      <c r="AG6" s="1494"/>
      <c r="AH6" s="1494"/>
    </row>
    <row r="7" spans="1:34" ht="18" customHeight="1" thickBot="1">
      <c r="A7" s="1471"/>
      <c r="B7" s="1471"/>
      <c r="C7" s="1471"/>
      <c r="D7" s="1471"/>
      <c r="E7" s="1471"/>
      <c r="F7" s="1471"/>
      <c r="G7" s="1471"/>
      <c r="H7" s="1471"/>
      <c r="I7" s="1463"/>
      <c r="J7" s="1463"/>
      <c r="K7" s="1463"/>
      <c r="L7" s="1463"/>
      <c r="M7" s="1463"/>
      <c r="N7" s="1462" t="s">
        <v>718</v>
      </c>
      <c r="O7" s="1461"/>
      <c r="P7" s="1460"/>
      <c r="Q7" s="1471"/>
      <c r="R7" s="1495" t="s">
        <v>741</v>
      </c>
      <c r="S7" s="1496"/>
      <c r="T7" s="1496"/>
      <c r="U7" s="1496"/>
      <c r="V7" s="1496"/>
      <c r="W7" s="1496"/>
      <c r="X7" s="1496"/>
      <c r="Y7" s="1496"/>
      <c r="AB7" s="1493" t="s">
        <v>714</v>
      </c>
      <c r="AC7" s="1494"/>
      <c r="AD7" s="1494"/>
      <c r="AE7" s="1494"/>
      <c r="AF7" s="1494"/>
      <c r="AG7" s="1494"/>
      <c r="AH7" s="1494"/>
    </row>
    <row r="8" spans="1:34" ht="18" customHeight="1" thickBot="1">
      <c r="A8" s="1471"/>
      <c r="B8" s="1471"/>
      <c r="C8" s="1477" t="s">
        <v>713</v>
      </c>
      <c r="D8" s="1476"/>
      <c r="E8" s="1471"/>
      <c r="F8" s="1471"/>
      <c r="G8" s="1471"/>
      <c r="H8" s="1471"/>
      <c r="I8" s="1471"/>
      <c r="J8" s="1471"/>
      <c r="K8" s="1471"/>
      <c r="L8" s="1471"/>
      <c r="M8" s="1471"/>
      <c r="N8" s="1462" t="s">
        <v>719</v>
      </c>
      <c r="O8" s="1461"/>
      <c r="P8" s="1460"/>
      <c r="Q8" s="1471"/>
      <c r="R8" s="1497" t="s">
        <v>742</v>
      </c>
      <c r="S8" s="1498"/>
      <c r="T8" s="1498"/>
      <c r="U8" s="1498"/>
      <c r="V8" s="1498"/>
      <c r="W8" s="1498"/>
      <c r="X8" s="1498"/>
      <c r="Y8" s="1498"/>
      <c r="AA8" s="1495" t="s">
        <v>766</v>
      </c>
      <c r="AB8" s="1496"/>
      <c r="AC8" s="1496"/>
      <c r="AD8" s="1496"/>
      <c r="AE8" s="1496"/>
      <c r="AF8" s="1496"/>
      <c r="AG8" s="1496"/>
      <c r="AH8" s="1496"/>
    </row>
    <row r="9" spans="1:34" ht="18" customHeight="1" thickBot="1">
      <c r="A9" s="1471"/>
      <c r="B9" s="1471"/>
      <c r="C9" s="1475"/>
      <c r="D9" s="1474"/>
      <c r="E9" s="1471"/>
      <c r="F9" s="1471"/>
      <c r="G9" s="1471"/>
      <c r="H9" s="1471"/>
      <c r="I9" s="1473"/>
      <c r="J9" s="1473"/>
      <c r="K9" s="1473"/>
      <c r="L9" s="1473"/>
      <c r="M9" s="1473"/>
      <c r="N9" s="1462" t="s">
        <v>720</v>
      </c>
      <c r="O9" s="1461"/>
      <c r="P9" s="1460"/>
      <c r="Q9" s="1471"/>
      <c r="R9" s="1467"/>
      <c r="S9" s="1499" t="s">
        <v>743</v>
      </c>
      <c r="T9" s="1494"/>
      <c r="U9" s="1494"/>
      <c r="V9" s="1494"/>
      <c r="W9" s="1494"/>
      <c r="X9" s="1494"/>
      <c r="Y9" s="1494"/>
      <c r="AB9" s="1497" t="s">
        <v>767</v>
      </c>
      <c r="AC9" s="1498"/>
      <c r="AD9" s="1498"/>
      <c r="AE9" s="1498"/>
      <c r="AF9" s="1498"/>
      <c r="AG9" s="1498"/>
      <c r="AH9" s="1498"/>
    </row>
    <row r="10" spans="1:34" ht="18" customHeight="1">
      <c r="A10" s="1471"/>
      <c r="B10" s="1471"/>
      <c r="C10" s="1471"/>
      <c r="D10" s="1471"/>
      <c r="E10" s="1471"/>
      <c r="F10" s="1471"/>
      <c r="G10" s="1471"/>
      <c r="H10" s="1471"/>
      <c r="I10" s="1473"/>
      <c r="M10" s="1473"/>
      <c r="N10" s="1462" t="s">
        <v>721</v>
      </c>
      <c r="O10" s="1461"/>
      <c r="P10" s="1460"/>
      <c r="Q10" s="1471"/>
      <c r="R10" s="1467"/>
      <c r="S10" s="1499" t="s">
        <v>744</v>
      </c>
      <c r="T10" s="1494"/>
      <c r="U10" s="1494"/>
      <c r="V10" s="1494"/>
      <c r="W10" s="1494"/>
      <c r="X10" s="1494"/>
      <c r="Y10" s="1494"/>
      <c r="AB10" s="1493" t="s">
        <v>768</v>
      </c>
      <c r="AC10" s="1494"/>
      <c r="AD10" s="1494"/>
      <c r="AE10" s="1494"/>
      <c r="AF10" s="1494"/>
      <c r="AG10" s="1494"/>
      <c r="AH10" s="1494"/>
    </row>
    <row r="11" spans="1:34" ht="18" customHeight="1">
      <c r="A11" s="1471"/>
      <c r="B11" s="1471"/>
      <c r="C11" s="1471"/>
      <c r="D11" s="1471"/>
      <c r="E11" s="1471"/>
      <c r="F11" s="1471"/>
      <c r="G11" s="1471"/>
      <c r="H11" s="1471"/>
      <c r="I11" s="1473"/>
      <c r="M11" s="1472"/>
      <c r="N11" s="1462" t="s">
        <v>722</v>
      </c>
      <c r="O11" s="1461"/>
      <c r="P11" s="1460"/>
      <c r="Q11" s="1471"/>
      <c r="R11" s="1467"/>
      <c r="S11" s="1499" t="s">
        <v>714</v>
      </c>
      <c r="T11" s="1494"/>
      <c r="U11" s="1494"/>
      <c r="V11" s="1494"/>
      <c r="W11" s="1494"/>
      <c r="X11" s="1494"/>
      <c r="Y11" s="1494"/>
      <c r="AB11" s="1493" t="s">
        <v>769</v>
      </c>
      <c r="AC11" s="1494"/>
      <c r="AD11" s="1494"/>
      <c r="AE11" s="1494"/>
      <c r="AF11" s="1494"/>
      <c r="AG11" s="1494"/>
      <c r="AH11" s="1494"/>
    </row>
    <row r="12" spans="1:34" ht="18" customHeight="1">
      <c r="A12" s="1471"/>
      <c r="B12" s="1471"/>
      <c r="C12" s="1471"/>
      <c r="D12" s="1471"/>
      <c r="E12" s="1471"/>
      <c r="F12" s="1471"/>
      <c r="G12" s="1471"/>
      <c r="H12" s="1471"/>
      <c r="I12" s="1473"/>
      <c r="M12" s="1472"/>
      <c r="N12" s="1462" t="s">
        <v>723</v>
      </c>
      <c r="O12" s="1461"/>
      <c r="P12" s="1460"/>
      <c r="R12" s="1499" t="s">
        <v>745</v>
      </c>
      <c r="S12" s="1494"/>
      <c r="T12" s="1494"/>
      <c r="U12" s="1494"/>
      <c r="V12" s="1494"/>
      <c r="W12" s="1494"/>
      <c r="X12" s="1494"/>
      <c r="Y12" s="1494"/>
      <c r="AB12" s="1493" t="s">
        <v>770</v>
      </c>
      <c r="AC12" s="1494"/>
      <c r="AD12" s="1494"/>
      <c r="AE12" s="1494"/>
      <c r="AF12" s="1494"/>
      <c r="AG12" s="1494"/>
      <c r="AH12" s="1494"/>
    </row>
    <row r="13" spans="1:34" ht="18" customHeight="1">
      <c r="A13" s="1471"/>
      <c r="B13" s="1471"/>
      <c r="C13" s="1471"/>
      <c r="D13" s="1471"/>
      <c r="E13" s="1471"/>
      <c r="F13" s="1471"/>
      <c r="G13" s="1471"/>
      <c r="H13" s="1471"/>
      <c r="I13" s="1463"/>
      <c r="M13" s="1463"/>
      <c r="N13" s="1462" t="s">
        <v>724</v>
      </c>
      <c r="O13" s="1461"/>
      <c r="P13" s="1460"/>
      <c r="R13" s="1499" t="s">
        <v>746</v>
      </c>
      <c r="S13" s="1494"/>
      <c r="T13" s="1494"/>
      <c r="U13" s="1494"/>
      <c r="V13" s="1494"/>
      <c r="W13" s="1494"/>
      <c r="X13" s="1494"/>
      <c r="Y13" s="1494"/>
      <c r="AB13" s="1493" t="s">
        <v>771</v>
      </c>
      <c r="AC13" s="1494"/>
      <c r="AD13" s="1494"/>
      <c r="AE13" s="1494"/>
      <c r="AF13" s="1494"/>
      <c r="AG13" s="1494"/>
      <c r="AH13" s="1494"/>
    </row>
    <row r="14" spans="1:34" ht="18" customHeight="1">
      <c r="A14" s="1471"/>
      <c r="B14" s="1471"/>
      <c r="C14" s="1471"/>
      <c r="D14" s="1471"/>
      <c r="E14" s="1471"/>
      <c r="F14" s="1471"/>
      <c r="G14" s="1471"/>
      <c r="H14" s="1471"/>
      <c r="I14" s="1471"/>
      <c r="M14" s="1471"/>
      <c r="N14" s="1462" t="s">
        <v>725</v>
      </c>
      <c r="O14" s="1461"/>
      <c r="P14" s="1460"/>
      <c r="R14" s="1467"/>
      <c r="S14" s="1499" t="s">
        <v>747</v>
      </c>
      <c r="T14" s="1494"/>
      <c r="U14" s="1494"/>
      <c r="V14" s="1494"/>
      <c r="W14" s="1494"/>
      <c r="X14" s="1494"/>
      <c r="Y14" s="1494"/>
    </row>
    <row r="15" spans="1:34" ht="18" customHeight="1">
      <c r="N15" s="1462" t="s">
        <v>714</v>
      </c>
      <c r="O15" s="1461"/>
      <c r="P15" s="1460"/>
      <c r="S15" s="1499" t="s">
        <v>748</v>
      </c>
      <c r="T15" s="1494"/>
      <c r="U15" s="1494"/>
      <c r="V15" s="1494"/>
      <c r="W15" s="1494"/>
      <c r="X15" s="1494"/>
      <c r="Y15" s="1494"/>
    </row>
    <row r="16" spans="1:34" ht="18" customHeight="1">
      <c r="N16" s="1462" t="s">
        <v>726</v>
      </c>
      <c r="O16" s="1461"/>
      <c r="P16" s="1460"/>
      <c r="R16" s="1463"/>
      <c r="S16" s="1500" t="s">
        <v>749</v>
      </c>
      <c r="T16" s="1494"/>
      <c r="U16" s="1494"/>
      <c r="V16" s="1494"/>
      <c r="W16" s="1494"/>
      <c r="X16" s="1494"/>
      <c r="Y16" s="1494"/>
    </row>
    <row r="17" spans="1:25" ht="18" customHeight="1">
      <c r="N17" s="1462" t="s">
        <v>727</v>
      </c>
      <c r="O17" s="1461"/>
      <c r="P17" s="1460"/>
      <c r="R17" s="1470"/>
      <c r="S17" s="1501" t="s">
        <v>750</v>
      </c>
      <c r="T17" s="1494"/>
      <c r="U17" s="1494"/>
      <c r="V17" s="1494"/>
      <c r="W17" s="1494"/>
      <c r="X17" s="1494"/>
      <c r="Y17" s="1494"/>
    </row>
    <row r="18" spans="1:25" ht="18" customHeight="1">
      <c r="N18" s="1462" t="s">
        <v>728</v>
      </c>
      <c r="O18" s="1461"/>
      <c r="P18" s="1460"/>
      <c r="R18" s="1470"/>
      <c r="S18" s="1501" t="s">
        <v>751</v>
      </c>
      <c r="T18" s="1494"/>
      <c r="U18" s="1494"/>
      <c r="V18" s="1494"/>
      <c r="W18" s="1494"/>
      <c r="X18" s="1494"/>
      <c r="Y18" s="1494"/>
    </row>
    <row r="19" spans="1:25" ht="18" customHeight="1">
      <c r="I19" s="1463"/>
      <c r="M19" s="1463"/>
      <c r="N19" s="1462" t="s">
        <v>729</v>
      </c>
      <c r="O19" s="1461"/>
      <c r="P19" s="1460"/>
      <c r="R19" s="1469"/>
      <c r="S19" s="1502" t="s">
        <v>752</v>
      </c>
      <c r="T19" s="1494"/>
      <c r="U19" s="1494"/>
      <c r="V19" s="1494"/>
      <c r="W19" s="1494"/>
      <c r="X19" s="1494"/>
      <c r="Y19" s="1494"/>
    </row>
    <row r="20" spans="1:25" ht="18" customHeight="1">
      <c r="N20" s="1462" t="s">
        <v>730</v>
      </c>
      <c r="O20" s="1461"/>
      <c r="P20" s="1460"/>
      <c r="R20" s="1467"/>
      <c r="S20" s="1499" t="s">
        <v>753</v>
      </c>
      <c r="T20" s="1494"/>
      <c r="U20" s="1494"/>
      <c r="V20" s="1494"/>
      <c r="W20" s="1494"/>
      <c r="X20" s="1494"/>
      <c r="Y20" s="1494"/>
    </row>
    <row r="21" spans="1:25" ht="18" customHeight="1">
      <c r="A21" s="1468"/>
      <c r="B21" s="1467"/>
      <c r="C21" s="1467"/>
      <c r="N21" s="1462" t="s">
        <v>731</v>
      </c>
      <c r="O21" s="1461"/>
      <c r="P21" s="1460"/>
      <c r="R21" s="1466"/>
      <c r="S21" s="1503" t="s">
        <v>754</v>
      </c>
      <c r="T21" s="1494"/>
      <c r="U21" s="1494"/>
      <c r="V21" s="1494"/>
      <c r="W21" s="1494"/>
      <c r="X21" s="1494"/>
      <c r="Y21" s="1494"/>
    </row>
    <row r="22" spans="1:25" ht="18" customHeight="1">
      <c r="A22" s="1468"/>
      <c r="B22" s="1467"/>
      <c r="C22" s="1467"/>
      <c r="N22" s="1462" t="s">
        <v>722</v>
      </c>
      <c r="O22" s="1461"/>
      <c r="P22" s="1460"/>
      <c r="R22" s="1466"/>
      <c r="S22" s="1503" t="s">
        <v>755</v>
      </c>
      <c r="T22" s="1494"/>
      <c r="U22" s="1494"/>
      <c r="V22" s="1494"/>
      <c r="W22" s="1494"/>
      <c r="X22" s="1494"/>
      <c r="Y22" s="1494"/>
    </row>
    <row r="23" spans="1:25" ht="18" customHeight="1">
      <c r="N23" s="1462" t="s">
        <v>732</v>
      </c>
      <c r="O23" s="1461"/>
      <c r="P23" s="1460"/>
      <c r="S23" s="1493" t="s">
        <v>756</v>
      </c>
      <c r="T23" s="1494"/>
      <c r="U23" s="1494"/>
      <c r="V23" s="1494"/>
      <c r="W23" s="1494"/>
      <c r="X23" s="1494"/>
      <c r="Y23" s="1494"/>
    </row>
    <row r="24" spans="1:25" ht="18" customHeight="1">
      <c r="N24" s="1462"/>
      <c r="O24" s="1461"/>
      <c r="P24" s="1460"/>
      <c r="S24" s="1493" t="s">
        <v>757</v>
      </c>
      <c r="T24" s="1494"/>
      <c r="U24" s="1494"/>
      <c r="V24" s="1494"/>
      <c r="W24" s="1494"/>
      <c r="X24" s="1494"/>
      <c r="Y24" s="1494"/>
    </row>
    <row r="25" spans="1:25" ht="18" customHeight="1">
      <c r="N25" s="1462"/>
      <c r="O25" s="1461"/>
      <c r="P25" s="1460"/>
      <c r="S25" s="1493" t="s">
        <v>714</v>
      </c>
      <c r="T25" s="1494"/>
      <c r="U25" s="1494"/>
      <c r="V25" s="1494"/>
      <c r="W25" s="1494"/>
      <c r="X25" s="1494"/>
      <c r="Y25" s="1494"/>
    </row>
    <row r="26" spans="1:25" ht="18" customHeight="1" thickBot="1">
      <c r="N26" s="1462"/>
      <c r="O26" s="1461"/>
      <c r="P26" s="1460"/>
      <c r="R26" s="1495" t="s">
        <v>758</v>
      </c>
      <c r="S26" s="1496"/>
      <c r="T26" s="1496"/>
      <c r="U26" s="1496"/>
      <c r="V26" s="1496"/>
      <c r="W26" s="1496"/>
      <c r="X26" s="1496"/>
      <c r="Y26" s="1496"/>
    </row>
    <row r="27" spans="1:25" ht="18" customHeight="1">
      <c r="N27" s="1462"/>
      <c r="O27" s="1461"/>
      <c r="P27" s="1460"/>
      <c r="R27" s="1497" t="s">
        <v>759</v>
      </c>
      <c r="S27" s="1498"/>
      <c r="T27" s="1498"/>
      <c r="U27" s="1498"/>
      <c r="V27" s="1498"/>
      <c r="W27" s="1498"/>
      <c r="X27" s="1498"/>
      <c r="Y27" s="1498"/>
    </row>
    <row r="28" spans="1:25" ht="18" customHeight="1">
      <c r="A28" s="1463"/>
      <c r="B28" s="1463"/>
      <c r="C28" s="1463"/>
      <c r="D28" s="1463"/>
      <c r="N28" s="1462"/>
      <c r="O28" s="1461"/>
      <c r="P28" s="1460"/>
      <c r="S28" s="1493" t="s">
        <v>760</v>
      </c>
      <c r="T28" s="1494"/>
      <c r="U28" s="1494"/>
      <c r="V28" s="1494"/>
      <c r="W28" s="1494"/>
      <c r="X28" s="1494"/>
      <c r="Y28" s="1494"/>
    </row>
    <row r="29" spans="1:25" ht="18" customHeight="1" thickBot="1">
      <c r="A29" s="1465" t="s">
        <v>712</v>
      </c>
      <c r="B29" s="1465"/>
      <c r="C29" s="1465"/>
      <c r="D29" s="1465"/>
      <c r="E29" s="1465"/>
      <c r="F29" s="1465"/>
      <c r="G29" s="1465"/>
      <c r="H29" s="1465"/>
      <c r="I29" s="1465"/>
      <c r="J29" s="1465"/>
      <c r="K29" s="1465"/>
      <c r="L29" s="1465"/>
      <c r="M29" s="1463"/>
      <c r="N29" s="1462"/>
      <c r="O29" s="1461"/>
      <c r="P29" s="1460"/>
      <c r="S29" s="1493" t="s">
        <v>761</v>
      </c>
      <c r="T29" s="1494"/>
      <c r="U29" s="1494"/>
      <c r="V29" s="1494"/>
      <c r="W29" s="1494"/>
      <c r="X29" s="1494"/>
      <c r="Y29" s="1494"/>
    </row>
    <row r="30" spans="1:25" ht="18" customHeight="1">
      <c r="A30" s="1464" t="s">
        <v>734</v>
      </c>
      <c r="B30" s="1464"/>
      <c r="C30" s="1464"/>
      <c r="D30" s="1464"/>
      <c r="E30" s="1464"/>
      <c r="F30" s="1464"/>
      <c r="G30" s="1464"/>
      <c r="H30" s="1464"/>
      <c r="I30" s="1464"/>
      <c r="J30" s="1464"/>
      <c r="K30" s="1464"/>
      <c r="L30" s="1464"/>
      <c r="M30" s="1463"/>
      <c r="N30" s="1462"/>
      <c r="O30" s="1461"/>
      <c r="P30" s="1460"/>
      <c r="S30" s="1493" t="s">
        <v>714</v>
      </c>
      <c r="T30" s="1494"/>
      <c r="U30" s="1494"/>
      <c r="V30" s="1494"/>
      <c r="W30" s="1494"/>
      <c r="X30" s="1494"/>
      <c r="Y30" s="1494"/>
    </row>
    <row r="31" spans="1:25" ht="18" customHeight="1">
      <c r="A31" s="1459" t="s">
        <v>735</v>
      </c>
      <c r="B31" s="1459"/>
      <c r="C31" s="1459"/>
      <c r="D31" s="1459"/>
      <c r="E31" s="1459"/>
      <c r="F31" s="1459"/>
      <c r="G31" s="1459"/>
      <c r="H31" s="1459"/>
      <c r="I31" s="1459"/>
      <c r="J31" s="1459"/>
      <c r="K31" s="1459"/>
      <c r="L31" s="1459"/>
      <c r="N31" s="1462"/>
      <c r="O31" s="1461"/>
      <c r="P31" s="1460"/>
    </row>
    <row r="32" spans="1:25" ht="18" customHeight="1">
      <c r="A32" s="1459" t="s">
        <v>736</v>
      </c>
      <c r="B32" s="1459"/>
      <c r="C32" s="1459"/>
      <c r="D32" s="1459"/>
      <c r="E32" s="1459"/>
      <c r="F32" s="1459"/>
      <c r="G32" s="1459"/>
      <c r="H32" s="1459"/>
      <c r="I32" s="1459"/>
      <c r="J32" s="1459"/>
      <c r="K32" s="1459"/>
      <c r="L32" s="1459"/>
      <c r="N32" s="1458"/>
      <c r="O32" s="1457"/>
      <c r="P32" s="1456"/>
    </row>
  </sheetData>
  <mergeCells count="74">
    <mergeCell ref="AB9:AH9"/>
    <mergeCell ref="AB10:AH10"/>
    <mergeCell ref="AB11:AH11"/>
    <mergeCell ref="AB12:AH12"/>
    <mergeCell ref="AB13:AH13"/>
    <mergeCell ref="R27:Y27"/>
    <mergeCell ref="S28:Y28"/>
    <mergeCell ref="S29:Y29"/>
    <mergeCell ref="S30:Y30"/>
    <mergeCell ref="AA3:AH3"/>
    <mergeCell ref="AB4:AH4"/>
    <mergeCell ref="AB5:AH5"/>
    <mergeCell ref="AB6:AH6"/>
    <mergeCell ref="AB7:AH7"/>
    <mergeCell ref="AA8:AH8"/>
    <mergeCell ref="S21:Y21"/>
    <mergeCell ref="S22:Y22"/>
    <mergeCell ref="S23:Y23"/>
    <mergeCell ref="S24:Y24"/>
    <mergeCell ref="S25:Y25"/>
    <mergeCell ref="R26:Y26"/>
    <mergeCell ref="S15:Y15"/>
    <mergeCell ref="S16:Y16"/>
    <mergeCell ref="S17:Y17"/>
    <mergeCell ref="S18:Y18"/>
    <mergeCell ref="S19:Y19"/>
    <mergeCell ref="S20:Y20"/>
    <mergeCell ref="S9:Y9"/>
    <mergeCell ref="S10:Y10"/>
    <mergeCell ref="S11:Y11"/>
    <mergeCell ref="R12:Y12"/>
    <mergeCell ref="R13:Y13"/>
    <mergeCell ref="S14:Y14"/>
    <mergeCell ref="R3:Y3"/>
    <mergeCell ref="S4:Y4"/>
    <mergeCell ref="S5:Y5"/>
    <mergeCell ref="S6:Y6"/>
    <mergeCell ref="R7:Y7"/>
    <mergeCell ref="R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3"/>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oddFooter>&amp;C&amp;"ＭＳ Ｐゴシック,標準"&amp;9( &amp;P / &amp;N )</oddFooter>
  </headerFooter>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S56"/>
  <sheetViews>
    <sheetView showGridLines="0" zoomScale="80" zoomScaleNormal="80" workbookViewId="0">
      <pane xSplit="3" ySplit="7" topLeftCell="D8" activePane="bottomRight" state="frozenSplit"/>
      <selection pane="topRight" activeCell="Q1" sqref="Q1"/>
      <selection pane="bottomLeft" activeCell="A18" sqref="A18"/>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6" width="7.7109375" style="1276" customWidth="1"/>
    <col min="7" max="7" width="9.7109375" style="1276" customWidth="1"/>
    <col min="8" max="18" width="7.7109375" style="1276" customWidth="1"/>
    <col min="19" max="19" width="40.7109375" style="1276" customWidth="1"/>
    <col min="20" max="16384" width="9.140625" style="1272"/>
  </cols>
  <sheetData>
    <row r="1" spans="1:19" ht="18" customHeight="1">
      <c r="A1" s="1573" t="s">
        <v>794</v>
      </c>
      <c r="B1" s="1572"/>
      <c r="C1" s="1571"/>
      <c r="D1" s="1568"/>
      <c r="E1" s="1568"/>
      <c r="F1" s="1568"/>
      <c r="G1" s="1568"/>
      <c r="H1" s="1569"/>
      <c r="I1" s="1569"/>
      <c r="J1" s="1569"/>
      <c r="K1" s="1569"/>
      <c r="L1" s="1569"/>
      <c r="M1" s="1570"/>
      <c r="N1" s="1570"/>
      <c r="O1" s="1570"/>
      <c r="P1" s="1569"/>
      <c r="Q1" s="1568"/>
      <c r="R1" s="1568"/>
      <c r="S1" s="1567"/>
    </row>
    <row r="4" spans="1:19" ht="13.5" customHeight="1">
      <c r="A4" s="1382" t="s">
        <v>368</v>
      </c>
      <c r="B4" s="1381" t="s">
        <v>354</v>
      </c>
      <c r="C4" s="1566" t="s">
        <v>793</v>
      </c>
      <c r="D4" s="1373" t="s">
        <v>792</v>
      </c>
      <c r="E4" s="1372"/>
      <c r="F4" s="1376"/>
      <c r="G4" s="1565" t="s">
        <v>791</v>
      </c>
      <c r="H4" s="1564"/>
      <c r="I4" s="1564"/>
      <c r="J4" s="1564"/>
      <c r="K4" s="1564"/>
      <c r="L4" s="1563"/>
      <c r="M4" s="1562" t="s">
        <v>790</v>
      </c>
      <c r="N4" s="1561"/>
      <c r="O4" s="1561"/>
      <c r="P4" s="1560"/>
      <c r="Q4" s="1559" t="s">
        <v>789</v>
      </c>
      <c r="R4" s="1558"/>
      <c r="S4" s="1557" t="s">
        <v>788</v>
      </c>
    </row>
    <row r="5" spans="1:19" ht="13.5" customHeight="1">
      <c r="A5" s="1350"/>
      <c r="B5" s="1349"/>
      <c r="C5" s="1548"/>
      <c r="D5" s="1556" t="s">
        <v>787</v>
      </c>
      <c r="E5" s="1358" t="s">
        <v>786</v>
      </c>
      <c r="F5" s="1364" t="s">
        <v>785</v>
      </c>
      <c r="G5" s="1547" t="s">
        <v>784</v>
      </c>
      <c r="H5" s="1555" t="s">
        <v>783</v>
      </c>
      <c r="I5" s="1554"/>
      <c r="J5" s="1554"/>
      <c r="K5" s="1553"/>
      <c r="L5" s="1347" t="s">
        <v>782</v>
      </c>
      <c r="M5" s="1442" t="s">
        <v>781</v>
      </c>
      <c r="N5" s="1552"/>
      <c r="O5" s="1551"/>
      <c r="P5" s="1364" t="s">
        <v>780</v>
      </c>
      <c r="Q5" s="1550"/>
      <c r="R5" s="1549"/>
      <c r="S5" s="1538"/>
    </row>
    <row r="6" spans="1:19" ht="13.5" customHeight="1">
      <c r="A6" s="1350"/>
      <c r="B6" s="1349"/>
      <c r="C6" s="1548"/>
      <c r="D6" s="1337"/>
      <c r="E6" s="1336"/>
      <c r="F6" s="1347"/>
      <c r="G6" s="1547"/>
      <c r="H6" s="1546" t="s">
        <v>779</v>
      </c>
      <c r="I6" s="1545"/>
      <c r="J6" s="1544"/>
      <c r="K6" s="1358" t="s">
        <v>778</v>
      </c>
      <c r="L6" s="1347"/>
      <c r="M6" s="1543"/>
      <c r="N6" s="1542"/>
      <c r="O6" s="1541"/>
      <c r="P6" s="1347"/>
      <c r="Q6" s="1540"/>
      <c r="R6" s="1539"/>
      <c r="S6" s="1538"/>
    </row>
    <row r="7" spans="1:19" ht="13.5" customHeight="1">
      <c r="A7" s="1537"/>
      <c r="B7" s="1536"/>
      <c r="C7" s="1535"/>
      <c r="D7" s="1534"/>
      <c r="E7" s="1532"/>
      <c r="F7" s="1528"/>
      <c r="G7" s="1533"/>
      <c r="H7" s="1530" t="s">
        <v>777</v>
      </c>
      <c r="I7" s="1530" t="s">
        <v>776</v>
      </c>
      <c r="J7" s="1529" t="s">
        <v>775</v>
      </c>
      <c r="K7" s="1532"/>
      <c r="L7" s="1528"/>
      <c r="M7" s="1531" t="s">
        <v>777</v>
      </c>
      <c r="N7" s="1530" t="s">
        <v>776</v>
      </c>
      <c r="O7" s="1529" t="s">
        <v>775</v>
      </c>
      <c r="P7" s="1528"/>
      <c r="Q7" s="1527" t="s">
        <v>774</v>
      </c>
      <c r="R7" s="1526" t="s">
        <v>773</v>
      </c>
      <c r="S7" s="1525"/>
    </row>
    <row r="8" spans="1:19" ht="13.5" customHeight="1">
      <c r="A8" s="1326"/>
      <c r="B8" s="1325"/>
      <c r="C8" s="1324" t="s">
        <v>795</v>
      </c>
      <c r="D8" s="1313"/>
      <c r="E8" s="1312"/>
      <c r="F8" s="1312"/>
      <c r="G8" s="1313"/>
      <c r="H8" s="1521"/>
      <c r="I8" s="1524"/>
      <c r="J8" s="1521"/>
      <c r="K8" s="1523"/>
      <c r="L8" s="1319"/>
      <c r="M8" s="1522"/>
      <c r="N8" s="1521"/>
      <c r="O8" s="1520"/>
      <c r="P8" s="1319"/>
      <c r="Q8" s="1313"/>
      <c r="R8" s="1519"/>
      <c r="S8" s="1518"/>
    </row>
    <row r="9" spans="1:19" ht="13.5" customHeight="1" thickBot="1">
      <c r="A9" s="1411">
        <v>2</v>
      </c>
      <c r="B9" s="1412">
        <v>201</v>
      </c>
      <c r="C9" s="1413" t="s">
        <v>343</v>
      </c>
      <c r="D9" s="1418">
        <v>1840</v>
      </c>
      <c r="E9" s="1419">
        <v>2310</v>
      </c>
      <c r="F9" s="1419">
        <v>470</v>
      </c>
      <c r="G9" s="1418">
        <v>4740</v>
      </c>
      <c r="H9" s="1574"/>
      <c r="I9" s="1575"/>
      <c r="J9" s="1574"/>
      <c r="K9" s="1576"/>
      <c r="L9" s="1421"/>
      <c r="M9" s="1577"/>
      <c r="N9" s="1574"/>
      <c r="O9" s="1578"/>
      <c r="P9" s="1421"/>
      <c r="Q9" s="1418"/>
      <c r="R9" s="1579"/>
      <c r="S9" s="1580"/>
    </row>
    <row r="10" spans="1:19" ht="18.95" customHeight="1" thickTop="1">
      <c r="A10" s="1588" t="s">
        <v>796</v>
      </c>
      <c r="B10" s="1589"/>
      <c r="C10" s="1590"/>
      <c r="D10" s="1582">
        <v>1840</v>
      </c>
      <c r="E10" s="1583">
        <v>2310</v>
      </c>
      <c r="F10" s="1583">
        <v>470</v>
      </c>
      <c r="G10" s="1582">
        <v>4740</v>
      </c>
      <c r="H10" s="1584">
        <v>15.83</v>
      </c>
      <c r="I10" s="1584">
        <v>26</v>
      </c>
      <c r="J10" s="1584">
        <v>10.17</v>
      </c>
      <c r="K10" s="1583">
        <v>1603</v>
      </c>
      <c r="L10" s="1583">
        <v>6343</v>
      </c>
      <c r="M10" s="1585">
        <v>17.55</v>
      </c>
      <c r="N10" s="1584">
        <v>30.12</v>
      </c>
      <c r="O10" s="1584">
        <v>12.57</v>
      </c>
      <c r="P10" s="1583">
        <v>9737</v>
      </c>
      <c r="Q10" s="1582">
        <v>9737</v>
      </c>
      <c r="R10" s="1587">
        <v>9.8000000000000007</v>
      </c>
      <c r="S10" s="1586" t="s">
        <v>797</v>
      </c>
    </row>
    <row r="11" spans="1:19" ht="13.5" customHeight="1">
      <c r="A11" s="1308"/>
      <c r="B11" s="1307"/>
      <c r="C11" s="1581"/>
      <c r="D11" s="1295"/>
      <c r="E11" s="1294"/>
      <c r="F11" s="1294"/>
      <c r="G11" s="1295"/>
      <c r="H11" s="1514"/>
      <c r="I11" s="1517"/>
      <c r="J11" s="1514"/>
      <c r="K11" s="1516"/>
      <c r="L11" s="1301"/>
      <c r="M11" s="1515"/>
      <c r="N11" s="1514"/>
      <c r="O11" s="1513"/>
      <c r="P11" s="1301"/>
      <c r="Q11" s="1295"/>
      <c r="R11" s="1512"/>
      <c r="S11" s="1511"/>
    </row>
    <row r="12" spans="1:19" ht="13.5" customHeight="1">
      <c r="A12" s="1308"/>
      <c r="B12" s="1307"/>
      <c r="C12" s="1306" t="s">
        <v>798</v>
      </c>
      <c r="D12" s="1295"/>
      <c r="E12" s="1294"/>
      <c r="F12" s="1294"/>
      <c r="G12" s="1295"/>
      <c r="H12" s="1514"/>
      <c r="I12" s="1517"/>
      <c r="J12" s="1514"/>
      <c r="K12" s="1516"/>
      <c r="L12" s="1301"/>
      <c r="M12" s="1515"/>
      <c r="N12" s="1514"/>
      <c r="O12" s="1513"/>
      <c r="P12" s="1301"/>
      <c r="Q12" s="1295"/>
      <c r="R12" s="1512"/>
      <c r="S12" s="1511"/>
    </row>
    <row r="13" spans="1:19" ht="13.5" customHeight="1">
      <c r="A13" s="1308">
        <v>2</v>
      </c>
      <c r="B13" s="1307">
        <v>204</v>
      </c>
      <c r="C13" s="1306" t="s">
        <v>538</v>
      </c>
      <c r="D13" s="1295">
        <v>290</v>
      </c>
      <c r="E13" s="1294">
        <v>290</v>
      </c>
      <c r="F13" s="1294"/>
      <c r="G13" s="1295">
        <v>506</v>
      </c>
      <c r="H13" s="1514"/>
      <c r="I13" s="1517"/>
      <c r="J13" s="1514"/>
      <c r="K13" s="1516"/>
      <c r="L13" s="1301"/>
      <c r="M13" s="1515"/>
      <c r="N13" s="1514"/>
      <c r="O13" s="1513"/>
      <c r="P13" s="1301"/>
      <c r="Q13" s="1295"/>
      <c r="R13" s="1512"/>
      <c r="S13" s="1511"/>
    </row>
    <row r="14" spans="1:19" ht="13.5" customHeight="1">
      <c r="A14" s="1308">
        <v>2</v>
      </c>
      <c r="B14" s="1307">
        <v>205</v>
      </c>
      <c r="C14" s="1306" t="s">
        <v>563</v>
      </c>
      <c r="D14" s="1295">
        <v>340</v>
      </c>
      <c r="E14" s="1294">
        <v>340</v>
      </c>
      <c r="F14" s="1294"/>
      <c r="G14" s="1295">
        <v>683</v>
      </c>
      <c r="H14" s="1514"/>
      <c r="I14" s="1517"/>
      <c r="J14" s="1514"/>
      <c r="K14" s="1516"/>
      <c r="L14" s="1301"/>
      <c r="M14" s="1515"/>
      <c r="N14" s="1514"/>
      <c r="O14" s="1513"/>
      <c r="P14" s="1301"/>
      <c r="Q14" s="1295"/>
      <c r="R14" s="1512"/>
      <c r="S14" s="1511"/>
    </row>
    <row r="15" spans="1:19" ht="13.5" customHeight="1" thickBot="1">
      <c r="A15" s="1411">
        <v>2</v>
      </c>
      <c r="B15" s="1412">
        <v>208</v>
      </c>
      <c r="C15" s="1413" t="s">
        <v>583</v>
      </c>
      <c r="D15" s="1418">
        <v>1070</v>
      </c>
      <c r="E15" s="1419">
        <v>1070</v>
      </c>
      <c r="F15" s="1419"/>
      <c r="G15" s="1418">
        <v>2678</v>
      </c>
      <c r="H15" s="1574"/>
      <c r="I15" s="1575"/>
      <c r="J15" s="1574"/>
      <c r="K15" s="1576"/>
      <c r="L15" s="1421"/>
      <c r="M15" s="1577"/>
      <c r="N15" s="1574"/>
      <c r="O15" s="1578"/>
      <c r="P15" s="1421"/>
      <c r="Q15" s="1418"/>
      <c r="R15" s="1579"/>
      <c r="S15" s="1580"/>
    </row>
    <row r="16" spans="1:19" ht="18.95" customHeight="1" thickTop="1">
      <c r="A16" s="1588" t="s">
        <v>799</v>
      </c>
      <c r="B16" s="1589"/>
      <c r="C16" s="1590"/>
      <c r="D16" s="1582">
        <v>1700</v>
      </c>
      <c r="E16" s="1583">
        <v>1700</v>
      </c>
      <c r="F16" s="1583">
        <v>0</v>
      </c>
      <c r="G16" s="1582">
        <v>3867</v>
      </c>
      <c r="H16" s="1584"/>
      <c r="I16" s="1584"/>
      <c r="J16" s="1584"/>
      <c r="K16" s="1583"/>
      <c r="L16" s="1583">
        <v>3867</v>
      </c>
      <c r="M16" s="1585">
        <v>17.55</v>
      </c>
      <c r="N16" s="1584">
        <v>38.08</v>
      </c>
      <c r="O16" s="1584">
        <v>20.529999999999998</v>
      </c>
      <c r="P16" s="1583">
        <v>11704</v>
      </c>
      <c r="Q16" s="1582">
        <v>11704</v>
      </c>
      <c r="R16" s="1587">
        <v>11.7</v>
      </c>
      <c r="S16" s="1586" t="s">
        <v>797</v>
      </c>
    </row>
    <row r="17" spans="1:19" ht="13.5" customHeight="1">
      <c r="A17" s="1308"/>
      <c r="B17" s="1307"/>
      <c r="C17" s="1581"/>
      <c r="D17" s="1295"/>
      <c r="E17" s="1294"/>
      <c r="F17" s="1294"/>
      <c r="G17" s="1295"/>
      <c r="H17" s="1514"/>
      <c r="I17" s="1517"/>
      <c r="J17" s="1514"/>
      <c r="K17" s="1516"/>
      <c r="L17" s="1301"/>
      <c r="M17" s="1515"/>
      <c r="N17" s="1514"/>
      <c r="O17" s="1513"/>
      <c r="P17" s="1301"/>
      <c r="Q17" s="1295"/>
      <c r="R17" s="1512"/>
      <c r="S17" s="1511"/>
    </row>
    <row r="18" spans="1:19" ht="13.5" customHeight="1">
      <c r="A18" s="1308"/>
      <c r="B18" s="1307"/>
      <c r="C18" s="1306"/>
      <c r="D18" s="1295"/>
      <c r="E18" s="1294"/>
      <c r="F18" s="1294"/>
      <c r="G18" s="1295"/>
      <c r="H18" s="1514"/>
      <c r="I18" s="1517"/>
      <c r="J18" s="1514"/>
      <c r="K18" s="1516"/>
      <c r="L18" s="1301"/>
      <c r="M18" s="1515"/>
      <c r="N18" s="1514"/>
      <c r="O18" s="1513"/>
      <c r="P18" s="1301"/>
      <c r="Q18" s="1295"/>
      <c r="R18" s="1512"/>
      <c r="S18" s="1511"/>
    </row>
    <row r="19" spans="1:19" ht="13.5" customHeight="1">
      <c r="A19" s="1308"/>
      <c r="B19" s="1307"/>
      <c r="C19" s="1306"/>
      <c r="D19" s="1295"/>
      <c r="E19" s="1294"/>
      <c r="F19" s="1294"/>
      <c r="G19" s="1295"/>
      <c r="H19" s="1514"/>
      <c r="I19" s="1517"/>
      <c r="J19" s="1514"/>
      <c r="K19" s="1516"/>
      <c r="L19" s="1301"/>
      <c r="M19" s="1515"/>
      <c r="N19" s="1514"/>
      <c r="O19" s="1513"/>
      <c r="P19" s="1301"/>
      <c r="Q19" s="1295"/>
      <c r="R19" s="1512"/>
      <c r="S19" s="1511"/>
    </row>
    <row r="20" spans="1:19" ht="13.5" customHeight="1">
      <c r="A20" s="1308"/>
      <c r="B20" s="1307"/>
      <c r="C20" s="1306"/>
      <c r="D20" s="1295"/>
      <c r="E20" s="1294"/>
      <c r="F20" s="1294"/>
      <c r="G20" s="1295"/>
      <c r="H20" s="1514"/>
      <c r="I20" s="1517"/>
      <c r="J20" s="1514"/>
      <c r="K20" s="1516"/>
      <c r="L20" s="1301"/>
      <c r="M20" s="1515"/>
      <c r="N20" s="1514"/>
      <c r="O20" s="1513"/>
      <c r="P20" s="1301"/>
      <c r="Q20" s="1295"/>
      <c r="R20" s="1512"/>
      <c r="S20" s="1511"/>
    </row>
    <row r="21" spans="1:19" ht="13.5" customHeight="1">
      <c r="A21" s="1308"/>
      <c r="B21" s="1307"/>
      <c r="C21" s="1306"/>
      <c r="D21" s="1295"/>
      <c r="E21" s="1294"/>
      <c r="F21" s="1294"/>
      <c r="G21" s="1295"/>
      <c r="H21" s="1514"/>
      <c r="I21" s="1517"/>
      <c r="J21" s="1514"/>
      <c r="K21" s="1516"/>
      <c r="L21" s="1301"/>
      <c r="M21" s="1515"/>
      <c r="N21" s="1514"/>
      <c r="O21" s="1513"/>
      <c r="P21" s="1301"/>
      <c r="Q21" s="1295"/>
      <c r="R21" s="1512"/>
      <c r="S21" s="1511"/>
    </row>
    <row r="22" spans="1:19" ht="13.5" customHeight="1">
      <c r="A22" s="1308"/>
      <c r="B22" s="1307"/>
      <c r="C22" s="1306"/>
      <c r="D22" s="1295"/>
      <c r="E22" s="1294"/>
      <c r="F22" s="1294"/>
      <c r="G22" s="1295"/>
      <c r="H22" s="1514"/>
      <c r="I22" s="1517"/>
      <c r="J22" s="1514"/>
      <c r="K22" s="1516"/>
      <c r="L22" s="1301"/>
      <c r="M22" s="1515"/>
      <c r="N22" s="1514"/>
      <c r="O22" s="1513"/>
      <c r="P22" s="1301"/>
      <c r="Q22" s="1295"/>
      <c r="R22" s="1512"/>
      <c r="S22" s="1511"/>
    </row>
    <row r="23" spans="1:19" ht="13.5" customHeight="1">
      <c r="A23" s="1308"/>
      <c r="B23" s="1307"/>
      <c r="C23" s="1306"/>
      <c r="D23" s="1295"/>
      <c r="E23" s="1294"/>
      <c r="F23" s="1294"/>
      <c r="G23" s="1295"/>
      <c r="H23" s="1514"/>
      <c r="I23" s="1517"/>
      <c r="J23" s="1514"/>
      <c r="K23" s="1516"/>
      <c r="L23" s="1301"/>
      <c r="M23" s="1515"/>
      <c r="N23" s="1514"/>
      <c r="O23" s="1513"/>
      <c r="P23" s="1301"/>
      <c r="Q23" s="1295"/>
      <c r="R23" s="1512"/>
      <c r="S23" s="1511"/>
    </row>
    <row r="24" spans="1:19" ht="13.5" customHeight="1">
      <c r="A24" s="1308"/>
      <c r="B24" s="1307"/>
      <c r="C24" s="1306"/>
      <c r="D24" s="1295"/>
      <c r="E24" s="1294"/>
      <c r="F24" s="1294"/>
      <c r="G24" s="1295"/>
      <c r="H24" s="1514"/>
      <c r="I24" s="1517"/>
      <c r="J24" s="1514"/>
      <c r="K24" s="1516"/>
      <c r="L24" s="1301"/>
      <c r="M24" s="1515"/>
      <c r="N24" s="1514"/>
      <c r="O24" s="1513"/>
      <c r="P24" s="1301"/>
      <c r="Q24" s="1295"/>
      <c r="R24" s="1512"/>
      <c r="S24" s="1511"/>
    </row>
    <row r="25" spans="1:19" ht="13.5" customHeight="1">
      <c r="A25" s="1308"/>
      <c r="B25" s="1307"/>
      <c r="C25" s="1306"/>
      <c r="D25" s="1295"/>
      <c r="E25" s="1294"/>
      <c r="F25" s="1294"/>
      <c r="G25" s="1295"/>
      <c r="H25" s="1514"/>
      <c r="I25" s="1517"/>
      <c r="J25" s="1514"/>
      <c r="K25" s="1516"/>
      <c r="L25" s="1301"/>
      <c r="M25" s="1515"/>
      <c r="N25" s="1514"/>
      <c r="O25" s="1513"/>
      <c r="P25" s="1301"/>
      <c r="Q25" s="1295"/>
      <c r="R25" s="1512"/>
      <c r="S25" s="1511"/>
    </row>
    <row r="26" spans="1:19" ht="13.5" customHeight="1">
      <c r="A26" s="1308"/>
      <c r="B26" s="1307"/>
      <c r="C26" s="1306"/>
      <c r="D26" s="1295"/>
      <c r="E26" s="1294"/>
      <c r="F26" s="1294"/>
      <c r="G26" s="1295"/>
      <c r="H26" s="1514"/>
      <c r="I26" s="1517"/>
      <c r="J26" s="1514"/>
      <c r="K26" s="1516"/>
      <c r="L26" s="1301"/>
      <c r="M26" s="1515"/>
      <c r="N26" s="1514"/>
      <c r="O26" s="1513"/>
      <c r="P26" s="1301"/>
      <c r="Q26" s="1295"/>
      <c r="R26" s="1512"/>
      <c r="S26" s="1511"/>
    </row>
    <row r="27" spans="1:19" ht="13.5" customHeight="1">
      <c r="A27" s="1308"/>
      <c r="B27" s="1307"/>
      <c r="C27" s="1306"/>
      <c r="D27" s="1295"/>
      <c r="E27" s="1294"/>
      <c r="F27" s="1294"/>
      <c r="G27" s="1295"/>
      <c r="H27" s="1514"/>
      <c r="I27" s="1517"/>
      <c r="J27" s="1514"/>
      <c r="K27" s="1516"/>
      <c r="L27" s="1301"/>
      <c r="M27" s="1515"/>
      <c r="N27" s="1514"/>
      <c r="O27" s="1513"/>
      <c r="P27" s="1301"/>
      <c r="Q27" s="1295"/>
      <c r="R27" s="1512"/>
      <c r="S27" s="1511"/>
    </row>
    <row r="28" spans="1:19" ht="13.5" customHeight="1">
      <c r="A28" s="1308"/>
      <c r="B28" s="1307"/>
      <c r="C28" s="1306"/>
      <c r="D28" s="1295"/>
      <c r="E28" s="1294"/>
      <c r="F28" s="1294"/>
      <c r="G28" s="1295"/>
      <c r="H28" s="1514"/>
      <c r="I28" s="1517"/>
      <c r="J28" s="1514"/>
      <c r="K28" s="1516"/>
      <c r="L28" s="1301"/>
      <c r="M28" s="1515"/>
      <c r="N28" s="1514"/>
      <c r="O28" s="1513"/>
      <c r="P28" s="1301"/>
      <c r="Q28" s="1295"/>
      <c r="R28" s="1512"/>
      <c r="S28" s="1511"/>
    </row>
    <row r="29" spans="1:19" ht="13.5" customHeight="1">
      <c r="A29" s="1308"/>
      <c r="B29" s="1307"/>
      <c r="C29" s="1306"/>
      <c r="D29" s="1295"/>
      <c r="E29" s="1294"/>
      <c r="F29" s="1294"/>
      <c r="G29" s="1295"/>
      <c r="H29" s="1514"/>
      <c r="I29" s="1517"/>
      <c r="J29" s="1514"/>
      <c r="K29" s="1516"/>
      <c r="L29" s="1301"/>
      <c r="M29" s="1515"/>
      <c r="N29" s="1514"/>
      <c r="O29" s="1513"/>
      <c r="P29" s="1301"/>
      <c r="Q29" s="1295"/>
      <c r="R29" s="1512"/>
      <c r="S29" s="1511"/>
    </row>
    <row r="30" spans="1:19" ht="13.5" customHeight="1">
      <c r="A30" s="1308"/>
      <c r="B30" s="1307"/>
      <c r="C30" s="1306"/>
      <c r="D30" s="1295"/>
      <c r="E30" s="1294"/>
      <c r="F30" s="1294"/>
      <c r="G30" s="1295"/>
      <c r="H30" s="1514"/>
      <c r="I30" s="1517"/>
      <c r="J30" s="1514"/>
      <c r="K30" s="1516"/>
      <c r="L30" s="1301"/>
      <c r="M30" s="1515"/>
      <c r="N30" s="1514"/>
      <c r="O30" s="1513"/>
      <c r="P30" s="1301"/>
      <c r="Q30" s="1295"/>
      <c r="R30" s="1512"/>
      <c r="S30" s="1511"/>
    </row>
    <row r="31" spans="1:19" ht="13.5" customHeight="1">
      <c r="A31" s="1308"/>
      <c r="B31" s="1307"/>
      <c r="C31" s="1306"/>
      <c r="D31" s="1295"/>
      <c r="E31" s="1294"/>
      <c r="F31" s="1294"/>
      <c r="G31" s="1295"/>
      <c r="H31" s="1514"/>
      <c r="I31" s="1517"/>
      <c r="J31" s="1514"/>
      <c r="K31" s="1516"/>
      <c r="L31" s="1301"/>
      <c r="M31" s="1515"/>
      <c r="N31" s="1514"/>
      <c r="O31" s="1513"/>
      <c r="P31" s="1301"/>
      <c r="Q31" s="1295"/>
      <c r="R31" s="1512"/>
      <c r="S31" s="1511"/>
    </row>
    <row r="32" spans="1:19" ht="13.5" customHeight="1">
      <c r="A32" s="1308"/>
      <c r="B32" s="1307"/>
      <c r="C32" s="1306"/>
      <c r="D32" s="1295"/>
      <c r="E32" s="1294"/>
      <c r="F32" s="1294"/>
      <c r="G32" s="1295"/>
      <c r="H32" s="1514"/>
      <c r="I32" s="1517"/>
      <c r="J32" s="1514"/>
      <c r="K32" s="1516"/>
      <c r="L32" s="1301"/>
      <c r="M32" s="1515"/>
      <c r="N32" s="1514"/>
      <c r="O32" s="1513"/>
      <c r="P32" s="1301"/>
      <c r="Q32" s="1295"/>
      <c r="R32" s="1512"/>
      <c r="S32" s="1511"/>
    </row>
    <row r="33" spans="1:19" ht="13.5" customHeight="1">
      <c r="A33" s="1308"/>
      <c r="B33" s="1307"/>
      <c r="C33" s="1306"/>
      <c r="D33" s="1295"/>
      <c r="E33" s="1294"/>
      <c r="F33" s="1294"/>
      <c r="G33" s="1295"/>
      <c r="H33" s="1514"/>
      <c r="I33" s="1517"/>
      <c r="J33" s="1514"/>
      <c r="K33" s="1516"/>
      <c r="L33" s="1301"/>
      <c r="M33" s="1515"/>
      <c r="N33" s="1514"/>
      <c r="O33" s="1513"/>
      <c r="P33" s="1301"/>
      <c r="Q33" s="1295"/>
      <c r="R33" s="1512"/>
      <c r="S33" s="1511"/>
    </row>
    <row r="34" spans="1:19" ht="13.5" customHeight="1">
      <c r="A34" s="1308"/>
      <c r="B34" s="1307"/>
      <c r="C34" s="1306"/>
      <c r="D34" s="1295"/>
      <c r="E34" s="1294"/>
      <c r="F34" s="1294"/>
      <c r="G34" s="1295"/>
      <c r="H34" s="1514"/>
      <c r="I34" s="1517"/>
      <c r="J34" s="1514"/>
      <c r="K34" s="1516"/>
      <c r="L34" s="1301"/>
      <c r="M34" s="1515"/>
      <c r="N34" s="1514"/>
      <c r="O34" s="1513"/>
      <c r="P34" s="1301"/>
      <c r="Q34" s="1295"/>
      <c r="R34" s="1512"/>
      <c r="S34" s="1511"/>
    </row>
    <row r="35" spans="1:19" ht="13.5" customHeight="1">
      <c r="A35" s="1308"/>
      <c r="B35" s="1307"/>
      <c r="C35" s="1306"/>
      <c r="D35" s="1295"/>
      <c r="E35" s="1294"/>
      <c r="F35" s="1294"/>
      <c r="G35" s="1295"/>
      <c r="H35" s="1514"/>
      <c r="I35" s="1517"/>
      <c r="J35" s="1514"/>
      <c r="K35" s="1516"/>
      <c r="L35" s="1301"/>
      <c r="M35" s="1515"/>
      <c r="N35" s="1514"/>
      <c r="O35" s="1513"/>
      <c r="P35" s="1301"/>
      <c r="Q35" s="1295"/>
      <c r="R35" s="1512"/>
      <c r="S35" s="1511"/>
    </row>
    <row r="36" spans="1:19" ht="13.5" customHeight="1">
      <c r="A36" s="1308"/>
      <c r="B36" s="1307"/>
      <c r="C36" s="1306"/>
      <c r="D36" s="1295"/>
      <c r="E36" s="1294"/>
      <c r="F36" s="1294"/>
      <c r="G36" s="1295"/>
      <c r="H36" s="1514"/>
      <c r="I36" s="1517"/>
      <c r="J36" s="1514"/>
      <c r="K36" s="1516"/>
      <c r="L36" s="1301"/>
      <c r="M36" s="1515"/>
      <c r="N36" s="1514"/>
      <c r="O36" s="1513"/>
      <c r="P36" s="1301"/>
      <c r="Q36" s="1295"/>
      <c r="R36" s="1512"/>
      <c r="S36" s="1511"/>
    </row>
    <row r="37" spans="1:19" ht="13.5" customHeight="1">
      <c r="A37" s="1308"/>
      <c r="B37" s="1307"/>
      <c r="C37" s="1306"/>
      <c r="D37" s="1295"/>
      <c r="E37" s="1294"/>
      <c r="F37" s="1294"/>
      <c r="G37" s="1295"/>
      <c r="H37" s="1514"/>
      <c r="I37" s="1517"/>
      <c r="J37" s="1514"/>
      <c r="K37" s="1516"/>
      <c r="L37" s="1301"/>
      <c r="M37" s="1515"/>
      <c r="N37" s="1514"/>
      <c r="O37" s="1513"/>
      <c r="P37" s="1301"/>
      <c r="Q37" s="1295"/>
      <c r="R37" s="1512"/>
      <c r="S37" s="1511"/>
    </row>
    <row r="38" spans="1:19" ht="13.5" customHeight="1">
      <c r="A38" s="1308"/>
      <c r="B38" s="1307"/>
      <c r="C38" s="1306"/>
      <c r="D38" s="1295"/>
      <c r="E38" s="1294"/>
      <c r="F38" s="1294"/>
      <c r="G38" s="1295"/>
      <c r="H38" s="1514"/>
      <c r="I38" s="1517"/>
      <c r="J38" s="1514"/>
      <c r="K38" s="1516"/>
      <c r="L38" s="1301"/>
      <c r="M38" s="1515"/>
      <c r="N38" s="1514"/>
      <c r="O38" s="1513"/>
      <c r="P38" s="1301"/>
      <c r="Q38" s="1295"/>
      <c r="R38" s="1512"/>
      <c r="S38" s="1511"/>
    </row>
    <row r="39" spans="1:19" ht="13.5" customHeight="1">
      <c r="A39" s="1308"/>
      <c r="B39" s="1307"/>
      <c r="C39" s="1306"/>
      <c r="D39" s="1295"/>
      <c r="E39" s="1294"/>
      <c r="F39" s="1294"/>
      <c r="G39" s="1295"/>
      <c r="H39" s="1514"/>
      <c r="I39" s="1517"/>
      <c r="J39" s="1514"/>
      <c r="K39" s="1516"/>
      <c r="L39" s="1301"/>
      <c r="M39" s="1515"/>
      <c r="N39" s="1514"/>
      <c r="O39" s="1513"/>
      <c r="P39" s="1301"/>
      <c r="Q39" s="1295"/>
      <c r="R39" s="1512"/>
      <c r="S39" s="1511"/>
    </row>
    <row r="40" spans="1:19" ht="13.5" customHeight="1">
      <c r="A40" s="1308"/>
      <c r="B40" s="1307"/>
      <c r="C40" s="1306"/>
      <c r="D40" s="1295"/>
      <c r="E40" s="1294"/>
      <c r="F40" s="1294"/>
      <c r="G40" s="1295"/>
      <c r="H40" s="1514"/>
      <c r="I40" s="1517"/>
      <c r="J40" s="1514"/>
      <c r="K40" s="1516"/>
      <c r="L40" s="1301"/>
      <c r="M40" s="1515"/>
      <c r="N40" s="1514"/>
      <c r="O40" s="1513"/>
      <c r="P40" s="1301"/>
      <c r="Q40" s="1295"/>
      <c r="R40" s="1512"/>
      <c r="S40" s="1511"/>
    </row>
    <row r="41" spans="1:19" ht="13.5" customHeight="1">
      <c r="A41" s="1308"/>
      <c r="B41" s="1307"/>
      <c r="C41" s="1306"/>
      <c r="D41" s="1295"/>
      <c r="E41" s="1294"/>
      <c r="F41" s="1294"/>
      <c r="G41" s="1295"/>
      <c r="H41" s="1514"/>
      <c r="I41" s="1517"/>
      <c r="J41" s="1514"/>
      <c r="K41" s="1516"/>
      <c r="L41" s="1301"/>
      <c r="M41" s="1515"/>
      <c r="N41" s="1514"/>
      <c r="O41" s="1513"/>
      <c r="P41" s="1301"/>
      <c r="Q41" s="1295"/>
      <c r="R41" s="1512"/>
      <c r="S41" s="1511"/>
    </row>
    <row r="42" spans="1:19" ht="13.5" customHeight="1">
      <c r="A42" s="1290"/>
      <c r="B42" s="1289"/>
      <c r="C42" s="1288"/>
      <c r="D42" s="1286"/>
      <c r="E42" s="1285"/>
      <c r="F42" s="1285"/>
      <c r="G42" s="1286"/>
      <c r="H42" s="1507"/>
      <c r="I42" s="1510"/>
      <c r="J42" s="1507"/>
      <c r="K42" s="1509"/>
      <c r="L42" s="1287"/>
      <c r="M42" s="1508"/>
      <c r="N42" s="1507"/>
      <c r="O42" s="1506"/>
      <c r="P42" s="1287"/>
      <c r="Q42" s="1286"/>
      <c r="R42" s="1505"/>
      <c r="S42" s="1504"/>
    </row>
    <row r="53" spans="3:15" s="1276" customFormat="1" ht="13.5" customHeight="1">
      <c r="C53" s="1283"/>
      <c r="M53" s="1283"/>
      <c r="O53" s="1280"/>
    </row>
    <row r="54" spans="3:15" s="1276" customFormat="1" ht="13.5" customHeight="1">
      <c r="C54" s="1283"/>
      <c r="M54" s="1283"/>
      <c r="N54" s="1284"/>
      <c r="O54" s="1280"/>
    </row>
    <row r="55" spans="3:15" s="1276" customFormat="1" ht="13.5" customHeight="1">
      <c r="C55" s="1283"/>
      <c r="M55" s="1283"/>
      <c r="N55" s="1282"/>
      <c r="O55" s="1280"/>
    </row>
    <row r="56" spans="3:15" s="1276" customFormat="1" ht="13.5" customHeight="1">
      <c r="C56" s="1281"/>
      <c r="M56" s="1281"/>
      <c r="N56" s="1280"/>
    </row>
  </sheetData>
  <mergeCells count="20">
    <mergeCell ref="A10:C10"/>
    <mergeCell ref="A16:C16"/>
    <mergeCell ref="A4:A7"/>
    <mergeCell ref="B4:B7"/>
    <mergeCell ref="C4:C7"/>
    <mergeCell ref="D4:F4"/>
    <mergeCell ref="G4:L4"/>
    <mergeCell ref="M4:P4"/>
    <mergeCell ref="H6:J6"/>
    <mergeCell ref="K6:K7"/>
    <mergeCell ref="Q4:R6"/>
    <mergeCell ref="S4:S7"/>
    <mergeCell ref="D5:D7"/>
    <mergeCell ref="E5:E7"/>
    <mergeCell ref="F5:F7"/>
    <mergeCell ref="G5:G7"/>
    <mergeCell ref="H5:K5"/>
    <mergeCell ref="L5:L7"/>
    <mergeCell ref="M5:O6"/>
    <mergeCell ref="P5:P7"/>
  </mergeCells>
  <phoneticPr fontId="3"/>
  <printOptions horizontalCentered="1"/>
  <pageMargins left="0.39370078740157483" right="0.39370078740157483" top="0.78740157480314965" bottom="0.55118110236220474" header="0.31496062992125984" footer="0.31496062992125984"/>
  <pageSetup paperSize="9" scale="79" fitToHeight="0" orientation="landscape" horizontalDpi="1200" verticalDpi="1200" r:id="rId1"/>
  <headerFooter scaleWithDoc="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800</v>
      </c>
    </row>
    <row r="6" spans="1:5" ht="30" customHeight="1">
      <c r="A6" s="6"/>
    </row>
    <row r="7" spans="1:5" ht="30" customHeight="1">
      <c r="A7" s="6" t="s">
        <v>801</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99" customFormat="1" ht="30" customHeight="1">
      <c r="A1" s="1607" t="s">
        <v>804</v>
      </c>
      <c r="B1" s="1606"/>
      <c r="C1" s="1605"/>
      <c r="D1" s="1604"/>
      <c r="E1" s="1603"/>
      <c r="F1" s="1603"/>
      <c r="G1" s="1603"/>
      <c r="H1" s="1602"/>
      <c r="I1" s="1602"/>
      <c r="J1" s="1603"/>
      <c r="K1" s="1603"/>
      <c r="L1" s="1602"/>
      <c r="M1" s="1602"/>
      <c r="N1" s="1603"/>
      <c r="O1" s="1602"/>
      <c r="P1" s="1603"/>
      <c r="Q1" s="1603"/>
      <c r="R1" s="1602"/>
      <c r="S1" s="1603"/>
      <c r="T1" s="1603"/>
      <c r="U1" s="1602"/>
      <c r="V1" s="1603"/>
      <c r="W1" s="1603"/>
      <c r="X1" s="1602"/>
      <c r="Y1" s="1602"/>
      <c r="Z1" s="1603"/>
      <c r="AA1" s="1602"/>
      <c r="AB1" s="1601"/>
      <c r="AC1" s="1600"/>
    </row>
    <row r="4" spans="1:29" ht="13.5" customHeight="1">
      <c r="A4" s="1382" t="s">
        <v>368</v>
      </c>
      <c r="B4" s="1381" t="s">
        <v>354</v>
      </c>
      <c r="C4" s="1566" t="s">
        <v>630</v>
      </c>
      <c r="D4" s="1598" t="s">
        <v>629</v>
      </c>
      <c r="E4" s="1562" t="s">
        <v>803</v>
      </c>
      <c r="F4" s="1561"/>
      <c r="G4" s="1561"/>
      <c r="H4" s="1561"/>
      <c r="I4" s="1561"/>
      <c r="J4" s="1561"/>
      <c r="K4" s="1561"/>
      <c r="L4" s="1561"/>
      <c r="M4" s="1561"/>
      <c r="N4" s="1561"/>
      <c r="O4" s="1561"/>
      <c r="P4" s="1561"/>
      <c r="Q4" s="1561"/>
      <c r="R4" s="1561"/>
      <c r="S4" s="1561"/>
      <c r="T4" s="1561"/>
      <c r="U4" s="1561"/>
      <c r="V4" s="1561"/>
      <c r="W4" s="1561"/>
      <c r="X4" s="1561"/>
      <c r="Y4" s="1561"/>
      <c r="Z4" s="1561"/>
      <c r="AA4" s="1561"/>
      <c r="AB4" s="1560"/>
      <c r="AC4" s="1597" t="s">
        <v>802</v>
      </c>
    </row>
    <row r="5" spans="1:29" ht="13.5" customHeight="1">
      <c r="A5" s="1350"/>
      <c r="B5" s="1349"/>
      <c r="C5" s="1548"/>
      <c r="D5" s="1608"/>
      <c r="E5" s="1596">
        <v>1</v>
      </c>
      <c r="F5" s="1595">
        <v>2</v>
      </c>
      <c r="G5" s="1595">
        <v>3</v>
      </c>
      <c r="H5" s="1595">
        <v>4</v>
      </c>
      <c r="I5" s="1595">
        <v>5</v>
      </c>
      <c r="J5" s="1595">
        <v>6</v>
      </c>
      <c r="K5" s="1595">
        <v>7</v>
      </c>
      <c r="L5" s="1595">
        <v>8</v>
      </c>
      <c r="M5" s="1595">
        <v>9</v>
      </c>
      <c r="N5" s="1595">
        <v>10</v>
      </c>
      <c r="O5" s="1595">
        <v>11</v>
      </c>
      <c r="P5" s="1595">
        <v>12</v>
      </c>
      <c r="Q5" s="1595">
        <v>13</v>
      </c>
      <c r="R5" s="1595">
        <v>14</v>
      </c>
      <c r="S5" s="1595">
        <v>15</v>
      </c>
      <c r="T5" s="1595">
        <v>16</v>
      </c>
      <c r="U5" s="1595">
        <v>17</v>
      </c>
      <c r="V5" s="1595">
        <v>18</v>
      </c>
      <c r="W5" s="1595">
        <v>19</v>
      </c>
      <c r="X5" s="1595">
        <v>20</v>
      </c>
      <c r="Y5" s="1595">
        <v>21</v>
      </c>
      <c r="Z5" s="1595">
        <v>22</v>
      </c>
      <c r="AA5" s="1595">
        <v>23</v>
      </c>
      <c r="AB5" s="1594">
        <v>24</v>
      </c>
      <c r="AC5" s="1609"/>
    </row>
    <row r="6" spans="1:29" ht="13.5" customHeight="1">
      <c r="A6" s="1615" t="s">
        <v>379</v>
      </c>
      <c r="B6" s="1616"/>
      <c r="C6" s="1616"/>
      <c r="D6" s="1616"/>
      <c r="E6" s="1616"/>
      <c r="F6" s="1616"/>
      <c r="G6" s="1616"/>
      <c r="H6" s="1616"/>
      <c r="I6" s="1616"/>
      <c r="J6" s="1616"/>
      <c r="K6" s="1616"/>
      <c r="L6" s="1616"/>
      <c r="M6" s="1616"/>
      <c r="N6" s="1616"/>
      <c r="O6" s="1616"/>
      <c r="P6" s="1616"/>
      <c r="Q6" s="1616"/>
      <c r="R6" s="1616"/>
      <c r="S6" s="1616"/>
      <c r="T6" s="1616"/>
      <c r="U6" s="1616"/>
      <c r="V6" s="1616"/>
      <c r="W6" s="1616"/>
      <c r="X6" s="1616"/>
      <c r="Y6" s="1616"/>
      <c r="Z6" s="1616"/>
      <c r="AA6" s="1616"/>
      <c r="AB6" s="1616"/>
      <c r="AC6" s="1617"/>
    </row>
    <row r="7" spans="1:29" ht="13.5" customHeight="1">
      <c r="A7" s="1624" t="s">
        <v>805</v>
      </c>
      <c r="B7" s="1625"/>
      <c r="C7" s="1626"/>
      <c r="D7" s="1619"/>
      <c r="E7" s="1620"/>
      <c r="F7" s="1621"/>
      <c r="G7" s="1621"/>
      <c r="H7" s="1621"/>
      <c r="I7" s="1621"/>
      <c r="J7" s="1621"/>
      <c r="K7" s="1621"/>
      <c r="L7" s="1621"/>
      <c r="M7" s="1621"/>
      <c r="N7" s="1621"/>
      <c r="O7" s="1621"/>
      <c r="P7" s="1621"/>
      <c r="Q7" s="1621"/>
      <c r="R7" s="1621"/>
      <c r="S7" s="1621"/>
      <c r="T7" s="1621"/>
      <c r="U7" s="1621"/>
      <c r="V7" s="1621"/>
      <c r="W7" s="1621"/>
      <c r="X7" s="1621"/>
      <c r="Y7" s="1621"/>
      <c r="Z7" s="1621"/>
      <c r="AA7" s="1621"/>
      <c r="AB7" s="1622"/>
      <c r="AC7" s="1623"/>
    </row>
    <row r="8" spans="1:29" ht="13.5" customHeight="1">
      <c r="A8" s="1308">
        <v>2</v>
      </c>
      <c r="B8" s="1307">
        <v>201</v>
      </c>
      <c r="C8" s="1610" t="s">
        <v>343</v>
      </c>
      <c r="D8" s="1305">
        <v>54.8</v>
      </c>
      <c r="E8" s="1295">
        <v>0</v>
      </c>
      <c r="F8" s="1294">
        <v>0</v>
      </c>
      <c r="G8" s="1294">
        <v>0</v>
      </c>
      <c r="H8" s="1294">
        <v>0</v>
      </c>
      <c r="I8" s="1294">
        <v>0</v>
      </c>
      <c r="J8" s="1294">
        <v>0</v>
      </c>
      <c r="K8" s="1294">
        <v>0</v>
      </c>
      <c r="L8" s="1294">
        <v>0</v>
      </c>
      <c r="M8" s="1294">
        <v>8171</v>
      </c>
      <c r="N8" s="1294">
        <v>8225</v>
      </c>
      <c r="O8" s="1294">
        <v>8243</v>
      </c>
      <c r="P8" s="1294">
        <v>8162</v>
      </c>
      <c r="Q8" s="1294">
        <v>8297</v>
      </c>
      <c r="R8" s="1294">
        <v>8255</v>
      </c>
      <c r="S8" s="1294">
        <v>8255</v>
      </c>
      <c r="T8" s="1294">
        <v>8237</v>
      </c>
      <c r="U8" s="1294">
        <v>8195</v>
      </c>
      <c r="V8" s="1294">
        <v>8153</v>
      </c>
      <c r="W8" s="1294">
        <v>0</v>
      </c>
      <c r="X8" s="1294">
        <v>0</v>
      </c>
      <c r="Y8" s="1294">
        <v>0</v>
      </c>
      <c r="Z8" s="1294">
        <v>0</v>
      </c>
      <c r="AA8" s="1294">
        <v>0</v>
      </c>
      <c r="AB8" s="1592">
        <v>0</v>
      </c>
      <c r="AC8" s="1591"/>
    </row>
    <row r="9" spans="1:29" ht="13.5" customHeight="1">
      <c r="A9" s="1308">
        <v>2</v>
      </c>
      <c r="B9" s="1307">
        <v>204</v>
      </c>
      <c r="C9" s="1593" t="s">
        <v>538</v>
      </c>
      <c r="D9" s="1305">
        <v>13.2</v>
      </c>
      <c r="E9" s="1295">
        <v>0</v>
      </c>
      <c r="F9" s="1294">
        <v>0</v>
      </c>
      <c r="G9" s="1294">
        <v>0</v>
      </c>
      <c r="H9" s="1294">
        <v>0</v>
      </c>
      <c r="I9" s="1294">
        <v>0</v>
      </c>
      <c r="J9" s="1294">
        <v>0</v>
      </c>
      <c r="K9" s="1294">
        <v>0</v>
      </c>
      <c r="L9" s="1294">
        <v>0</v>
      </c>
      <c r="M9" s="1294">
        <v>2184</v>
      </c>
      <c r="N9" s="1294">
        <v>2220</v>
      </c>
      <c r="O9" s="1294">
        <v>2232</v>
      </c>
      <c r="P9" s="1294">
        <v>2284</v>
      </c>
      <c r="Q9" s="1294">
        <v>2268</v>
      </c>
      <c r="R9" s="1294">
        <v>2240</v>
      </c>
      <c r="S9" s="1294">
        <v>2240</v>
      </c>
      <c r="T9" s="1294">
        <v>2228</v>
      </c>
      <c r="U9" s="1294">
        <v>2200</v>
      </c>
      <c r="V9" s="1294">
        <v>2172</v>
      </c>
      <c r="W9" s="1294">
        <v>0</v>
      </c>
      <c r="X9" s="1294">
        <v>0</v>
      </c>
      <c r="Y9" s="1294">
        <v>0</v>
      </c>
      <c r="Z9" s="1294">
        <v>0</v>
      </c>
      <c r="AA9" s="1294">
        <v>0</v>
      </c>
      <c r="AB9" s="1592">
        <v>0</v>
      </c>
      <c r="AC9" s="1591"/>
    </row>
    <row r="10" spans="1:29" ht="13.5" customHeight="1">
      <c r="A10" s="1308">
        <v>2</v>
      </c>
      <c r="B10" s="1307">
        <v>205</v>
      </c>
      <c r="C10" s="1593" t="s">
        <v>563</v>
      </c>
      <c r="D10" s="1305">
        <v>13.2</v>
      </c>
      <c r="E10" s="1295">
        <v>0</v>
      </c>
      <c r="F10" s="1294">
        <v>0</v>
      </c>
      <c r="G10" s="1294">
        <v>0</v>
      </c>
      <c r="H10" s="1294">
        <v>0</v>
      </c>
      <c r="I10" s="1294">
        <v>0</v>
      </c>
      <c r="J10" s="1294">
        <v>0</v>
      </c>
      <c r="K10" s="1294">
        <v>0</v>
      </c>
      <c r="L10" s="1294">
        <v>0</v>
      </c>
      <c r="M10" s="1294">
        <v>2369</v>
      </c>
      <c r="N10" s="1294">
        <v>2405</v>
      </c>
      <c r="O10" s="1294">
        <v>2417</v>
      </c>
      <c r="P10" s="1294">
        <v>2469</v>
      </c>
      <c r="Q10" s="1294">
        <v>2453</v>
      </c>
      <c r="R10" s="1294">
        <v>2425</v>
      </c>
      <c r="S10" s="1294">
        <v>2425</v>
      </c>
      <c r="T10" s="1294">
        <v>2413</v>
      </c>
      <c r="U10" s="1294">
        <v>2385</v>
      </c>
      <c r="V10" s="1294">
        <v>2357</v>
      </c>
      <c r="W10" s="1294">
        <v>0</v>
      </c>
      <c r="X10" s="1294">
        <v>0</v>
      </c>
      <c r="Y10" s="1294">
        <v>0</v>
      </c>
      <c r="Z10" s="1294">
        <v>0</v>
      </c>
      <c r="AA10" s="1294">
        <v>0</v>
      </c>
      <c r="AB10" s="1592">
        <v>0</v>
      </c>
      <c r="AC10" s="1591"/>
    </row>
    <row r="11" spans="1:29" ht="13.5" customHeight="1">
      <c r="A11" s="1411">
        <v>2</v>
      </c>
      <c r="B11" s="1412">
        <v>208</v>
      </c>
      <c r="C11" s="1612" t="s">
        <v>583</v>
      </c>
      <c r="D11" s="1414">
        <v>53.3</v>
      </c>
      <c r="E11" s="1418">
        <v>0</v>
      </c>
      <c r="F11" s="1419">
        <v>0</v>
      </c>
      <c r="G11" s="1419">
        <v>0</v>
      </c>
      <c r="H11" s="1419">
        <v>0</v>
      </c>
      <c r="I11" s="1419">
        <v>0</v>
      </c>
      <c r="J11" s="1419">
        <v>0</v>
      </c>
      <c r="K11" s="1419">
        <v>0</v>
      </c>
      <c r="L11" s="1419">
        <v>0</v>
      </c>
      <c r="M11" s="1419">
        <v>4731</v>
      </c>
      <c r="N11" s="1419">
        <v>4764</v>
      </c>
      <c r="O11" s="1419">
        <v>4775</v>
      </c>
      <c r="P11" s="1419">
        <v>4823</v>
      </c>
      <c r="Q11" s="1419">
        <v>4808</v>
      </c>
      <c r="R11" s="1419">
        <v>4783</v>
      </c>
      <c r="S11" s="1419">
        <v>4783</v>
      </c>
      <c r="T11" s="1419">
        <v>4772</v>
      </c>
      <c r="U11" s="1419">
        <v>4746</v>
      </c>
      <c r="V11" s="1419">
        <v>4720</v>
      </c>
      <c r="W11" s="1419">
        <v>0</v>
      </c>
      <c r="X11" s="1419">
        <v>0</v>
      </c>
      <c r="Y11" s="1419">
        <v>0</v>
      </c>
      <c r="Z11" s="1419">
        <v>0</v>
      </c>
      <c r="AA11" s="1419">
        <v>0</v>
      </c>
      <c r="AB11" s="1613">
        <v>0</v>
      </c>
      <c r="AC11" s="1614"/>
    </row>
    <row r="12" spans="1:29" ht="13.5" customHeight="1">
      <c r="A12" s="1629"/>
      <c r="B12" s="1630"/>
      <c r="C12" s="1631" t="s">
        <v>806</v>
      </c>
      <c r="D12" s="1632"/>
      <c r="E12" s="1633">
        <v>0</v>
      </c>
      <c r="F12" s="1634">
        <v>0</v>
      </c>
      <c r="G12" s="1634">
        <v>0</v>
      </c>
      <c r="H12" s="1634">
        <v>0</v>
      </c>
      <c r="I12" s="1634">
        <v>0</v>
      </c>
      <c r="J12" s="1634">
        <v>0</v>
      </c>
      <c r="K12" s="1634">
        <v>0</v>
      </c>
      <c r="L12" s="1634">
        <v>0</v>
      </c>
      <c r="M12" s="1634">
        <v>928</v>
      </c>
      <c r="N12" s="1634">
        <v>928</v>
      </c>
      <c r="O12" s="1634">
        <v>928</v>
      </c>
      <c r="P12" s="1634">
        <v>928</v>
      </c>
      <c r="Q12" s="1634">
        <v>928</v>
      </c>
      <c r="R12" s="1634">
        <v>928</v>
      </c>
      <c r="S12" s="1634">
        <v>928</v>
      </c>
      <c r="T12" s="1634">
        <v>928</v>
      </c>
      <c r="U12" s="1634">
        <v>928</v>
      </c>
      <c r="V12" s="1634">
        <v>928</v>
      </c>
      <c r="W12" s="1634">
        <v>0</v>
      </c>
      <c r="X12" s="1634">
        <v>0</v>
      </c>
      <c r="Y12" s="1634">
        <v>0</v>
      </c>
      <c r="Z12" s="1634">
        <v>0</v>
      </c>
      <c r="AA12" s="1634">
        <v>0</v>
      </c>
      <c r="AB12" s="1634">
        <v>0</v>
      </c>
      <c r="AC12" s="1635"/>
    </row>
    <row r="13" spans="1:29" ht="13.5" customHeight="1" thickBot="1">
      <c r="A13" s="1629"/>
      <c r="B13" s="1630"/>
      <c r="C13" s="1631" t="s">
        <v>807</v>
      </c>
      <c r="D13" s="1632"/>
      <c r="E13" s="1633">
        <v>0</v>
      </c>
      <c r="F13" s="1634">
        <v>0</v>
      </c>
      <c r="G13" s="1634">
        <v>0</v>
      </c>
      <c r="H13" s="1634">
        <v>0</v>
      </c>
      <c r="I13" s="1634">
        <v>0</v>
      </c>
      <c r="J13" s="1634">
        <v>0</v>
      </c>
      <c r="K13" s="1634">
        <v>0</v>
      </c>
      <c r="L13" s="1634">
        <v>0</v>
      </c>
      <c r="M13" s="1634">
        <v>1603</v>
      </c>
      <c r="N13" s="1634">
        <v>1603</v>
      </c>
      <c r="O13" s="1634">
        <v>1603</v>
      </c>
      <c r="P13" s="1634">
        <v>1603</v>
      </c>
      <c r="Q13" s="1634">
        <v>1603</v>
      </c>
      <c r="R13" s="1634">
        <v>1603</v>
      </c>
      <c r="S13" s="1634">
        <v>1603</v>
      </c>
      <c r="T13" s="1634">
        <v>1603</v>
      </c>
      <c r="U13" s="1634">
        <v>1603</v>
      </c>
      <c r="V13" s="1634">
        <v>1603</v>
      </c>
      <c r="W13" s="1634">
        <v>0</v>
      </c>
      <c r="X13" s="1634">
        <v>0</v>
      </c>
      <c r="Y13" s="1634">
        <v>0</v>
      </c>
      <c r="Z13" s="1634">
        <v>0</v>
      </c>
      <c r="AA13" s="1634">
        <v>0</v>
      </c>
      <c r="AB13" s="1634">
        <v>0</v>
      </c>
      <c r="AC13" s="1635"/>
    </row>
    <row r="14" spans="1:29" ht="13.5" customHeight="1" thickTop="1">
      <c r="A14" s="1640" t="s">
        <v>808</v>
      </c>
      <c r="B14" s="1589"/>
      <c r="C14" s="1590"/>
      <c r="D14" s="1641">
        <v>134.5</v>
      </c>
      <c r="E14" s="1637">
        <v>0</v>
      </c>
      <c r="F14" s="1638">
        <v>0</v>
      </c>
      <c r="G14" s="1638">
        <v>0</v>
      </c>
      <c r="H14" s="1638">
        <v>0</v>
      </c>
      <c r="I14" s="1638">
        <v>0</v>
      </c>
      <c r="J14" s="1638">
        <v>0</v>
      </c>
      <c r="K14" s="1638">
        <v>0</v>
      </c>
      <c r="L14" s="1638">
        <v>0</v>
      </c>
      <c r="M14" s="1638">
        <v>19986</v>
      </c>
      <c r="N14" s="1638">
        <v>20145</v>
      </c>
      <c r="O14" s="1638">
        <v>20198</v>
      </c>
      <c r="P14" s="1638">
        <v>20269</v>
      </c>
      <c r="Q14" s="1638">
        <v>20357</v>
      </c>
      <c r="R14" s="1638">
        <v>20234</v>
      </c>
      <c r="S14" s="1638">
        <v>20234</v>
      </c>
      <c r="T14" s="1638">
        <v>20181</v>
      </c>
      <c r="U14" s="1638">
        <v>20057</v>
      </c>
      <c r="V14" s="1638">
        <v>19933</v>
      </c>
      <c r="W14" s="1638">
        <v>0</v>
      </c>
      <c r="X14" s="1638">
        <v>0</v>
      </c>
      <c r="Y14" s="1638">
        <v>0</v>
      </c>
      <c r="Z14" s="1638">
        <v>0</v>
      </c>
      <c r="AA14" s="1638">
        <v>0</v>
      </c>
      <c r="AB14" s="1638">
        <v>0</v>
      </c>
      <c r="AC14" s="1639"/>
    </row>
    <row r="15" spans="1:29" ht="13.5" customHeight="1" thickBot="1">
      <c r="A15" s="1411"/>
      <c r="B15" s="1412"/>
      <c r="C15" s="1642"/>
      <c r="D15" s="1414"/>
      <c r="E15" s="1418"/>
      <c r="F15" s="1419"/>
      <c r="G15" s="1419"/>
      <c r="H15" s="1419"/>
      <c r="I15" s="1419"/>
      <c r="J15" s="1419"/>
      <c r="K15" s="1419"/>
      <c r="L15" s="1419"/>
      <c r="M15" s="1419"/>
      <c r="N15" s="1419"/>
      <c r="O15" s="1419"/>
      <c r="P15" s="1419"/>
      <c r="Q15" s="1419"/>
      <c r="R15" s="1419"/>
      <c r="S15" s="1419"/>
      <c r="T15" s="1419"/>
      <c r="U15" s="1419"/>
      <c r="V15" s="1419"/>
      <c r="W15" s="1419"/>
      <c r="X15" s="1419"/>
      <c r="Y15" s="1419"/>
      <c r="Z15" s="1419"/>
      <c r="AA15" s="1419"/>
      <c r="AB15" s="1613"/>
      <c r="AC15" s="1614"/>
    </row>
    <row r="16" spans="1:29" ht="13.5" customHeight="1" thickTop="1">
      <c r="A16" s="1647" t="s">
        <v>809</v>
      </c>
      <c r="B16" s="1648"/>
      <c r="C16" s="1648"/>
      <c r="D16" s="1643">
        <v>134.5</v>
      </c>
      <c r="E16" s="1644">
        <v>0</v>
      </c>
      <c r="F16" s="1645">
        <v>0</v>
      </c>
      <c r="G16" s="1645">
        <v>0</v>
      </c>
      <c r="H16" s="1645">
        <v>0</v>
      </c>
      <c r="I16" s="1645">
        <v>0</v>
      </c>
      <c r="J16" s="1645">
        <v>0</v>
      </c>
      <c r="K16" s="1645">
        <v>0</v>
      </c>
      <c r="L16" s="1645">
        <v>0</v>
      </c>
      <c r="M16" s="1645">
        <v>19986</v>
      </c>
      <c r="N16" s="1645">
        <v>20145</v>
      </c>
      <c r="O16" s="1645">
        <v>20198</v>
      </c>
      <c r="P16" s="1645">
        <v>20269</v>
      </c>
      <c r="Q16" s="1645">
        <v>20357</v>
      </c>
      <c r="R16" s="1645">
        <v>20234</v>
      </c>
      <c r="S16" s="1645">
        <v>20234</v>
      </c>
      <c r="T16" s="1645">
        <v>20181</v>
      </c>
      <c r="U16" s="1645">
        <v>20057</v>
      </c>
      <c r="V16" s="1645">
        <v>19933</v>
      </c>
      <c r="W16" s="1645">
        <v>0</v>
      </c>
      <c r="X16" s="1645">
        <v>0</v>
      </c>
      <c r="Y16" s="1645">
        <v>0</v>
      </c>
      <c r="Z16" s="1645">
        <v>0</v>
      </c>
      <c r="AA16" s="1645">
        <v>0</v>
      </c>
      <c r="AB16" s="1645">
        <v>0</v>
      </c>
      <c r="AC16" s="1646"/>
    </row>
    <row r="17" spans="1:29" ht="13.5" customHeight="1">
      <c r="A17" s="1411"/>
      <c r="B17" s="1412"/>
      <c r="C17" s="1642"/>
      <c r="D17" s="1414"/>
      <c r="E17" s="1418"/>
      <c r="F17" s="1419"/>
      <c r="G17" s="1419"/>
      <c r="H17" s="1419"/>
      <c r="I17" s="1419"/>
      <c r="J17" s="1419"/>
      <c r="K17" s="1419"/>
      <c r="L17" s="1419"/>
      <c r="M17" s="1419"/>
      <c r="N17" s="1419"/>
      <c r="O17" s="1419"/>
      <c r="P17" s="1419"/>
      <c r="Q17" s="1419"/>
      <c r="R17" s="1419"/>
      <c r="S17" s="1419"/>
      <c r="T17" s="1419"/>
      <c r="U17" s="1419"/>
      <c r="V17" s="1419"/>
      <c r="W17" s="1419"/>
      <c r="X17" s="1419"/>
      <c r="Y17" s="1419"/>
      <c r="Z17" s="1419"/>
      <c r="AA17" s="1419"/>
      <c r="AB17" s="1613"/>
      <c r="AC17" s="1614"/>
    </row>
    <row r="18" spans="1:29" ht="13.5" customHeight="1">
      <c r="A18" s="1627" t="s">
        <v>381</v>
      </c>
      <c r="B18" s="1616"/>
      <c r="C18" s="1616"/>
      <c r="D18" s="1616"/>
      <c r="E18" s="1616"/>
      <c r="F18" s="1616"/>
      <c r="G18" s="1616"/>
      <c r="H18" s="1616"/>
      <c r="I18" s="1616"/>
      <c r="J18" s="1616"/>
      <c r="K18" s="1616"/>
      <c r="L18" s="1616"/>
      <c r="M18" s="1616"/>
      <c r="N18" s="1616"/>
      <c r="O18" s="1616"/>
      <c r="P18" s="1616"/>
      <c r="Q18" s="1616"/>
      <c r="R18" s="1616"/>
      <c r="S18" s="1616"/>
      <c r="T18" s="1616"/>
      <c r="U18" s="1616"/>
      <c r="V18" s="1616"/>
      <c r="W18" s="1616"/>
      <c r="X18" s="1616"/>
      <c r="Y18" s="1616"/>
      <c r="Z18" s="1616"/>
      <c r="AA18" s="1616"/>
      <c r="AB18" s="1616"/>
      <c r="AC18" s="1617"/>
    </row>
    <row r="19" spans="1:29" ht="13.5" customHeight="1">
      <c r="A19" s="1624" t="s">
        <v>805</v>
      </c>
      <c r="B19" s="1625"/>
      <c r="C19" s="1626"/>
      <c r="D19" s="1619"/>
      <c r="E19" s="1620"/>
      <c r="F19" s="1621"/>
      <c r="G19" s="1621"/>
      <c r="H19" s="1621"/>
      <c r="I19" s="1621"/>
      <c r="J19" s="1621"/>
      <c r="K19" s="1621"/>
      <c r="L19" s="1621"/>
      <c r="M19" s="1621"/>
      <c r="N19" s="1621"/>
      <c r="O19" s="1621"/>
      <c r="P19" s="1621"/>
      <c r="Q19" s="1621"/>
      <c r="R19" s="1621"/>
      <c r="S19" s="1621"/>
      <c r="T19" s="1621"/>
      <c r="U19" s="1621"/>
      <c r="V19" s="1621"/>
      <c r="W19" s="1621"/>
      <c r="X19" s="1621"/>
      <c r="Y19" s="1621"/>
      <c r="Z19" s="1621"/>
      <c r="AA19" s="1621"/>
      <c r="AB19" s="1622"/>
      <c r="AC19" s="1623"/>
    </row>
    <row r="20" spans="1:29" ht="13.5" customHeight="1">
      <c r="A20" s="1308">
        <v>2</v>
      </c>
      <c r="B20" s="1307">
        <v>201</v>
      </c>
      <c r="C20" s="1610" t="s">
        <v>343</v>
      </c>
      <c r="D20" s="1305">
        <v>54.8</v>
      </c>
      <c r="E20" s="1295">
        <v>0</v>
      </c>
      <c r="F20" s="1294">
        <v>0</v>
      </c>
      <c r="G20" s="1294">
        <v>0</v>
      </c>
      <c r="H20" s="1294">
        <v>0</v>
      </c>
      <c r="I20" s="1294">
        <v>0</v>
      </c>
      <c r="J20" s="1294">
        <v>0</v>
      </c>
      <c r="K20" s="1294">
        <v>0</v>
      </c>
      <c r="L20" s="1294">
        <v>0</v>
      </c>
      <c r="M20" s="1294">
        <v>7865</v>
      </c>
      <c r="N20" s="1294">
        <v>7913</v>
      </c>
      <c r="O20" s="1294">
        <v>7967</v>
      </c>
      <c r="P20" s="1294">
        <v>7850</v>
      </c>
      <c r="Q20" s="1294">
        <v>8033</v>
      </c>
      <c r="R20" s="1294">
        <v>7991</v>
      </c>
      <c r="S20" s="1294">
        <v>7979</v>
      </c>
      <c r="T20" s="1294">
        <v>7967</v>
      </c>
      <c r="U20" s="1294">
        <v>7967</v>
      </c>
      <c r="V20" s="1294">
        <v>7925</v>
      </c>
      <c r="W20" s="1294">
        <v>0</v>
      </c>
      <c r="X20" s="1294">
        <v>0</v>
      </c>
      <c r="Y20" s="1294">
        <v>0</v>
      </c>
      <c r="Z20" s="1294">
        <v>0</v>
      </c>
      <c r="AA20" s="1294">
        <v>0</v>
      </c>
      <c r="AB20" s="1592">
        <v>0</v>
      </c>
      <c r="AC20" s="1591"/>
    </row>
    <row r="21" spans="1:29" ht="13.5" customHeight="1">
      <c r="A21" s="1308">
        <v>2</v>
      </c>
      <c r="B21" s="1307">
        <v>204</v>
      </c>
      <c r="C21" s="1593" t="s">
        <v>538</v>
      </c>
      <c r="D21" s="1305">
        <v>13.2</v>
      </c>
      <c r="E21" s="1295">
        <v>0</v>
      </c>
      <c r="F21" s="1294">
        <v>0</v>
      </c>
      <c r="G21" s="1294">
        <v>0</v>
      </c>
      <c r="H21" s="1294">
        <v>0</v>
      </c>
      <c r="I21" s="1294">
        <v>0</v>
      </c>
      <c r="J21" s="1294">
        <v>0</v>
      </c>
      <c r="K21" s="1294">
        <v>0</v>
      </c>
      <c r="L21" s="1294">
        <v>0</v>
      </c>
      <c r="M21" s="1294">
        <v>1980</v>
      </c>
      <c r="N21" s="1294">
        <v>2012</v>
      </c>
      <c r="O21" s="1294">
        <v>2048</v>
      </c>
      <c r="P21" s="1294">
        <v>2076</v>
      </c>
      <c r="Q21" s="1294">
        <v>2092</v>
      </c>
      <c r="R21" s="1294">
        <v>2064</v>
      </c>
      <c r="S21" s="1294">
        <v>2056</v>
      </c>
      <c r="T21" s="1294">
        <v>2048</v>
      </c>
      <c r="U21" s="1294">
        <v>2048</v>
      </c>
      <c r="V21" s="1294">
        <v>2020</v>
      </c>
      <c r="W21" s="1294">
        <v>0</v>
      </c>
      <c r="X21" s="1294">
        <v>0</v>
      </c>
      <c r="Y21" s="1294">
        <v>0</v>
      </c>
      <c r="Z21" s="1294">
        <v>0</v>
      </c>
      <c r="AA21" s="1294">
        <v>0</v>
      </c>
      <c r="AB21" s="1592">
        <v>0</v>
      </c>
      <c r="AC21" s="1591"/>
    </row>
    <row r="22" spans="1:29" ht="13.5" customHeight="1">
      <c r="A22" s="1308">
        <v>2</v>
      </c>
      <c r="B22" s="1307">
        <v>205</v>
      </c>
      <c r="C22" s="1593" t="s">
        <v>563</v>
      </c>
      <c r="D22" s="1305">
        <v>13.2</v>
      </c>
      <c r="E22" s="1295">
        <v>0</v>
      </c>
      <c r="F22" s="1294">
        <v>0</v>
      </c>
      <c r="G22" s="1294">
        <v>0</v>
      </c>
      <c r="H22" s="1294">
        <v>0</v>
      </c>
      <c r="I22" s="1294">
        <v>0</v>
      </c>
      <c r="J22" s="1294">
        <v>0</v>
      </c>
      <c r="K22" s="1294">
        <v>0</v>
      </c>
      <c r="L22" s="1294">
        <v>0</v>
      </c>
      <c r="M22" s="1294">
        <v>2165</v>
      </c>
      <c r="N22" s="1294">
        <v>2197</v>
      </c>
      <c r="O22" s="1294">
        <v>2233</v>
      </c>
      <c r="P22" s="1294">
        <v>2261</v>
      </c>
      <c r="Q22" s="1294">
        <v>2277</v>
      </c>
      <c r="R22" s="1294">
        <v>2249</v>
      </c>
      <c r="S22" s="1294">
        <v>2241</v>
      </c>
      <c r="T22" s="1294">
        <v>2233</v>
      </c>
      <c r="U22" s="1294">
        <v>2233</v>
      </c>
      <c r="V22" s="1294">
        <v>2205</v>
      </c>
      <c r="W22" s="1294">
        <v>0</v>
      </c>
      <c r="X22" s="1294">
        <v>0</v>
      </c>
      <c r="Y22" s="1294">
        <v>0</v>
      </c>
      <c r="Z22" s="1294">
        <v>0</v>
      </c>
      <c r="AA22" s="1294">
        <v>0</v>
      </c>
      <c r="AB22" s="1592">
        <v>0</v>
      </c>
      <c r="AC22" s="1591"/>
    </row>
    <row r="23" spans="1:29" ht="13.5" customHeight="1">
      <c r="A23" s="1411">
        <v>2</v>
      </c>
      <c r="B23" s="1412">
        <v>208</v>
      </c>
      <c r="C23" s="1612" t="s">
        <v>583</v>
      </c>
      <c r="D23" s="1414">
        <v>53.3</v>
      </c>
      <c r="E23" s="1418">
        <v>0</v>
      </c>
      <c r="F23" s="1419">
        <v>0</v>
      </c>
      <c r="G23" s="1419">
        <v>0</v>
      </c>
      <c r="H23" s="1419">
        <v>0</v>
      </c>
      <c r="I23" s="1419">
        <v>0</v>
      </c>
      <c r="J23" s="1419">
        <v>0</v>
      </c>
      <c r="K23" s="1419">
        <v>0</v>
      </c>
      <c r="L23" s="1419">
        <v>0</v>
      </c>
      <c r="M23" s="1419">
        <v>4544</v>
      </c>
      <c r="N23" s="1419">
        <v>4574</v>
      </c>
      <c r="O23" s="1419">
        <v>4607</v>
      </c>
      <c r="P23" s="1419">
        <v>4632</v>
      </c>
      <c r="Q23" s="1419">
        <v>4647</v>
      </c>
      <c r="R23" s="1419">
        <v>4621</v>
      </c>
      <c r="S23" s="1419">
        <v>4614</v>
      </c>
      <c r="T23" s="1419">
        <v>4607</v>
      </c>
      <c r="U23" s="1419">
        <v>4607</v>
      </c>
      <c r="V23" s="1419">
        <v>4581</v>
      </c>
      <c r="W23" s="1419">
        <v>0</v>
      </c>
      <c r="X23" s="1419">
        <v>0</v>
      </c>
      <c r="Y23" s="1419">
        <v>0</v>
      </c>
      <c r="Z23" s="1419">
        <v>0</v>
      </c>
      <c r="AA23" s="1419">
        <v>0</v>
      </c>
      <c r="AB23" s="1613">
        <v>0</v>
      </c>
      <c r="AC23" s="1614"/>
    </row>
    <row r="24" spans="1:29" ht="13.5" customHeight="1">
      <c r="A24" s="1629"/>
      <c r="B24" s="1630"/>
      <c r="C24" s="1631" t="s">
        <v>806</v>
      </c>
      <c r="D24" s="1632"/>
      <c r="E24" s="1633">
        <v>0</v>
      </c>
      <c r="F24" s="1634">
        <v>0</v>
      </c>
      <c r="G24" s="1634">
        <v>0</v>
      </c>
      <c r="H24" s="1634">
        <v>0</v>
      </c>
      <c r="I24" s="1634">
        <v>0</v>
      </c>
      <c r="J24" s="1634">
        <v>0</v>
      </c>
      <c r="K24" s="1634">
        <v>0</v>
      </c>
      <c r="L24" s="1634">
        <v>0</v>
      </c>
      <c r="M24" s="1634">
        <v>928</v>
      </c>
      <c r="N24" s="1634">
        <v>928</v>
      </c>
      <c r="O24" s="1634">
        <v>928</v>
      </c>
      <c r="P24" s="1634">
        <v>928</v>
      </c>
      <c r="Q24" s="1634">
        <v>928</v>
      </c>
      <c r="R24" s="1634">
        <v>928</v>
      </c>
      <c r="S24" s="1634">
        <v>928</v>
      </c>
      <c r="T24" s="1634">
        <v>928</v>
      </c>
      <c r="U24" s="1634">
        <v>928</v>
      </c>
      <c r="V24" s="1634">
        <v>928</v>
      </c>
      <c r="W24" s="1634">
        <v>0</v>
      </c>
      <c r="X24" s="1634">
        <v>0</v>
      </c>
      <c r="Y24" s="1634">
        <v>0</v>
      </c>
      <c r="Z24" s="1634">
        <v>0</v>
      </c>
      <c r="AA24" s="1634">
        <v>0</v>
      </c>
      <c r="AB24" s="1634">
        <v>0</v>
      </c>
      <c r="AC24" s="1635"/>
    </row>
    <row r="25" spans="1:29" ht="13.5" customHeight="1" thickBot="1">
      <c r="A25" s="1629"/>
      <c r="B25" s="1630"/>
      <c r="C25" s="1631" t="s">
        <v>807</v>
      </c>
      <c r="D25" s="1632"/>
      <c r="E25" s="1633">
        <v>0</v>
      </c>
      <c r="F25" s="1634">
        <v>0</v>
      </c>
      <c r="G25" s="1634">
        <v>0</v>
      </c>
      <c r="H25" s="1634">
        <v>0</v>
      </c>
      <c r="I25" s="1634">
        <v>0</v>
      </c>
      <c r="J25" s="1634">
        <v>0</v>
      </c>
      <c r="K25" s="1634">
        <v>0</v>
      </c>
      <c r="L25" s="1634">
        <v>0</v>
      </c>
      <c r="M25" s="1634">
        <v>1603</v>
      </c>
      <c r="N25" s="1634">
        <v>1603</v>
      </c>
      <c r="O25" s="1634">
        <v>1603</v>
      </c>
      <c r="P25" s="1634">
        <v>1603</v>
      </c>
      <c r="Q25" s="1634">
        <v>1603</v>
      </c>
      <c r="R25" s="1634">
        <v>1603</v>
      </c>
      <c r="S25" s="1634">
        <v>1603</v>
      </c>
      <c r="T25" s="1634">
        <v>1603</v>
      </c>
      <c r="U25" s="1634">
        <v>1603</v>
      </c>
      <c r="V25" s="1634">
        <v>1603</v>
      </c>
      <c r="W25" s="1634">
        <v>0</v>
      </c>
      <c r="X25" s="1634">
        <v>0</v>
      </c>
      <c r="Y25" s="1634">
        <v>0</v>
      </c>
      <c r="Z25" s="1634">
        <v>0</v>
      </c>
      <c r="AA25" s="1634">
        <v>0</v>
      </c>
      <c r="AB25" s="1634">
        <v>0</v>
      </c>
      <c r="AC25" s="1635"/>
    </row>
    <row r="26" spans="1:29" ht="13.5" customHeight="1" thickTop="1">
      <c r="A26" s="1640" t="s">
        <v>808</v>
      </c>
      <c r="B26" s="1589"/>
      <c r="C26" s="1590"/>
      <c r="D26" s="1641">
        <v>134.5</v>
      </c>
      <c r="E26" s="1637">
        <v>0</v>
      </c>
      <c r="F26" s="1638">
        <v>0</v>
      </c>
      <c r="G26" s="1638">
        <v>0</v>
      </c>
      <c r="H26" s="1638">
        <v>0</v>
      </c>
      <c r="I26" s="1638">
        <v>0</v>
      </c>
      <c r="J26" s="1638">
        <v>0</v>
      </c>
      <c r="K26" s="1638">
        <v>0</v>
      </c>
      <c r="L26" s="1638">
        <v>0</v>
      </c>
      <c r="M26" s="1638">
        <v>19085</v>
      </c>
      <c r="N26" s="1638">
        <v>19227</v>
      </c>
      <c r="O26" s="1638">
        <v>19386</v>
      </c>
      <c r="P26" s="1638">
        <v>19350</v>
      </c>
      <c r="Q26" s="1638">
        <v>19580</v>
      </c>
      <c r="R26" s="1638">
        <v>19456</v>
      </c>
      <c r="S26" s="1638">
        <v>19421</v>
      </c>
      <c r="T26" s="1638">
        <v>19386</v>
      </c>
      <c r="U26" s="1638">
        <v>19386</v>
      </c>
      <c r="V26" s="1638">
        <v>19262</v>
      </c>
      <c r="W26" s="1638">
        <v>0</v>
      </c>
      <c r="X26" s="1638">
        <v>0</v>
      </c>
      <c r="Y26" s="1638">
        <v>0</v>
      </c>
      <c r="Z26" s="1638">
        <v>0</v>
      </c>
      <c r="AA26" s="1638">
        <v>0</v>
      </c>
      <c r="AB26" s="1638">
        <v>0</v>
      </c>
      <c r="AC26" s="1639"/>
    </row>
    <row r="27" spans="1:29" ht="13.5" customHeight="1" thickBot="1">
      <c r="A27" s="1411"/>
      <c r="B27" s="1412"/>
      <c r="C27" s="1642"/>
      <c r="D27" s="1414"/>
      <c r="E27" s="1418"/>
      <c r="F27" s="1419"/>
      <c r="G27" s="1419"/>
      <c r="H27" s="1419"/>
      <c r="I27" s="1419"/>
      <c r="J27" s="1419"/>
      <c r="K27" s="1419"/>
      <c r="L27" s="1419"/>
      <c r="M27" s="1419"/>
      <c r="N27" s="1419"/>
      <c r="O27" s="1419"/>
      <c r="P27" s="1419"/>
      <c r="Q27" s="1419"/>
      <c r="R27" s="1419"/>
      <c r="S27" s="1419"/>
      <c r="T27" s="1419"/>
      <c r="U27" s="1419"/>
      <c r="V27" s="1419"/>
      <c r="W27" s="1419"/>
      <c r="X27" s="1419"/>
      <c r="Y27" s="1419"/>
      <c r="Z27" s="1419"/>
      <c r="AA27" s="1419"/>
      <c r="AB27" s="1613"/>
      <c r="AC27" s="1614"/>
    </row>
    <row r="28" spans="1:29" ht="13.5" customHeight="1" thickTop="1">
      <c r="A28" s="1653" t="s">
        <v>811</v>
      </c>
      <c r="B28" s="1654"/>
      <c r="C28" s="1654"/>
      <c r="D28" s="1649">
        <v>134.5</v>
      </c>
      <c r="E28" s="1650">
        <v>0</v>
      </c>
      <c r="F28" s="1651">
        <v>0</v>
      </c>
      <c r="G28" s="1651">
        <v>0</v>
      </c>
      <c r="H28" s="1651">
        <v>0</v>
      </c>
      <c r="I28" s="1651">
        <v>0</v>
      </c>
      <c r="J28" s="1651">
        <v>0</v>
      </c>
      <c r="K28" s="1651">
        <v>0</v>
      </c>
      <c r="L28" s="1651">
        <v>0</v>
      </c>
      <c r="M28" s="1651">
        <v>19085</v>
      </c>
      <c r="N28" s="1651">
        <v>19227</v>
      </c>
      <c r="O28" s="1651">
        <v>19386</v>
      </c>
      <c r="P28" s="1651">
        <v>19350</v>
      </c>
      <c r="Q28" s="1651">
        <v>19580</v>
      </c>
      <c r="R28" s="1651">
        <v>19456</v>
      </c>
      <c r="S28" s="1651">
        <v>19421</v>
      </c>
      <c r="T28" s="1651">
        <v>19386</v>
      </c>
      <c r="U28" s="1651">
        <v>19386</v>
      </c>
      <c r="V28" s="1651">
        <v>19262</v>
      </c>
      <c r="W28" s="1651">
        <v>0</v>
      </c>
      <c r="X28" s="1651">
        <v>0</v>
      </c>
      <c r="Y28" s="1651">
        <v>0</v>
      </c>
      <c r="Z28" s="1651">
        <v>0</v>
      </c>
      <c r="AA28" s="1651">
        <v>0</v>
      </c>
      <c r="AB28" s="1651">
        <v>0</v>
      </c>
      <c r="AC28" s="1652"/>
    </row>
    <row r="29" spans="1:29" ht="13.5" customHeight="1">
      <c r="A29" s="1411"/>
      <c r="B29" s="1412"/>
      <c r="C29" s="1642"/>
      <c r="D29" s="1414"/>
      <c r="E29" s="1418"/>
      <c r="F29" s="1419"/>
      <c r="G29" s="1419"/>
      <c r="H29" s="1419"/>
      <c r="I29" s="1419"/>
      <c r="J29" s="1419"/>
      <c r="K29" s="1419"/>
      <c r="L29" s="1419"/>
      <c r="M29" s="1419"/>
      <c r="N29" s="1419"/>
      <c r="O29" s="1419"/>
      <c r="P29" s="1419"/>
      <c r="Q29" s="1419"/>
      <c r="R29" s="1419"/>
      <c r="S29" s="1419"/>
      <c r="T29" s="1419"/>
      <c r="U29" s="1419"/>
      <c r="V29" s="1419"/>
      <c r="W29" s="1419"/>
      <c r="X29" s="1419"/>
      <c r="Y29" s="1419"/>
      <c r="Z29" s="1419"/>
      <c r="AA29" s="1419"/>
      <c r="AB29" s="1613"/>
      <c r="AC29" s="1614"/>
    </row>
    <row r="30" spans="1:29" ht="13.5" customHeight="1">
      <c r="A30" s="1628" t="s">
        <v>383</v>
      </c>
      <c r="B30" s="1616"/>
      <c r="C30" s="1616"/>
      <c r="D30" s="1616"/>
      <c r="E30" s="1616"/>
      <c r="F30" s="1616"/>
      <c r="G30" s="1616"/>
      <c r="H30" s="1616"/>
      <c r="I30" s="1616"/>
      <c r="J30" s="1616"/>
      <c r="K30" s="1616"/>
      <c r="L30" s="1616"/>
      <c r="M30" s="1616"/>
      <c r="N30" s="1616"/>
      <c r="O30" s="1616"/>
      <c r="P30" s="1616"/>
      <c r="Q30" s="1616"/>
      <c r="R30" s="1616"/>
      <c r="S30" s="1616"/>
      <c r="T30" s="1616"/>
      <c r="U30" s="1616"/>
      <c r="V30" s="1616"/>
      <c r="W30" s="1616"/>
      <c r="X30" s="1616"/>
      <c r="Y30" s="1616"/>
      <c r="Z30" s="1616"/>
      <c r="AA30" s="1616"/>
      <c r="AB30" s="1616"/>
      <c r="AC30" s="1617"/>
    </row>
    <row r="31" spans="1:29" ht="13.5" customHeight="1">
      <c r="A31" s="1624" t="s">
        <v>805</v>
      </c>
      <c r="B31" s="1625"/>
      <c r="C31" s="1626"/>
      <c r="D31" s="1619"/>
      <c r="E31" s="1620"/>
      <c r="F31" s="1621"/>
      <c r="G31" s="1621"/>
      <c r="H31" s="1621"/>
      <c r="I31" s="1621"/>
      <c r="J31" s="1621"/>
      <c r="K31" s="1621"/>
      <c r="L31" s="1621"/>
      <c r="M31" s="1621"/>
      <c r="N31" s="1621"/>
      <c r="O31" s="1621"/>
      <c r="P31" s="1621"/>
      <c r="Q31" s="1621"/>
      <c r="R31" s="1621"/>
      <c r="S31" s="1621"/>
      <c r="T31" s="1621"/>
      <c r="U31" s="1621"/>
      <c r="V31" s="1621"/>
      <c r="W31" s="1621"/>
      <c r="X31" s="1621"/>
      <c r="Y31" s="1621"/>
      <c r="Z31" s="1621"/>
      <c r="AA31" s="1621"/>
      <c r="AB31" s="1622"/>
      <c r="AC31" s="1623"/>
    </row>
    <row r="32" spans="1:29" ht="13.5" customHeight="1">
      <c r="A32" s="1308">
        <v>2</v>
      </c>
      <c r="B32" s="1307">
        <v>201</v>
      </c>
      <c r="C32" s="1610" t="s">
        <v>343</v>
      </c>
      <c r="D32" s="1305">
        <v>54.8</v>
      </c>
      <c r="E32" s="1295">
        <v>0</v>
      </c>
      <c r="F32" s="1294">
        <v>0</v>
      </c>
      <c r="G32" s="1294">
        <v>0</v>
      </c>
      <c r="H32" s="1294">
        <v>0</v>
      </c>
      <c r="I32" s="1294">
        <v>0</v>
      </c>
      <c r="J32" s="1294">
        <v>0</v>
      </c>
      <c r="K32" s="1294">
        <v>0</v>
      </c>
      <c r="L32" s="1294">
        <v>0</v>
      </c>
      <c r="M32" s="1294">
        <v>7337</v>
      </c>
      <c r="N32" s="1294">
        <v>7403</v>
      </c>
      <c r="O32" s="1294">
        <v>7409</v>
      </c>
      <c r="P32" s="1294">
        <v>7274</v>
      </c>
      <c r="Q32" s="1294">
        <v>7415</v>
      </c>
      <c r="R32" s="1294">
        <v>7385</v>
      </c>
      <c r="S32" s="1294">
        <v>7373</v>
      </c>
      <c r="T32" s="1294">
        <v>7379</v>
      </c>
      <c r="U32" s="1294">
        <v>7349</v>
      </c>
      <c r="V32" s="1294">
        <v>7379</v>
      </c>
      <c r="W32" s="1294">
        <v>0</v>
      </c>
      <c r="X32" s="1294">
        <v>0</v>
      </c>
      <c r="Y32" s="1294">
        <v>0</v>
      </c>
      <c r="Z32" s="1294">
        <v>0</v>
      </c>
      <c r="AA32" s="1294">
        <v>0</v>
      </c>
      <c r="AB32" s="1592">
        <v>0</v>
      </c>
      <c r="AC32" s="1591"/>
    </row>
    <row r="33" spans="1:29" ht="13.5" customHeight="1">
      <c r="A33" s="1308">
        <v>2</v>
      </c>
      <c r="B33" s="1307">
        <v>204</v>
      </c>
      <c r="C33" s="1593" t="s">
        <v>538</v>
      </c>
      <c r="D33" s="1305">
        <v>13.2</v>
      </c>
      <c r="E33" s="1295">
        <v>0</v>
      </c>
      <c r="F33" s="1294">
        <v>0</v>
      </c>
      <c r="G33" s="1294">
        <v>0</v>
      </c>
      <c r="H33" s="1294">
        <v>0</v>
      </c>
      <c r="I33" s="1294">
        <v>0</v>
      </c>
      <c r="J33" s="1294">
        <v>0</v>
      </c>
      <c r="K33" s="1294">
        <v>0</v>
      </c>
      <c r="L33" s="1294">
        <v>0</v>
      </c>
      <c r="M33" s="1294">
        <v>1628</v>
      </c>
      <c r="N33" s="1294">
        <v>1672</v>
      </c>
      <c r="O33" s="1294">
        <v>1676</v>
      </c>
      <c r="P33" s="1294">
        <v>1692</v>
      </c>
      <c r="Q33" s="1294">
        <v>1680</v>
      </c>
      <c r="R33" s="1294">
        <v>1660</v>
      </c>
      <c r="S33" s="1294">
        <v>1652</v>
      </c>
      <c r="T33" s="1294">
        <v>1656</v>
      </c>
      <c r="U33" s="1294">
        <v>1636</v>
      </c>
      <c r="V33" s="1294">
        <v>1656</v>
      </c>
      <c r="W33" s="1294">
        <v>0</v>
      </c>
      <c r="X33" s="1294">
        <v>0</v>
      </c>
      <c r="Y33" s="1294">
        <v>0</v>
      </c>
      <c r="Z33" s="1294">
        <v>0</v>
      </c>
      <c r="AA33" s="1294">
        <v>0</v>
      </c>
      <c r="AB33" s="1592">
        <v>0</v>
      </c>
      <c r="AC33" s="1591"/>
    </row>
    <row r="34" spans="1:29" ht="13.5" customHeight="1">
      <c r="A34" s="1308">
        <v>2</v>
      </c>
      <c r="B34" s="1307">
        <v>205</v>
      </c>
      <c r="C34" s="1593" t="s">
        <v>563</v>
      </c>
      <c r="D34" s="1305">
        <v>13.2</v>
      </c>
      <c r="E34" s="1295">
        <v>0</v>
      </c>
      <c r="F34" s="1294">
        <v>0</v>
      </c>
      <c r="G34" s="1294">
        <v>0</v>
      </c>
      <c r="H34" s="1294">
        <v>0</v>
      </c>
      <c r="I34" s="1294">
        <v>0</v>
      </c>
      <c r="J34" s="1294">
        <v>0</v>
      </c>
      <c r="K34" s="1294">
        <v>0</v>
      </c>
      <c r="L34" s="1294">
        <v>0</v>
      </c>
      <c r="M34" s="1294">
        <v>1813</v>
      </c>
      <c r="N34" s="1294">
        <v>1857</v>
      </c>
      <c r="O34" s="1294">
        <v>1861</v>
      </c>
      <c r="P34" s="1294">
        <v>1877</v>
      </c>
      <c r="Q34" s="1294">
        <v>1865</v>
      </c>
      <c r="R34" s="1294">
        <v>1845</v>
      </c>
      <c r="S34" s="1294">
        <v>1837</v>
      </c>
      <c r="T34" s="1294">
        <v>1841</v>
      </c>
      <c r="U34" s="1294">
        <v>1821</v>
      </c>
      <c r="V34" s="1294">
        <v>1841</v>
      </c>
      <c r="W34" s="1294">
        <v>0</v>
      </c>
      <c r="X34" s="1294">
        <v>0</v>
      </c>
      <c r="Y34" s="1294">
        <v>0</v>
      </c>
      <c r="Z34" s="1294">
        <v>0</v>
      </c>
      <c r="AA34" s="1294">
        <v>0</v>
      </c>
      <c r="AB34" s="1592">
        <v>0</v>
      </c>
      <c r="AC34" s="1591"/>
    </row>
    <row r="35" spans="1:29" ht="13.5" customHeight="1">
      <c r="A35" s="1411">
        <v>2</v>
      </c>
      <c r="B35" s="1412">
        <v>208</v>
      </c>
      <c r="C35" s="1612" t="s">
        <v>583</v>
      </c>
      <c r="D35" s="1414">
        <v>53.3</v>
      </c>
      <c r="E35" s="1418">
        <v>0</v>
      </c>
      <c r="F35" s="1419">
        <v>0</v>
      </c>
      <c r="G35" s="1419">
        <v>0</v>
      </c>
      <c r="H35" s="1419">
        <v>0</v>
      </c>
      <c r="I35" s="1419">
        <v>0</v>
      </c>
      <c r="J35" s="1419">
        <v>0</v>
      </c>
      <c r="K35" s="1419">
        <v>0</v>
      </c>
      <c r="L35" s="1419">
        <v>0</v>
      </c>
      <c r="M35" s="1419">
        <v>4222</v>
      </c>
      <c r="N35" s="1419">
        <v>4262</v>
      </c>
      <c r="O35" s="1419">
        <v>4266</v>
      </c>
      <c r="P35" s="1419">
        <v>4280</v>
      </c>
      <c r="Q35" s="1419">
        <v>4269</v>
      </c>
      <c r="R35" s="1419">
        <v>4251</v>
      </c>
      <c r="S35" s="1419">
        <v>4244</v>
      </c>
      <c r="T35" s="1419">
        <v>4247</v>
      </c>
      <c r="U35" s="1419">
        <v>4229</v>
      </c>
      <c r="V35" s="1419">
        <v>4247</v>
      </c>
      <c r="W35" s="1419">
        <v>0</v>
      </c>
      <c r="X35" s="1419">
        <v>0</v>
      </c>
      <c r="Y35" s="1419">
        <v>0</v>
      </c>
      <c r="Z35" s="1419">
        <v>0</v>
      </c>
      <c r="AA35" s="1419">
        <v>0</v>
      </c>
      <c r="AB35" s="1613">
        <v>0</v>
      </c>
      <c r="AC35" s="1614"/>
    </row>
    <row r="36" spans="1:29" ht="13.5" customHeight="1">
      <c r="A36" s="1629"/>
      <c r="B36" s="1630"/>
      <c r="C36" s="1631" t="s">
        <v>806</v>
      </c>
      <c r="D36" s="1632"/>
      <c r="E36" s="1633">
        <v>0</v>
      </c>
      <c r="F36" s="1634">
        <v>0</v>
      </c>
      <c r="G36" s="1634">
        <v>0</v>
      </c>
      <c r="H36" s="1634">
        <v>0</v>
      </c>
      <c r="I36" s="1634">
        <v>0</v>
      </c>
      <c r="J36" s="1634">
        <v>0</v>
      </c>
      <c r="K36" s="1634">
        <v>0</v>
      </c>
      <c r="L36" s="1634">
        <v>0</v>
      </c>
      <c r="M36" s="1634">
        <v>928</v>
      </c>
      <c r="N36" s="1634">
        <v>928</v>
      </c>
      <c r="O36" s="1634">
        <v>928</v>
      </c>
      <c r="P36" s="1634">
        <v>928</v>
      </c>
      <c r="Q36" s="1634">
        <v>928</v>
      </c>
      <c r="R36" s="1634">
        <v>928</v>
      </c>
      <c r="S36" s="1634">
        <v>928</v>
      </c>
      <c r="T36" s="1634">
        <v>928</v>
      </c>
      <c r="U36" s="1634">
        <v>928</v>
      </c>
      <c r="V36" s="1634">
        <v>928</v>
      </c>
      <c r="W36" s="1634">
        <v>0</v>
      </c>
      <c r="X36" s="1634">
        <v>0</v>
      </c>
      <c r="Y36" s="1634">
        <v>0</v>
      </c>
      <c r="Z36" s="1634">
        <v>0</v>
      </c>
      <c r="AA36" s="1634">
        <v>0</v>
      </c>
      <c r="AB36" s="1634">
        <v>0</v>
      </c>
      <c r="AC36" s="1635"/>
    </row>
    <row r="37" spans="1:29" ht="13.5" customHeight="1" thickBot="1">
      <c r="A37" s="1629"/>
      <c r="B37" s="1630"/>
      <c r="C37" s="1631" t="s">
        <v>807</v>
      </c>
      <c r="D37" s="1632"/>
      <c r="E37" s="1633">
        <v>0</v>
      </c>
      <c r="F37" s="1634">
        <v>0</v>
      </c>
      <c r="G37" s="1634">
        <v>0</v>
      </c>
      <c r="H37" s="1634">
        <v>0</v>
      </c>
      <c r="I37" s="1634">
        <v>0</v>
      </c>
      <c r="J37" s="1634">
        <v>0</v>
      </c>
      <c r="K37" s="1634">
        <v>0</v>
      </c>
      <c r="L37" s="1634">
        <v>0</v>
      </c>
      <c r="M37" s="1634">
        <v>1603</v>
      </c>
      <c r="N37" s="1634">
        <v>1603</v>
      </c>
      <c r="O37" s="1634">
        <v>1603</v>
      </c>
      <c r="P37" s="1634">
        <v>1603</v>
      </c>
      <c r="Q37" s="1634">
        <v>1603</v>
      </c>
      <c r="R37" s="1634">
        <v>1603</v>
      </c>
      <c r="S37" s="1634">
        <v>1603</v>
      </c>
      <c r="T37" s="1634">
        <v>1603</v>
      </c>
      <c r="U37" s="1634">
        <v>1603</v>
      </c>
      <c r="V37" s="1634">
        <v>1603</v>
      </c>
      <c r="W37" s="1634">
        <v>0</v>
      </c>
      <c r="X37" s="1634">
        <v>0</v>
      </c>
      <c r="Y37" s="1634">
        <v>0</v>
      </c>
      <c r="Z37" s="1634">
        <v>0</v>
      </c>
      <c r="AA37" s="1634">
        <v>0</v>
      </c>
      <c r="AB37" s="1634">
        <v>0</v>
      </c>
      <c r="AC37" s="1635"/>
    </row>
    <row r="38" spans="1:29" ht="13.5" customHeight="1" thickTop="1">
      <c r="A38" s="1640" t="s">
        <v>808</v>
      </c>
      <c r="B38" s="1589"/>
      <c r="C38" s="1590"/>
      <c r="D38" s="1641">
        <v>134.5</v>
      </c>
      <c r="E38" s="1637">
        <v>0</v>
      </c>
      <c r="F38" s="1638">
        <v>0</v>
      </c>
      <c r="G38" s="1638">
        <v>0</v>
      </c>
      <c r="H38" s="1638">
        <v>0</v>
      </c>
      <c r="I38" s="1638">
        <v>0</v>
      </c>
      <c r="J38" s="1638">
        <v>0</v>
      </c>
      <c r="K38" s="1638">
        <v>0</v>
      </c>
      <c r="L38" s="1638">
        <v>0</v>
      </c>
      <c r="M38" s="1638">
        <v>17531</v>
      </c>
      <c r="N38" s="1638">
        <v>17725</v>
      </c>
      <c r="O38" s="1638">
        <v>17743</v>
      </c>
      <c r="P38" s="1638">
        <v>17654</v>
      </c>
      <c r="Q38" s="1638">
        <v>17760</v>
      </c>
      <c r="R38" s="1638">
        <v>17672</v>
      </c>
      <c r="S38" s="1638">
        <v>17637</v>
      </c>
      <c r="T38" s="1638">
        <v>17654</v>
      </c>
      <c r="U38" s="1638">
        <v>17566</v>
      </c>
      <c r="V38" s="1638">
        <v>17654</v>
      </c>
      <c r="W38" s="1638">
        <v>0</v>
      </c>
      <c r="X38" s="1638">
        <v>0</v>
      </c>
      <c r="Y38" s="1638">
        <v>0</v>
      </c>
      <c r="Z38" s="1638">
        <v>0</v>
      </c>
      <c r="AA38" s="1638">
        <v>0</v>
      </c>
      <c r="AB38" s="1638">
        <v>0</v>
      </c>
      <c r="AC38" s="1639"/>
    </row>
    <row r="39" spans="1:29" ht="13.5" customHeight="1" thickBot="1">
      <c r="A39" s="1411"/>
      <c r="B39" s="1412"/>
      <c r="C39" s="1642"/>
      <c r="D39" s="1414"/>
      <c r="E39" s="1418"/>
      <c r="F39" s="1419"/>
      <c r="G39" s="1419"/>
      <c r="H39" s="1419"/>
      <c r="I39" s="1419"/>
      <c r="J39" s="1419"/>
      <c r="K39" s="1419"/>
      <c r="L39" s="1419"/>
      <c r="M39" s="1419"/>
      <c r="N39" s="1419"/>
      <c r="O39" s="1419"/>
      <c r="P39" s="1419"/>
      <c r="Q39" s="1419"/>
      <c r="R39" s="1419"/>
      <c r="S39" s="1419"/>
      <c r="T39" s="1419"/>
      <c r="U39" s="1419"/>
      <c r="V39" s="1419"/>
      <c r="W39" s="1419"/>
      <c r="X39" s="1419"/>
      <c r="Y39" s="1419"/>
      <c r="Z39" s="1419"/>
      <c r="AA39" s="1419"/>
      <c r="AB39" s="1613"/>
      <c r="AC39" s="1614"/>
    </row>
    <row r="40" spans="1:29" ht="13.5" customHeight="1" thickTop="1">
      <c r="A40" s="1659" t="s">
        <v>813</v>
      </c>
      <c r="B40" s="1660"/>
      <c r="C40" s="1660"/>
      <c r="D40" s="1655">
        <v>134.5</v>
      </c>
      <c r="E40" s="1656">
        <v>0</v>
      </c>
      <c r="F40" s="1657">
        <v>0</v>
      </c>
      <c r="G40" s="1657">
        <v>0</v>
      </c>
      <c r="H40" s="1657">
        <v>0</v>
      </c>
      <c r="I40" s="1657">
        <v>0</v>
      </c>
      <c r="J40" s="1657">
        <v>0</v>
      </c>
      <c r="K40" s="1657">
        <v>0</v>
      </c>
      <c r="L40" s="1657">
        <v>0</v>
      </c>
      <c r="M40" s="1657">
        <v>17531</v>
      </c>
      <c r="N40" s="1657">
        <v>17725</v>
      </c>
      <c r="O40" s="1657">
        <v>17743</v>
      </c>
      <c r="P40" s="1657">
        <v>17654</v>
      </c>
      <c r="Q40" s="1657">
        <v>17760</v>
      </c>
      <c r="R40" s="1657">
        <v>17672</v>
      </c>
      <c r="S40" s="1657">
        <v>17637</v>
      </c>
      <c r="T40" s="1657">
        <v>17654</v>
      </c>
      <c r="U40" s="1657">
        <v>17566</v>
      </c>
      <c r="V40" s="1657">
        <v>17654</v>
      </c>
      <c r="W40" s="1657">
        <v>0</v>
      </c>
      <c r="X40" s="1657">
        <v>0</v>
      </c>
      <c r="Y40" s="1657">
        <v>0</v>
      </c>
      <c r="Z40" s="1657">
        <v>0</v>
      </c>
      <c r="AA40" s="1657">
        <v>0</v>
      </c>
      <c r="AB40" s="1657">
        <v>0</v>
      </c>
      <c r="AC40" s="1658"/>
    </row>
    <row r="41" spans="1:29" ht="13.5" customHeight="1">
      <c r="A41" s="1308"/>
      <c r="B41" s="1307"/>
      <c r="C41" s="1610"/>
      <c r="D41" s="1305"/>
      <c r="E41" s="1295"/>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592"/>
      <c r="AC41" s="1591"/>
    </row>
    <row r="42" spans="1:29" ht="13.5" customHeight="1">
      <c r="A42" s="1308"/>
      <c r="B42" s="1307"/>
      <c r="C42" s="1593"/>
      <c r="D42" s="1305"/>
      <c r="E42" s="1295"/>
      <c r="F42" s="1294"/>
      <c r="G42" s="1294"/>
      <c r="H42" s="1294"/>
      <c r="I42" s="1294"/>
      <c r="J42" s="1294"/>
      <c r="K42" s="1294"/>
      <c r="L42" s="1294"/>
      <c r="M42" s="1294"/>
      <c r="N42" s="1294"/>
      <c r="O42" s="1294"/>
      <c r="P42" s="1294"/>
      <c r="Q42" s="1294"/>
      <c r="R42" s="1294"/>
      <c r="S42" s="1294"/>
      <c r="T42" s="1294"/>
      <c r="U42" s="1294"/>
      <c r="V42" s="1294"/>
      <c r="W42" s="1294"/>
      <c r="X42" s="1294"/>
      <c r="Y42" s="1294"/>
      <c r="Z42" s="1294"/>
      <c r="AA42" s="1294"/>
      <c r="AB42" s="1592"/>
      <c r="AC42" s="1591"/>
    </row>
    <row r="43" spans="1:29" ht="13.5" customHeight="1">
      <c r="A43" s="1308"/>
      <c r="B43" s="1307"/>
      <c r="C43" s="1593"/>
      <c r="D43" s="1305"/>
      <c r="E43" s="1295"/>
      <c r="F43" s="1294"/>
      <c r="G43" s="1294"/>
      <c r="H43" s="1294"/>
      <c r="I43" s="1294"/>
      <c r="J43" s="1294"/>
      <c r="K43" s="1294"/>
      <c r="L43" s="1294"/>
      <c r="M43" s="1294"/>
      <c r="N43" s="1294"/>
      <c r="O43" s="1294"/>
      <c r="P43" s="1294"/>
      <c r="Q43" s="1294"/>
      <c r="R43" s="1294"/>
      <c r="S43" s="1294"/>
      <c r="T43" s="1294"/>
      <c r="U43" s="1294"/>
      <c r="V43" s="1294"/>
      <c r="W43" s="1294"/>
      <c r="X43" s="1294"/>
      <c r="Y43" s="1294"/>
      <c r="Z43" s="1294"/>
      <c r="AA43" s="1294"/>
      <c r="AB43" s="1592"/>
      <c r="AC43" s="1591"/>
    </row>
    <row r="44" spans="1:29" ht="13.5" customHeight="1">
      <c r="A44" s="1308"/>
      <c r="B44" s="1307"/>
      <c r="C44" s="1593"/>
      <c r="D44" s="1305"/>
      <c r="E44" s="1295"/>
      <c r="F44" s="1294"/>
      <c r="G44" s="1294"/>
      <c r="H44" s="1294"/>
      <c r="I44" s="1294"/>
      <c r="J44" s="1294"/>
      <c r="K44" s="1294"/>
      <c r="L44" s="1294"/>
      <c r="M44" s="1294"/>
      <c r="N44" s="1294"/>
      <c r="O44" s="1294"/>
      <c r="P44" s="1294"/>
      <c r="Q44" s="1294"/>
      <c r="R44" s="1294"/>
      <c r="S44" s="1294"/>
      <c r="T44" s="1294"/>
      <c r="U44" s="1294"/>
      <c r="V44" s="1294"/>
      <c r="W44" s="1294"/>
      <c r="X44" s="1294"/>
      <c r="Y44" s="1294"/>
      <c r="Z44" s="1294"/>
      <c r="AA44" s="1294"/>
      <c r="AB44" s="1592"/>
      <c r="AC44" s="1591"/>
    </row>
    <row r="45" spans="1:29" ht="13.5" customHeight="1">
      <c r="A45" s="1308"/>
      <c r="B45" s="1307"/>
      <c r="C45" s="1593"/>
      <c r="D45" s="1305"/>
      <c r="E45" s="1295"/>
      <c r="F45" s="1294"/>
      <c r="G45" s="1294"/>
      <c r="H45" s="1294"/>
      <c r="I45" s="1294"/>
      <c r="J45" s="1294"/>
      <c r="K45" s="1294"/>
      <c r="L45" s="1294"/>
      <c r="M45" s="1294"/>
      <c r="N45" s="1294"/>
      <c r="O45" s="1294"/>
      <c r="P45" s="1294"/>
      <c r="Q45" s="1294"/>
      <c r="R45" s="1294"/>
      <c r="S45" s="1294"/>
      <c r="T45" s="1294"/>
      <c r="U45" s="1294"/>
      <c r="V45" s="1294"/>
      <c r="W45" s="1294"/>
      <c r="X45" s="1294"/>
      <c r="Y45" s="1294"/>
      <c r="Z45" s="1294"/>
      <c r="AA45" s="1294"/>
      <c r="AB45" s="1592"/>
      <c r="AC45" s="1591"/>
    </row>
    <row r="46" spans="1:29" ht="13.5" customHeight="1">
      <c r="A46" s="1308"/>
      <c r="B46" s="1307"/>
      <c r="C46" s="1593"/>
      <c r="D46" s="1305"/>
      <c r="E46" s="1295"/>
      <c r="F46" s="1294"/>
      <c r="G46" s="1294"/>
      <c r="H46" s="1294"/>
      <c r="I46" s="1294"/>
      <c r="J46" s="1294"/>
      <c r="K46" s="1294"/>
      <c r="L46" s="1294"/>
      <c r="M46" s="1294"/>
      <c r="N46" s="1294"/>
      <c r="O46" s="1294"/>
      <c r="P46" s="1294"/>
      <c r="Q46" s="1294"/>
      <c r="R46" s="1294"/>
      <c r="S46" s="1294"/>
      <c r="T46" s="1294"/>
      <c r="U46" s="1294"/>
      <c r="V46" s="1294"/>
      <c r="W46" s="1294"/>
      <c r="X46" s="1294"/>
      <c r="Y46" s="1294"/>
      <c r="Z46" s="1294"/>
      <c r="AA46" s="1294"/>
      <c r="AB46" s="1592"/>
      <c r="AC46" s="1591"/>
    </row>
    <row r="47" spans="1:29" ht="13.5" customHeight="1">
      <c r="A47" s="1308"/>
      <c r="B47" s="1307"/>
      <c r="C47" s="1593"/>
      <c r="D47" s="1305"/>
      <c r="E47" s="1295"/>
      <c r="F47" s="1294"/>
      <c r="G47" s="1294"/>
      <c r="H47" s="1294"/>
      <c r="I47" s="1294"/>
      <c r="J47" s="1294"/>
      <c r="K47" s="1294"/>
      <c r="L47" s="1294"/>
      <c r="M47" s="1294"/>
      <c r="N47" s="1294"/>
      <c r="O47" s="1294"/>
      <c r="P47" s="1294"/>
      <c r="Q47" s="1294"/>
      <c r="R47" s="1294"/>
      <c r="S47" s="1294"/>
      <c r="T47" s="1294"/>
      <c r="U47" s="1294"/>
      <c r="V47" s="1294"/>
      <c r="W47" s="1294"/>
      <c r="X47" s="1294"/>
      <c r="Y47" s="1294"/>
      <c r="Z47" s="1294"/>
      <c r="AA47" s="1294"/>
      <c r="AB47" s="1592"/>
      <c r="AC47" s="1591"/>
    </row>
    <row r="48" spans="1:29" ht="13.5" customHeight="1">
      <c r="A48" s="1308"/>
      <c r="B48" s="1307"/>
      <c r="C48" s="1593"/>
      <c r="D48" s="1305"/>
      <c r="E48" s="1295"/>
      <c r="F48" s="1294"/>
      <c r="G48" s="1294"/>
      <c r="H48" s="1294"/>
      <c r="I48" s="1294"/>
      <c r="J48" s="1294"/>
      <c r="K48" s="1294"/>
      <c r="L48" s="1294"/>
      <c r="M48" s="1294"/>
      <c r="N48" s="1294"/>
      <c r="O48" s="1294"/>
      <c r="P48" s="1294"/>
      <c r="Q48" s="1294"/>
      <c r="R48" s="1294"/>
      <c r="S48" s="1294"/>
      <c r="T48" s="1294"/>
      <c r="U48" s="1294"/>
      <c r="V48" s="1294"/>
      <c r="W48" s="1294"/>
      <c r="X48" s="1294"/>
      <c r="Y48" s="1294"/>
      <c r="Z48" s="1294"/>
      <c r="AA48" s="1294"/>
      <c r="AB48" s="1592"/>
      <c r="AC48" s="1591"/>
    </row>
    <row r="49" spans="1:29" ht="13.5" customHeight="1">
      <c r="A49" s="1308"/>
      <c r="B49" s="1307"/>
      <c r="C49" s="1593"/>
      <c r="D49" s="1305"/>
      <c r="E49" s="1295"/>
      <c r="F49" s="1294"/>
      <c r="G49" s="1294"/>
      <c r="H49" s="1294"/>
      <c r="I49" s="1294"/>
      <c r="J49" s="1294"/>
      <c r="K49" s="1294"/>
      <c r="L49" s="1294"/>
      <c r="M49" s="1294"/>
      <c r="N49" s="1294"/>
      <c r="O49" s="1294"/>
      <c r="P49" s="1294"/>
      <c r="Q49" s="1294"/>
      <c r="R49" s="1294"/>
      <c r="S49" s="1294"/>
      <c r="T49" s="1294"/>
      <c r="U49" s="1294"/>
      <c r="V49" s="1294"/>
      <c r="W49" s="1294"/>
      <c r="X49" s="1294"/>
      <c r="Y49" s="1294"/>
      <c r="Z49" s="1294"/>
      <c r="AA49" s="1294"/>
      <c r="AB49" s="1592"/>
      <c r="AC49" s="1591"/>
    </row>
    <row r="50" spans="1:29" ht="13.5" customHeight="1">
      <c r="A50" s="1308"/>
      <c r="B50" s="1307"/>
      <c r="C50" s="1593"/>
      <c r="D50" s="1305"/>
      <c r="E50" s="1295"/>
      <c r="F50" s="1294"/>
      <c r="G50" s="1294"/>
      <c r="H50" s="1294"/>
      <c r="I50" s="1294"/>
      <c r="J50" s="1294"/>
      <c r="K50" s="1294"/>
      <c r="L50" s="1294"/>
      <c r="M50" s="1294"/>
      <c r="N50" s="1294"/>
      <c r="O50" s="1294"/>
      <c r="P50" s="1294"/>
      <c r="Q50" s="1294"/>
      <c r="R50" s="1294"/>
      <c r="S50" s="1294"/>
      <c r="T50" s="1294"/>
      <c r="U50" s="1294"/>
      <c r="V50" s="1294"/>
      <c r="W50" s="1294"/>
      <c r="X50" s="1294"/>
      <c r="Y50" s="1294"/>
      <c r="Z50" s="1294"/>
      <c r="AA50" s="1294"/>
      <c r="AB50" s="1592"/>
      <c r="AC50" s="1591"/>
    </row>
    <row r="51" spans="1:29" ht="13.5" customHeight="1">
      <c r="A51" s="1308"/>
      <c r="B51" s="1307"/>
      <c r="C51" s="1593"/>
      <c r="D51" s="1305"/>
      <c r="E51" s="1295"/>
      <c r="F51" s="1294"/>
      <c r="G51" s="1294"/>
      <c r="H51" s="1294"/>
      <c r="I51" s="1294"/>
      <c r="J51" s="1294"/>
      <c r="K51" s="1294"/>
      <c r="L51" s="1294"/>
      <c r="M51" s="1294"/>
      <c r="N51" s="1294"/>
      <c r="O51" s="1294"/>
      <c r="P51" s="1294"/>
      <c r="Q51" s="1294"/>
      <c r="R51" s="1294"/>
      <c r="S51" s="1294"/>
      <c r="T51" s="1294"/>
      <c r="U51" s="1294"/>
      <c r="V51" s="1294"/>
      <c r="W51" s="1294"/>
      <c r="X51" s="1294"/>
      <c r="Y51" s="1294"/>
      <c r="Z51" s="1294"/>
      <c r="AA51" s="1294"/>
      <c r="AB51" s="1592"/>
      <c r="AC51" s="1591"/>
    </row>
    <row r="52" spans="1:29" ht="13.5" customHeight="1">
      <c r="A52" s="1308"/>
      <c r="B52" s="1307"/>
      <c r="C52" s="1593"/>
      <c r="D52" s="1305"/>
      <c r="E52" s="1295"/>
      <c r="F52" s="1294"/>
      <c r="G52" s="1294"/>
      <c r="H52" s="1294"/>
      <c r="I52" s="1294"/>
      <c r="J52" s="1294"/>
      <c r="K52" s="1294"/>
      <c r="L52" s="1294"/>
      <c r="M52" s="1294"/>
      <c r="N52" s="1294"/>
      <c r="O52" s="1294"/>
      <c r="P52" s="1294"/>
      <c r="Q52" s="1294"/>
      <c r="R52" s="1294"/>
      <c r="S52" s="1294"/>
      <c r="T52" s="1294"/>
      <c r="U52" s="1294"/>
      <c r="V52" s="1294"/>
      <c r="W52" s="1294"/>
      <c r="X52" s="1294"/>
      <c r="Y52" s="1294"/>
      <c r="Z52" s="1294"/>
      <c r="AA52" s="1294"/>
      <c r="AB52" s="1592"/>
      <c r="AC52" s="1591"/>
    </row>
    <row r="53" spans="1:29" ht="13.5" customHeight="1">
      <c r="A53" s="1308"/>
      <c r="B53" s="1307"/>
      <c r="C53" s="1593"/>
      <c r="D53" s="1305"/>
      <c r="E53" s="1295"/>
      <c r="F53" s="1294"/>
      <c r="G53" s="1294"/>
      <c r="H53" s="1294"/>
      <c r="I53" s="1294"/>
      <c r="J53" s="1294"/>
      <c r="K53" s="1294"/>
      <c r="L53" s="1294"/>
      <c r="M53" s="1294"/>
      <c r="N53" s="1294"/>
      <c r="O53" s="1294"/>
      <c r="P53" s="1294"/>
      <c r="Q53" s="1294"/>
      <c r="R53" s="1294"/>
      <c r="S53" s="1294"/>
      <c r="T53" s="1294"/>
      <c r="U53" s="1294"/>
      <c r="V53" s="1294"/>
      <c r="W53" s="1294"/>
      <c r="X53" s="1294"/>
      <c r="Y53" s="1294"/>
      <c r="Z53" s="1294"/>
      <c r="AA53" s="1294"/>
      <c r="AB53" s="1592"/>
      <c r="AC53" s="1591"/>
    </row>
    <row r="54" spans="1:29" ht="13.5" customHeight="1">
      <c r="A54" s="1308"/>
      <c r="B54" s="1307"/>
      <c r="C54" s="1593"/>
      <c r="D54" s="1305"/>
      <c r="E54" s="1295"/>
      <c r="F54" s="1294"/>
      <c r="G54" s="1294"/>
      <c r="H54" s="1294"/>
      <c r="I54" s="1294"/>
      <c r="J54" s="1294"/>
      <c r="K54" s="1294"/>
      <c r="L54" s="1294"/>
      <c r="M54" s="1294"/>
      <c r="N54" s="1294"/>
      <c r="O54" s="1294"/>
      <c r="P54" s="1294"/>
      <c r="Q54" s="1294"/>
      <c r="R54" s="1294"/>
      <c r="S54" s="1294"/>
      <c r="T54" s="1294"/>
      <c r="U54" s="1294"/>
      <c r="V54" s="1294"/>
      <c r="W54" s="1294"/>
      <c r="X54" s="1294"/>
      <c r="Y54" s="1294"/>
      <c r="Z54" s="1294"/>
      <c r="AA54" s="1294"/>
      <c r="AB54" s="1592"/>
      <c r="AC54" s="1591"/>
    </row>
    <row r="55" spans="1:29" ht="13.5" customHeight="1" thickBot="1">
      <c r="A55" s="1411"/>
      <c r="B55" s="1412"/>
      <c r="C55" s="1612"/>
      <c r="D55" s="1414"/>
      <c r="E55" s="1418"/>
      <c r="F55" s="1419"/>
      <c r="G55" s="1419"/>
      <c r="H55" s="1419"/>
      <c r="I55" s="1419"/>
      <c r="J55" s="1419"/>
      <c r="K55" s="1419"/>
      <c r="L55" s="1419"/>
      <c r="M55" s="1419"/>
      <c r="N55" s="1419"/>
      <c r="O55" s="1419"/>
      <c r="P55" s="1419"/>
      <c r="Q55" s="1419"/>
      <c r="R55" s="1419"/>
      <c r="S55" s="1419"/>
      <c r="T55" s="1419"/>
      <c r="U55" s="1419"/>
      <c r="V55" s="1419"/>
      <c r="W55" s="1419"/>
      <c r="X55" s="1419"/>
      <c r="Y55" s="1419"/>
      <c r="Z55" s="1419"/>
      <c r="AA55" s="1419"/>
      <c r="AB55" s="1613"/>
      <c r="AC55" s="1614"/>
    </row>
    <row r="56" spans="1:29" ht="18.95" customHeight="1" thickTop="1" thickBot="1">
      <c r="A56" s="1661" t="s">
        <v>814</v>
      </c>
      <c r="B56" s="1662"/>
      <c r="C56" s="1663"/>
      <c r="D56" s="1664">
        <v>134.5</v>
      </c>
      <c r="E56" s="1665">
        <v>0</v>
      </c>
      <c r="F56" s="1666">
        <v>0</v>
      </c>
      <c r="G56" s="1666">
        <v>0</v>
      </c>
      <c r="H56" s="1666">
        <v>0</v>
      </c>
      <c r="I56" s="1666">
        <v>0</v>
      </c>
      <c r="J56" s="1666">
        <v>0</v>
      </c>
      <c r="K56" s="1666">
        <v>0</v>
      </c>
      <c r="L56" s="1666">
        <v>0</v>
      </c>
      <c r="M56" s="1666">
        <v>19986</v>
      </c>
      <c r="N56" s="1666">
        <v>20145</v>
      </c>
      <c r="O56" s="1666">
        <v>20198</v>
      </c>
      <c r="P56" s="1666">
        <v>20269</v>
      </c>
      <c r="Q56" s="1667">
        <v>20357</v>
      </c>
      <c r="R56" s="1666">
        <v>20234</v>
      </c>
      <c r="S56" s="1666">
        <v>20234</v>
      </c>
      <c r="T56" s="1666">
        <v>20181</v>
      </c>
      <c r="U56" s="1666">
        <v>20057</v>
      </c>
      <c r="V56" s="1666">
        <v>19933</v>
      </c>
      <c r="W56" s="1666">
        <v>0</v>
      </c>
      <c r="X56" s="1666">
        <v>0</v>
      </c>
      <c r="Y56" s="1666">
        <v>0</v>
      </c>
      <c r="Z56" s="1666">
        <v>0</v>
      </c>
      <c r="AA56" s="1666">
        <v>0</v>
      </c>
      <c r="AB56" s="1666">
        <v>0</v>
      </c>
      <c r="AC56" s="1668"/>
    </row>
    <row r="57" spans="1:29" ht="13.5" customHeight="1" thickTop="1">
      <c r="A57" s="1669" t="s">
        <v>815</v>
      </c>
      <c r="B57" s="1662"/>
      <c r="C57" s="1663"/>
      <c r="D57" s="1670">
        <v>134.5</v>
      </c>
      <c r="E57" s="1671">
        <v>0</v>
      </c>
      <c r="F57" s="1672">
        <v>0</v>
      </c>
      <c r="G57" s="1672">
        <v>0</v>
      </c>
      <c r="H57" s="1672">
        <v>0</v>
      </c>
      <c r="I57" s="1672">
        <v>0</v>
      </c>
      <c r="J57" s="1672">
        <v>0</v>
      </c>
      <c r="K57" s="1672">
        <v>0</v>
      </c>
      <c r="L57" s="1672">
        <v>0</v>
      </c>
      <c r="M57" s="1672">
        <v>20</v>
      </c>
      <c r="N57" s="1672">
        <v>21</v>
      </c>
      <c r="O57" s="1672">
        <v>21</v>
      </c>
      <c r="P57" s="1672">
        <v>21</v>
      </c>
      <c r="Q57" s="1673">
        <v>21</v>
      </c>
      <c r="R57" s="1672">
        <v>21</v>
      </c>
      <c r="S57" s="1672">
        <v>21</v>
      </c>
      <c r="T57" s="1672">
        <v>21</v>
      </c>
      <c r="U57" s="1672">
        <v>20</v>
      </c>
      <c r="V57" s="1672">
        <v>20</v>
      </c>
      <c r="W57" s="1672">
        <v>0</v>
      </c>
      <c r="X57" s="1672">
        <v>0</v>
      </c>
      <c r="Y57" s="1672">
        <v>0</v>
      </c>
      <c r="Z57" s="1672">
        <v>0</v>
      </c>
      <c r="AA57" s="1672">
        <v>0</v>
      </c>
      <c r="AB57" s="1672">
        <v>0</v>
      </c>
      <c r="AC57" s="1674"/>
    </row>
    <row r="58" spans="1:29" ht="13.5" customHeight="1">
      <c r="A58" s="1675" t="s">
        <v>816</v>
      </c>
      <c r="B58" s="1611"/>
      <c r="C58" s="1676"/>
      <c r="D58" s="1677">
        <v>134.5</v>
      </c>
      <c r="E58" s="1678">
        <v>0</v>
      </c>
      <c r="F58" s="1679">
        <v>0</v>
      </c>
      <c r="G58" s="1679">
        <v>0</v>
      </c>
      <c r="H58" s="1679">
        <v>0</v>
      </c>
      <c r="I58" s="1679">
        <v>0</v>
      </c>
      <c r="J58" s="1679">
        <v>0</v>
      </c>
      <c r="K58" s="1679">
        <v>0</v>
      </c>
      <c r="L58" s="1679">
        <v>0</v>
      </c>
      <c r="M58" s="1679">
        <v>149</v>
      </c>
      <c r="N58" s="1679">
        <v>150</v>
      </c>
      <c r="O58" s="1679">
        <v>150</v>
      </c>
      <c r="P58" s="1679">
        <v>151</v>
      </c>
      <c r="Q58" s="1681">
        <v>151</v>
      </c>
      <c r="R58" s="1679">
        <v>150</v>
      </c>
      <c r="S58" s="1679">
        <v>150</v>
      </c>
      <c r="T58" s="1679">
        <v>150</v>
      </c>
      <c r="U58" s="1679">
        <v>149</v>
      </c>
      <c r="V58" s="1679">
        <v>148</v>
      </c>
      <c r="W58" s="1679">
        <v>0</v>
      </c>
      <c r="X58" s="1679">
        <v>0</v>
      </c>
      <c r="Y58" s="1679">
        <v>0</v>
      </c>
      <c r="Z58" s="1679">
        <v>0</v>
      </c>
      <c r="AA58" s="1679">
        <v>0</v>
      </c>
      <c r="AB58" s="1679">
        <v>0</v>
      </c>
      <c r="AC58" s="1680"/>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7">
    <mergeCell ref="A58:C58"/>
    <mergeCell ref="A38:C38"/>
    <mergeCell ref="A16:C16"/>
    <mergeCell ref="A28:C28"/>
    <mergeCell ref="A40:C40"/>
    <mergeCell ref="A56:C56"/>
    <mergeCell ref="A57:C57"/>
    <mergeCell ref="C36:D36"/>
    <mergeCell ref="C13:D13"/>
    <mergeCell ref="C25:D25"/>
    <mergeCell ref="C37:D37"/>
    <mergeCell ref="A14:C14"/>
    <mergeCell ref="A26:C26"/>
    <mergeCell ref="A6:AC6"/>
    <mergeCell ref="A18:AC18"/>
    <mergeCell ref="A30:AC30"/>
    <mergeCell ref="A7:C7"/>
    <mergeCell ref="A19:C19"/>
    <mergeCell ref="A31:C31"/>
    <mergeCell ref="C12:D12"/>
    <mergeCell ref="C24:D24"/>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99" customFormat="1" ht="30" customHeight="1">
      <c r="A1" s="1607" t="s">
        <v>818</v>
      </c>
      <c r="B1" s="1606"/>
      <c r="C1" s="1605"/>
      <c r="D1" s="1604"/>
      <c r="E1" s="1603"/>
      <c r="F1" s="1603"/>
      <c r="G1" s="1603"/>
      <c r="H1" s="1602"/>
      <c r="I1" s="1602"/>
      <c r="J1" s="1603"/>
      <c r="K1" s="1603"/>
      <c r="L1" s="1602"/>
      <c r="M1" s="1602"/>
      <c r="N1" s="1603"/>
      <c r="O1" s="1602"/>
      <c r="P1" s="1603"/>
      <c r="Q1" s="1603"/>
      <c r="R1" s="1602"/>
      <c r="S1" s="1603"/>
      <c r="T1" s="1603"/>
      <c r="U1" s="1602"/>
      <c r="V1" s="1603"/>
      <c r="W1" s="1603"/>
      <c r="X1" s="1602"/>
      <c r="Y1" s="1602"/>
      <c r="Z1" s="1603"/>
      <c r="AA1" s="1602"/>
      <c r="AB1" s="1601"/>
      <c r="AC1" s="1600"/>
    </row>
    <row r="4" spans="1:29" ht="13.5" customHeight="1">
      <c r="A4" s="1382" t="s">
        <v>368</v>
      </c>
      <c r="B4" s="1381" t="s">
        <v>354</v>
      </c>
      <c r="C4" s="1566" t="s">
        <v>630</v>
      </c>
      <c r="D4" s="1598" t="s">
        <v>629</v>
      </c>
      <c r="E4" s="1562" t="s">
        <v>817</v>
      </c>
      <c r="F4" s="1561"/>
      <c r="G4" s="1561"/>
      <c r="H4" s="1561"/>
      <c r="I4" s="1561"/>
      <c r="J4" s="1561"/>
      <c r="K4" s="1561"/>
      <c r="L4" s="1561"/>
      <c r="M4" s="1561"/>
      <c r="N4" s="1561"/>
      <c r="O4" s="1561"/>
      <c r="P4" s="1561"/>
      <c r="Q4" s="1561"/>
      <c r="R4" s="1561"/>
      <c r="S4" s="1561"/>
      <c r="T4" s="1561"/>
      <c r="U4" s="1561"/>
      <c r="V4" s="1561"/>
      <c r="W4" s="1561"/>
      <c r="X4" s="1561"/>
      <c r="Y4" s="1561"/>
      <c r="Z4" s="1561"/>
      <c r="AA4" s="1561"/>
      <c r="AB4" s="1560"/>
      <c r="AC4" s="1597" t="s">
        <v>802</v>
      </c>
    </row>
    <row r="5" spans="1:29" ht="13.5" customHeight="1">
      <c r="A5" s="1350"/>
      <c r="B5" s="1349"/>
      <c r="C5" s="1548"/>
      <c r="D5" s="1608"/>
      <c r="E5" s="1596">
        <v>1</v>
      </c>
      <c r="F5" s="1595">
        <v>2</v>
      </c>
      <c r="G5" s="1595">
        <v>3</v>
      </c>
      <c r="H5" s="1595">
        <v>4</v>
      </c>
      <c r="I5" s="1595">
        <v>5</v>
      </c>
      <c r="J5" s="1595">
        <v>6</v>
      </c>
      <c r="K5" s="1595">
        <v>7</v>
      </c>
      <c r="L5" s="1595">
        <v>8</v>
      </c>
      <c r="M5" s="1595">
        <v>9</v>
      </c>
      <c r="N5" s="1595">
        <v>10</v>
      </c>
      <c r="O5" s="1595">
        <v>11</v>
      </c>
      <c r="P5" s="1595">
        <v>12</v>
      </c>
      <c r="Q5" s="1595">
        <v>13</v>
      </c>
      <c r="R5" s="1595">
        <v>14</v>
      </c>
      <c r="S5" s="1595">
        <v>15</v>
      </c>
      <c r="T5" s="1595">
        <v>16</v>
      </c>
      <c r="U5" s="1595">
        <v>17</v>
      </c>
      <c r="V5" s="1595">
        <v>18</v>
      </c>
      <c r="W5" s="1595">
        <v>19</v>
      </c>
      <c r="X5" s="1595">
        <v>20</v>
      </c>
      <c r="Y5" s="1595">
        <v>21</v>
      </c>
      <c r="Z5" s="1595">
        <v>22</v>
      </c>
      <c r="AA5" s="1595">
        <v>23</v>
      </c>
      <c r="AB5" s="1594">
        <v>24</v>
      </c>
      <c r="AC5" s="1609"/>
    </row>
    <row r="6" spans="1:29" ht="13.5" customHeight="1">
      <c r="A6" s="1615" t="s">
        <v>379</v>
      </c>
      <c r="B6" s="1616"/>
      <c r="C6" s="1616"/>
      <c r="D6" s="1616"/>
      <c r="E6" s="1616"/>
      <c r="F6" s="1616"/>
      <c r="G6" s="1616"/>
      <c r="H6" s="1616"/>
      <c r="I6" s="1616"/>
      <c r="J6" s="1616"/>
      <c r="K6" s="1616"/>
      <c r="L6" s="1616"/>
      <c r="M6" s="1616"/>
      <c r="N6" s="1616"/>
      <c r="O6" s="1616"/>
      <c r="P6" s="1616"/>
      <c r="Q6" s="1616"/>
      <c r="R6" s="1616"/>
      <c r="S6" s="1616"/>
      <c r="T6" s="1616"/>
      <c r="U6" s="1616"/>
      <c r="V6" s="1616"/>
      <c r="W6" s="1616"/>
      <c r="X6" s="1616"/>
      <c r="Y6" s="1616"/>
      <c r="Z6" s="1616"/>
      <c r="AA6" s="1616"/>
      <c r="AB6" s="1616"/>
      <c r="AC6" s="1617"/>
    </row>
    <row r="7" spans="1:29" ht="13.5" customHeight="1">
      <c r="A7" s="1624" t="s">
        <v>805</v>
      </c>
      <c r="B7" s="1625"/>
      <c r="C7" s="1626"/>
      <c r="D7" s="1619"/>
      <c r="E7" s="1620"/>
      <c r="F7" s="1621"/>
      <c r="G7" s="1621"/>
      <c r="H7" s="1621"/>
      <c r="I7" s="1621"/>
      <c r="J7" s="1621"/>
      <c r="K7" s="1621"/>
      <c r="L7" s="1621"/>
      <c r="M7" s="1621"/>
      <c r="N7" s="1621"/>
      <c r="O7" s="1621"/>
      <c r="P7" s="1621"/>
      <c r="Q7" s="1621"/>
      <c r="R7" s="1621"/>
      <c r="S7" s="1621"/>
      <c r="T7" s="1621"/>
      <c r="U7" s="1621"/>
      <c r="V7" s="1621"/>
      <c r="W7" s="1621"/>
      <c r="X7" s="1621"/>
      <c r="Y7" s="1621"/>
      <c r="Z7" s="1621"/>
      <c r="AA7" s="1621"/>
      <c r="AB7" s="1622"/>
      <c r="AC7" s="1623"/>
    </row>
    <row r="8" spans="1:29" ht="13.5" customHeight="1">
      <c r="A8" s="1308">
        <v>2</v>
      </c>
      <c r="B8" s="1307">
        <v>201</v>
      </c>
      <c r="C8" s="1610" t="s">
        <v>343</v>
      </c>
      <c r="D8" s="1305">
        <v>54.8</v>
      </c>
      <c r="E8" s="1295">
        <v>0</v>
      </c>
      <c r="F8" s="1294">
        <v>0</v>
      </c>
      <c r="G8" s="1294">
        <v>0</v>
      </c>
      <c r="H8" s="1294">
        <v>0</v>
      </c>
      <c r="I8" s="1294">
        <v>0</v>
      </c>
      <c r="J8" s="1294">
        <v>0</v>
      </c>
      <c r="K8" s="1294">
        <v>0</v>
      </c>
      <c r="L8" s="1294">
        <v>0</v>
      </c>
      <c r="M8" s="1294">
        <v>4533</v>
      </c>
      <c r="N8" s="1294">
        <v>4533</v>
      </c>
      <c r="O8" s="1294">
        <v>4533</v>
      </c>
      <c r="P8" s="1294">
        <v>4740</v>
      </c>
      <c r="Q8" s="1294">
        <v>4533</v>
      </c>
      <c r="R8" s="1294">
        <v>4533</v>
      </c>
      <c r="S8" s="1294">
        <v>4533</v>
      </c>
      <c r="T8" s="1294">
        <v>4533</v>
      </c>
      <c r="U8" s="1294">
        <v>4533</v>
      </c>
      <c r="V8" s="1294">
        <v>4533</v>
      </c>
      <c r="W8" s="1294">
        <v>0</v>
      </c>
      <c r="X8" s="1294">
        <v>0</v>
      </c>
      <c r="Y8" s="1294">
        <v>0</v>
      </c>
      <c r="Z8" s="1294">
        <v>0</v>
      </c>
      <c r="AA8" s="1294">
        <v>0</v>
      </c>
      <c r="AB8" s="1592">
        <v>0</v>
      </c>
      <c r="AC8" s="1591"/>
    </row>
    <row r="9" spans="1:29" ht="13.5" customHeight="1">
      <c r="A9" s="1308">
        <v>2</v>
      </c>
      <c r="B9" s="1307">
        <v>204</v>
      </c>
      <c r="C9" s="1593" t="s">
        <v>538</v>
      </c>
      <c r="D9" s="1305">
        <v>13.2</v>
      </c>
      <c r="E9" s="1295">
        <v>0</v>
      </c>
      <c r="F9" s="1294">
        <v>0</v>
      </c>
      <c r="G9" s="1294">
        <v>0</v>
      </c>
      <c r="H9" s="1294">
        <v>0</v>
      </c>
      <c r="I9" s="1294">
        <v>0</v>
      </c>
      <c r="J9" s="1294">
        <v>0</v>
      </c>
      <c r="K9" s="1294">
        <v>0</v>
      </c>
      <c r="L9" s="1294">
        <v>0</v>
      </c>
      <c r="M9" s="1294">
        <v>506</v>
      </c>
      <c r="N9" s="1294">
        <v>506</v>
      </c>
      <c r="O9" s="1294">
        <v>506</v>
      </c>
      <c r="P9" s="1294">
        <v>506</v>
      </c>
      <c r="Q9" s="1294">
        <v>506</v>
      </c>
      <c r="R9" s="1294">
        <v>506</v>
      </c>
      <c r="S9" s="1294">
        <v>506</v>
      </c>
      <c r="T9" s="1294">
        <v>506</v>
      </c>
      <c r="U9" s="1294">
        <v>506</v>
      </c>
      <c r="V9" s="1294">
        <v>506</v>
      </c>
      <c r="W9" s="1294">
        <v>0</v>
      </c>
      <c r="X9" s="1294">
        <v>0</v>
      </c>
      <c r="Y9" s="1294">
        <v>0</v>
      </c>
      <c r="Z9" s="1294">
        <v>0</v>
      </c>
      <c r="AA9" s="1294">
        <v>0</v>
      </c>
      <c r="AB9" s="1592">
        <v>0</v>
      </c>
      <c r="AC9" s="1591"/>
    </row>
    <row r="10" spans="1:29" ht="13.5" customHeight="1">
      <c r="A10" s="1308">
        <v>2</v>
      </c>
      <c r="B10" s="1307">
        <v>205</v>
      </c>
      <c r="C10" s="1593" t="s">
        <v>563</v>
      </c>
      <c r="D10" s="1305">
        <v>13.2</v>
      </c>
      <c r="E10" s="1295">
        <v>0</v>
      </c>
      <c r="F10" s="1294">
        <v>0</v>
      </c>
      <c r="G10" s="1294">
        <v>0</v>
      </c>
      <c r="H10" s="1294">
        <v>0</v>
      </c>
      <c r="I10" s="1294">
        <v>0</v>
      </c>
      <c r="J10" s="1294">
        <v>0</v>
      </c>
      <c r="K10" s="1294">
        <v>0</v>
      </c>
      <c r="L10" s="1294">
        <v>0</v>
      </c>
      <c r="M10" s="1294">
        <v>683</v>
      </c>
      <c r="N10" s="1294">
        <v>683</v>
      </c>
      <c r="O10" s="1294">
        <v>683</v>
      </c>
      <c r="P10" s="1294">
        <v>683</v>
      </c>
      <c r="Q10" s="1294">
        <v>683</v>
      </c>
      <c r="R10" s="1294">
        <v>683</v>
      </c>
      <c r="S10" s="1294">
        <v>683</v>
      </c>
      <c r="T10" s="1294">
        <v>683</v>
      </c>
      <c r="U10" s="1294">
        <v>683</v>
      </c>
      <c r="V10" s="1294">
        <v>683</v>
      </c>
      <c r="W10" s="1294">
        <v>0</v>
      </c>
      <c r="X10" s="1294">
        <v>0</v>
      </c>
      <c r="Y10" s="1294">
        <v>0</v>
      </c>
      <c r="Z10" s="1294">
        <v>0</v>
      </c>
      <c r="AA10" s="1294">
        <v>0</v>
      </c>
      <c r="AB10" s="1592">
        <v>0</v>
      </c>
      <c r="AC10" s="1591"/>
    </row>
    <row r="11" spans="1:29" ht="13.5" customHeight="1">
      <c r="A11" s="1411">
        <v>2</v>
      </c>
      <c r="B11" s="1412">
        <v>208</v>
      </c>
      <c r="C11" s="1612" t="s">
        <v>583</v>
      </c>
      <c r="D11" s="1414">
        <v>53.3</v>
      </c>
      <c r="E11" s="1418">
        <v>0</v>
      </c>
      <c r="F11" s="1419">
        <v>0</v>
      </c>
      <c r="G11" s="1419">
        <v>0</v>
      </c>
      <c r="H11" s="1419">
        <v>0</v>
      </c>
      <c r="I11" s="1419">
        <v>0</v>
      </c>
      <c r="J11" s="1419">
        <v>0</v>
      </c>
      <c r="K11" s="1419">
        <v>0</v>
      </c>
      <c r="L11" s="1419">
        <v>0</v>
      </c>
      <c r="M11" s="1419">
        <v>2678</v>
      </c>
      <c r="N11" s="1419">
        <v>2678</v>
      </c>
      <c r="O11" s="1419">
        <v>2678</v>
      </c>
      <c r="P11" s="1419">
        <v>2678</v>
      </c>
      <c r="Q11" s="1419">
        <v>2678</v>
      </c>
      <c r="R11" s="1419">
        <v>2678</v>
      </c>
      <c r="S11" s="1419">
        <v>2678</v>
      </c>
      <c r="T11" s="1419">
        <v>2678</v>
      </c>
      <c r="U11" s="1419">
        <v>2678</v>
      </c>
      <c r="V11" s="1419">
        <v>2678</v>
      </c>
      <c r="W11" s="1419">
        <v>0</v>
      </c>
      <c r="X11" s="1419">
        <v>0</v>
      </c>
      <c r="Y11" s="1419">
        <v>0</v>
      </c>
      <c r="Z11" s="1419">
        <v>0</v>
      </c>
      <c r="AA11" s="1419">
        <v>0</v>
      </c>
      <c r="AB11" s="1613">
        <v>0</v>
      </c>
      <c r="AC11" s="1614"/>
    </row>
    <row r="12" spans="1:29" ht="13.5" customHeight="1" thickBot="1">
      <c r="A12" s="1629"/>
      <c r="B12" s="1630"/>
      <c r="C12" s="1631" t="s">
        <v>819</v>
      </c>
      <c r="D12" s="1632"/>
      <c r="E12" s="1633">
        <v>0</v>
      </c>
      <c r="F12" s="1634">
        <v>0</v>
      </c>
      <c r="G12" s="1634">
        <v>0</v>
      </c>
      <c r="H12" s="1634">
        <v>0</v>
      </c>
      <c r="I12" s="1634">
        <v>0</v>
      </c>
      <c r="J12" s="1634">
        <v>0</v>
      </c>
      <c r="K12" s="1634">
        <v>0</v>
      </c>
      <c r="L12" s="1634">
        <v>0</v>
      </c>
      <c r="M12" s="1634">
        <v>1603</v>
      </c>
      <c r="N12" s="1634">
        <v>1603</v>
      </c>
      <c r="O12" s="1634">
        <v>1603</v>
      </c>
      <c r="P12" s="1634">
        <v>1603</v>
      </c>
      <c r="Q12" s="1634">
        <v>1603</v>
      </c>
      <c r="R12" s="1634">
        <v>1603</v>
      </c>
      <c r="S12" s="1634">
        <v>1603</v>
      </c>
      <c r="T12" s="1634">
        <v>1603</v>
      </c>
      <c r="U12" s="1634">
        <v>1603</v>
      </c>
      <c r="V12" s="1634">
        <v>1603</v>
      </c>
      <c r="W12" s="1634">
        <v>0</v>
      </c>
      <c r="X12" s="1634">
        <v>0</v>
      </c>
      <c r="Y12" s="1634">
        <v>0</v>
      </c>
      <c r="Z12" s="1634">
        <v>0</v>
      </c>
      <c r="AA12" s="1634">
        <v>0</v>
      </c>
      <c r="AB12" s="1634">
        <v>0</v>
      </c>
      <c r="AC12" s="1635"/>
    </row>
    <row r="13" spans="1:29" ht="13.5" customHeight="1" thickTop="1">
      <c r="A13" s="1640" t="s">
        <v>808</v>
      </c>
      <c r="B13" s="1589"/>
      <c r="C13" s="1590"/>
      <c r="D13" s="1641">
        <v>134.5</v>
      </c>
      <c r="E13" s="1637">
        <v>0</v>
      </c>
      <c r="F13" s="1638">
        <v>0</v>
      </c>
      <c r="G13" s="1638">
        <v>0</v>
      </c>
      <c r="H13" s="1638">
        <v>0</v>
      </c>
      <c r="I13" s="1638">
        <v>0</v>
      </c>
      <c r="J13" s="1638">
        <v>0</v>
      </c>
      <c r="K13" s="1638">
        <v>0</v>
      </c>
      <c r="L13" s="1638">
        <v>0</v>
      </c>
      <c r="M13" s="1638">
        <v>10003</v>
      </c>
      <c r="N13" s="1638">
        <v>10003</v>
      </c>
      <c r="O13" s="1638">
        <v>10003</v>
      </c>
      <c r="P13" s="1638">
        <v>10210</v>
      </c>
      <c r="Q13" s="1638">
        <v>10003</v>
      </c>
      <c r="R13" s="1638">
        <v>10003</v>
      </c>
      <c r="S13" s="1638">
        <v>10003</v>
      </c>
      <c r="T13" s="1638">
        <v>10003</v>
      </c>
      <c r="U13" s="1638">
        <v>10003</v>
      </c>
      <c r="V13" s="1638">
        <v>10003</v>
      </c>
      <c r="W13" s="1638">
        <v>0</v>
      </c>
      <c r="X13" s="1638">
        <v>0</v>
      </c>
      <c r="Y13" s="1638">
        <v>0</v>
      </c>
      <c r="Z13" s="1638">
        <v>0</v>
      </c>
      <c r="AA13" s="1638">
        <v>0</v>
      </c>
      <c r="AB13" s="1638">
        <v>0</v>
      </c>
      <c r="AC13" s="1639"/>
    </row>
    <row r="14" spans="1:29" ht="13.5" customHeight="1" thickBot="1">
      <c r="A14" s="1411"/>
      <c r="B14" s="1412"/>
      <c r="C14" s="1642"/>
      <c r="D14" s="1414"/>
      <c r="E14" s="1418"/>
      <c r="F14" s="1419"/>
      <c r="G14" s="1419"/>
      <c r="H14" s="1419"/>
      <c r="I14" s="1419"/>
      <c r="J14" s="1419"/>
      <c r="K14" s="1419"/>
      <c r="L14" s="1419"/>
      <c r="M14" s="1419"/>
      <c r="N14" s="1419"/>
      <c r="O14" s="1419"/>
      <c r="P14" s="1419"/>
      <c r="Q14" s="1419"/>
      <c r="R14" s="1419"/>
      <c r="S14" s="1419"/>
      <c r="T14" s="1419"/>
      <c r="U14" s="1419"/>
      <c r="V14" s="1419"/>
      <c r="W14" s="1419"/>
      <c r="X14" s="1419"/>
      <c r="Y14" s="1419"/>
      <c r="Z14" s="1419"/>
      <c r="AA14" s="1419"/>
      <c r="AB14" s="1613"/>
      <c r="AC14" s="1614"/>
    </row>
    <row r="15" spans="1:29" ht="13.5" customHeight="1" thickTop="1">
      <c r="A15" s="1647" t="s">
        <v>810</v>
      </c>
      <c r="B15" s="1648"/>
      <c r="C15" s="1648"/>
      <c r="D15" s="1643">
        <v>134.5</v>
      </c>
      <c r="E15" s="1644">
        <v>0</v>
      </c>
      <c r="F15" s="1645">
        <v>0</v>
      </c>
      <c r="G15" s="1645">
        <v>0</v>
      </c>
      <c r="H15" s="1645">
        <v>0</v>
      </c>
      <c r="I15" s="1645">
        <v>0</v>
      </c>
      <c r="J15" s="1645">
        <v>0</v>
      </c>
      <c r="K15" s="1645">
        <v>0</v>
      </c>
      <c r="L15" s="1645">
        <v>0</v>
      </c>
      <c r="M15" s="1645">
        <v>10003</v>
      </c>
      <c r="N15" s="1645">
        <v>10003</v>
      </c>
      <c r="O15" s="1645">
        <v>10003</v>
      </c>
      <c r="P15" s="1645">
        <v>10210</v>
      </c>
      <c r="Q15" s="1645">
        <v>10003</v>
      </c>
      <c r="R15" s="1645">
        <v>10003</v>
      </c>
      <c r="S15" s="1645">
        <v>10003</v>
      </c>
      <c r="T15" s="1645">
        <v>10003</v>
      </c>
      <c r="U15" s="1645">
        <v>10003</v>
      </c>
      <c r="V15" s="1645">
        <v>10003</v>
      </c>
      <c r="W15" s="1645">
        <v>0</v>
      </c>
      <c r="X15" s="1645">
        <v>0</v>
      </c>
      <c r="Y15" s="1645">
        <v>0</v>
      </c>
      <c r="Z15" s="1645">
        <v>0</v>
      </c>
      <c r="AA15" s="1645">
        <v>0</v>
      </c>
      <c r="AB15" s="1645">
        <v>0</v>
      </c>
      <c r="AC15" s="1646"/>
    </row>
    <row r="16" spans="1:29" ht="13.5" customHeight="1">
      <c r="A16" s="1411"/>
      <c r="B16" s="1412"/>
      <c r="C16" s="1642"/>
      <c r="D16" s="1414"/>
      <c r="E16" s="1418"/>
      <c r="F16" s="1419"/>
      <c r="G16" s="1419"/>
      <c r="H16" s="1419"/>
      <c r="I16" s="1419"/>
      <c r="J16" s="1419"/>
      <c r="K16" s="1419"/>
      <c r="L16" s="1419"/>
      <c r="M16" s="1419"/>
      <c r="N16" s="1419"/>
      <c r="O16" s="1419"/>
      <c r="P16" s="1419"/>
      <c r="Q16" s="1419"/>
      <c r="R16" s="1419"/>
      <c r="S16" s="1419"/>
      <c r="T16" s="1419"/>
      <c r="U16" s="1419"/>
      <c r="V16" s="1419"/>
      <c r="W16" s="1419"/>
      <c r="X16" s="1419"/>
      <c r="Y16" s="1419"/>
      <c r="Z16" s="1419"/>
      <c r="AA16" s="1419"/>
      <c r="AB16" s="1613"/>
      <c r="AC16" s="1614"/>
    </row>
    <row r="17" spans="1:29" ht="13.5" customHeight="1">
      <c r="A17" s="1627" t="s">
        <v>381</v>
      </c>
      <c r="B17" s="1616"/>
      <c r="C17" s="1616"/>
      <c r="D17" s="1616"/>
      <c r="E17" s="1616"/>
      <c r="F17" s="1616"/>
      <c r="G17" s="1616"/>
      <c r="H17" s="1616"/>
      <c r="I17" s="1616"/>
      <c r="J17" s="1616"/>
      <c r="K17" s="1616"/>
      <c r="L17" s="1616"/>
      <c r="M17" s="1616"/>
      <c r="N17" s="1616"/>
      <c r="O17" s="1616"/>
      <c r="P17" s="1616"/>
      <c r="Q17" s="1616"/>
      <c r="R17" s="1616"/>
      <c r="S17" s="1616"/>
      <c r="T17" s="1616"/>
      <c r="U17" s="1616"/>
      <c r="V17" s="1616"/>
      <c r="W17" s="1616"/>
      <c r="X17" s="1616"/>
      <c r="Y17" s="1616"/>
      <c r="Z17" s="1616"/>
      <c r="AA17" s="1616"/>
      <c r="AB17" s="1616"/>
      <c r="AC17" s="1617"/>
    </row>
    <row r="18" spans="1:29" ht="13.5" customHeight="1">
      <c r="A18" s="1624" t="s">
        <v>805</v>
      </c>
      <c r="B18" s="1625"/>
      <c r="C18" s="1626"/>
      <c r="D18" s="1619"/>
      <c r="E18" s="1620"/>
      <c r="F18" s="1621"/>
      <c r="G18" s="1621"/>
      <c r="H18" s="1621"/>
      <c r="I18" s="1621"/>
      <c r="J18" s="1621"/>
      <c r="K18" s="1621"/>
      <c r="L18" s="1621"/>
      <c r="M18" s="1621"/>
      <c r="N18" s="1621"/>
      <c r="O18" s="1621"/>
      <c r="P18" s="1621"/>
      <c r="Q18" s="1621"/>
      <c r="R18" s="1621"/>
      <c r="S18" s="1621"/>
      <c r="T18" s="1621"/>
      <c r="U18" s="1621"/>
      <c r="V18" s="1621"/>
      <c r="W18" s="1621"/>
      <c r="X18" s="1621"/>
      <c r="Y18" s="1621"/>
      <c r="Z18" s="1621"/>
      <c r="AA18" s="1621"/>
      <c r="AB18" s="1622"/>
      <c r="AC18" s="1623"/>
    </row>
    <row r="19" spans="1:29" ht="13.5" customHeight="1">
      <c r="A19" s="1308">
        <v>2</v>
      </c>
      <c r="B19" s="1307">
        <v>201</v>
      </c>
      <c r="C19" s="1610" t="s">
        <v>343</v>
      </c>
      <c r="D19" s="1305">
        <v>54.8</v>
      </c>
      <c r="E19" s="1295">
        <v>0</v>
      </c>
      <c r="F19" s="1294">
        <v>0</v>
      </c>
      <c r="G19" s="1294">
        <v>0</v>
      </c>
      <c r="H19" s="1294">
        <v>0</v>
      </c>
      <c r="I19" s="1294">
        <v>0</v>
      </c>
      <c r="J19" s="1294">
        <v>0</v>
      </c>
      <c r="K19" s="1294">
        <v>0</v>
      </c>
      <c r="L19" s="1294">
        <v>0</v>
      </c>
      <c r="M19" s="1294">
        <v>4533</v>
      </c>
      <c r="N19" s="1294">
        <v>4533</v>
      </c>
      <c r="O19" s="1294">
        <v>4533</v>
      </c>
      <c r="P19" s="1294">
        <v>4740</v>
      </c>
      <c r="Q19" s="1294">
        <v>4533</v>
      </c>
      <c r="R19" s="1294">
        <v>4533</v>
      </c>
      <c r="S19" s="1294">
        <v>4533</v>
      </c>
      <c r="T19" s="1294">
        <v>4533</v>
      </c>
      <c r="U19" s="1294">
        <v>4533</v>
      </c>
      <c r="V19" s="1294">
        <v>4533</v>
      </c>
      <c r="W19" s="1294">
        <v>0</v>
      </c>
      <c r="X19" s="1294">
        <v>0</v>
      </c>
      <c r="Y19" s="1294">
        <v>0</v>
      </c>
      <c r="Z19" s="1294">
        <v>0</v>
      </c>
      <c r="AA19" s="1294">
        <v>0</v>
      </c>
      <c r="AB19" s="1592">
        <v>0</v>
      </c>
      <c r="AC19" s="1591"/>
    </row>
    <row r="20" spans="1:29" ht="13.5" customHeight="1">
      <c r="A20" s="1308">
        <v>2</v>
      </c>
      <c r="B20" s="1307">
        <v>204</v>
      </c>
      <c r="C20" s="1593" t="s">
        <v>538</v>
      </c>
      <c r="D20" s="1305">
        <v>13.2</v>
      </c>
      <c r="E20" s="1295">
        <v>0</v>
      </c>
      <c r="F20" s="1294">
        <v>0</v>
      </c>
      <c r="G20" s="1294">
        <v>0</v>
      </c>
      <c r="H20" s="1294">
        <v>0</v>
      </c>
      <c r="I20" s="1294">
        <v>0</v>
      </c>
      <c r="J20" s="1294">
        <v>0</v>
      </c>
      <c r="K20" s="1294">
        <v>0</v>
      </c>
      <c r="L20" s="1294">
        <v>0</v>
      </c>
      <c r="M20" s="1294">
        <v>506</v>
      </c>
      <c r="N20" s="1294">
        <v>506</v>
      </c>
      <c r="O20" s="1294">
        <v>506</v>
      </c>
      <c r="P20" s="1294">
        <v>506</v>
      </c>
      <c r="Q20" s="1294">
        <v>506</v>
      </c>
      <c r="R20" s="1294">
        <v>506</v>
      </c>
      <c r="S20" s="1294">
        <v>506</v>
      </c>
      <c r="T20" s="1294">
        <v>506</v>
      </c>
      <c r="U20" s="1294">
        <v>506</v>
      </c>
      <c r="V20" s="1294">
        <v>506</v>
      </c>
      <c r="W20" s="1294">
        <v>0</v>
      </c>
      <c r="X20" s="1294">
        <v>0</v>
      </c>
      <c r="Y20" s="1294">
        <v>0</v>
      </c>
      <c r="Z20" s="1294">
        <v>0</v>
      </c>
      <c r="AA20" s="1294">
        <v>0</v>
      </c>
      <c r="AB20" s="1592">
        <v>0</v>
      </c>
      <c r="AC20" s="1591"/>
    </row>
    <row r="21" spans="1:29" ht="13.5" customHeight="1">
      <c r="A21" s="1308">
        <v>2</v>
      </c>
      <c r="B21" s="1307">
        <v>205</v>
      </c>
      <c r="C21" s="1593" t="s">
        <v>563</v>
      </c>
      <c r="D21" s="1305">
        <v>13.2</v>
      </c>
      <c r="E21" s="1295">
        <v>0</v>
      </c>
      <c r="F21" s="1294">
        <v>0</v>
      </c>
      <c r="G21" s="1294">
        <v>0</v>
      </c>
      <c r="H21" s="1294">
        <v>0</v>
      </c>
      <c r="I21" s="1294">
        <v>0</v>
      </c>
      <c r="J21" s="1294">
        <v>0</v>
      </c>
      <c r="K21" s="1294">
        <v>0</v>
      </c>
      <c r="L21" s="1294">
        <v>0</v>
      </c>
      <c r="M21" s="1294">
        <v>683</v>
      </c>
      <c r="N21" s="1294">
        <v>683</v>
      </c>
      <c r="O21" s="1294">
        <v>683</v>
      </c>
      <c r="P21" s="1294">
        <v>683</v>
      </c>
      <c r="Q21" s="1294">
        <v>683</v>
      </c>
      <c r="R21" s="1294">
        <v>683</v>
      </c>
      <c r="S21" s="1294">
        <v>683</v>
      </c>
      <c r="T21" s="1294">
        <v>683</v>
      </c>
      <c r="U21" s="1294">
        <v>683</v>
      </c>
      <c r="V21" s="1294">
        <v>683</v>
      </c>
      <c r="W21" s="1294">
        <v>0</v>
      </c>
      <c r="X21" s="1294">
        <v>0</v>
      </c>
      <c r="Y21" s="1294">
        <v>0</v>
      </c>
      <c r="Z21" s="1294">
        <v>0</v>
      </c>
      <c r="AA21" s="1294">
        <v>0</v>
      </c>
      <c r="AB21" s="1592">
        <v>0</v>
      </c>
      <c r="AC21" s="1591"/>
    </row>
    <row r="22" spans="1:29" ht="13.5" customHeight="1">
      <c r="A22" s="1411">
        <v>2</v>
      </c>
      <c r="B22" s="1412">
        <v>208</v>
      </c>
      <c r="C22" s="1612" t="s">
        <v>583</v>
      </c>
      <c r="D22" s="1414">
        <v>53.3</v>
      </c>
      <c r="E22" s="1418">
        <v>0</v>
      </c>
      <c r="F22" s="1419">
        <v>0</v>
      </c>
      <c r="G22" s="1419">
        <v>0</v>
      </c>
      <c r="H22" s="1419">
        <v>0</v>
      </c>
      <c r="I22" s="1419">
        <v>0</v>
      </c>
      <c r="J22" s="1419">
        <v>0</v>
      </c>
      <c r="K22" s="1419">
        <v>0</v>
      </c>
      <c r="L22" s="1419">
        <v>0</v>
      </c>
      <c r="M22" s="1419">
        <v>2678</v>
      </c>
      <c r="N22" s="1419">
        <v>2678</v>
      </c>
      <c r="O22" s="1419">
        <v>2678</v>
      </c>
      <c r="P22" s="1419">
        <v>2678</v>
      </c>
      <c r="Q22" s="1419">
        <v>2678</v>
      </c>
      <c r="R22" s="1419">
        <v>2678</v>
      </c>
      <c r="S22" s="1419">
        <v>2678</v>
      </c>
      <c r="T22" s="1419">
        <v>2678</v>
      </c>
      <c r="U22" s="1419">
        <v>2678</v>
      </c>
      <c r="V22" s="1419">
        <v>2678</v>
      </c>
      <c r="W22" s="1419">
        <v>0</v>
      </c>
      <c r="X22" s="1419">
        <v>0</v>
      </c>
      <c r="Y22" s="1419">
        <v>0</v>
      </c>
      <c r="Z22" s="1419">
        <v>0</v>
      </c>
      <c r="AA22" s="1419">
        <v>0</v>
      </c>
      <c r="AB22" s="1613">
        <v>0</v>
      </c>
      <c r="AC22" s="1614"/>
    </row>
    <row r="23" spans="1:29" ht="13.5" customHeight="1" thickBot="1">
      <c r="A23" s="1629"/>
      <c r="B23" s="1630"/>
      <c r="C23" s="1631" t="s">
        <v>819</v>
      </c>
      <c r="D23" s="1632"/>
      <c r="E23" s="1633">
        <v>0</v>
      </c>
      <c r="F23" s="1634">
        <v>0</v>
      </c>
      <c r="G23" s="1634">
        <v>0</v>
      </c>
      <c r="H23" s="1634">
        <v>0</v>
      </c>
      <c r="I23" s="1634">
        <v>0</v>
      </c>
      <c r="J23" s="1634">
        <v>0</v>
      </c>
      <c r="K23" s="1634">
        <v>0</v>
      </c>
      <c r="L23" s="1634">
        <v>0</v>
      </c>
      <c r="M23" s="1634">
        <v>1603</v>
      </c>
      <c r="N23" s="1634">
        <v>1603</v>
      </c>
      <c r="O23" s="1634">
        <v>1603</v>
      </c>
      <c r="P23" s="1634">
        <v>1603</v>
      </c>
      <c r="Q23" s="1634">
        <v>1603</v>
      </c>
      <c r="R23" s="1634">
        <v>1603</v>
      </c>
      <c r="S23" s="1634">
        <v>1603</v>
      </c>
      <c r="T23" s="1634">
        <v>1603</v>
      </c>
      <c r="U23" s="1634">
        <v>1603</v>
      </c>
      <c r="V23" s="1634">
        <v>1603</v>
      </c>
      <c r="W23" s="1634">
        <v>0</v>
      </c>
      <c r="X23" s="1634">
        <v>0</v>
      </c>
      <c r="Y23" s="1634">
        <v>0</v>
      </c>
      <c r="Z23" s="1634">
        <v>0</v>
      </c>
      <c r="AA23" s="1634">
        <v>0</v>
      </c>
      <c r="AB23" s="1634">
        <v>0</v>
      </c>
      <c r="AC23" s="1635"/>
    </row>
    <row r="24" spans="1:29" ht="13.5" customHeight="1" thickTop="1">
      <c r="A24" s="1640" t="s">
        <v>808</v>
      </c>
      <c r="B24" s="1589"/>
      <c r="C24" s="1590"/>
      <c r="D24" s="1641">
        <v>134.5</v>
      </c>
      <c r="E24" s="1637">
        <v>0</v>
      </c>
      <c r="F24" s="1638">
        <v>0</v>
      </c>
      <c r="G24" s="1638">
        <v>0</v>
      </c>
      <c r="H24" s="1638">
        <v>0</v>
      </c>
      <c r="I24" s="1638">
        <v>0</v>
      </c>
      <c r="J24" s="1638">
        <v>0</v>
      </c>
      <c r="K24" s="1638">
        <v>0</v>
      </c>
      <c r="L24" s="1638">
        <v>0</v>
      </c>
      <c r="M24" s="1638">
        <v>10003</v>
      </c>
      <c r="N24" s="1638">
        <v>10003</v>
      </c>
      <c r="O24" s="1638">
        <v>10003</v>
      </c>
      <c r="P24" s="1638">
        <v>10210</v>
      </c>
      <c r="Q24" s="1638">
        <v>10003</v>
      </c>
      <c r="R24" s="1638">
        <v>10003</v>
      </c>
      <c r="S24" s="1638">
        <v>10003</v>
      </c>
      <c r="T24" s="1638">
        <v>10003</v>
      </c>
      <c r="U24" s="1638">
        <v>10003</v>
      </c>
      <c r="V24" s="1638">
        <v>10003</v>
      </c>
      <c r="W24" s="1638">
        <v>0</v>
      </c>
      <c r="X24" s="1638">
        <v>0</v>
      </c>
      <c r="Y24" s="1638">
        <v>0</v>
      </c>
      <c r="Z24" s="1638">
        <v>0</v>
      </c>
      <c r="AA24" s="1638">
        <v>0</v>
      </c>
      <c r="AB24" s="1638">
        <v>0</v>
      </c>
      <c r="AC24" s="1639"/>
    </row>
    <row r="25" spans="1:29" ht="13.5" customHeight="1" thickBot="1">
      <c r="A25" s="1411"/>
      <c r="B25" s="1412"/>
      <c r="C25" s="1642"/>
      <c r="D25" s="1414"/>
      <c r="E25" s="1418"/>
      <c r="F25" s="1419"/>
      <c r="G25" s="1419"/>
      <c r="H25" s="1419"/>
      <c r="I25" s="1419"/>
      <c r="J25" s="1419"/>
      <c r="K25" s="1419"/>
      <c r="L25" s="1419"/>
      <c r="M25" s="1419"/>
      <c r="N25" s="1419"/>
      <c r="O25" s="1419"/>
      <c r="P25" s="1419"/>
      <c r="Q25" s="1419"/>
      <c r="R25" s="1419"/>
      <c r="S25" s="1419"/>
      <c r="T25" s="1419"/>
      <c r="U25" s="1419"/>
      <c r="V25" s="1419"/>
      <c r="W25" s="1419"/>
      <c r="X25" s="1419"/>
      <c r="Y25" s="1419"/>
      <c r="Z25" s="1419"/>
      <c r="AA25" s="1419"/>
      <c r="AB25" s="1613"/>
      <c r="AC25" s="1614"/>
    </row>
    <row r="26" spans="1:29" ht="13.5" customHeight="1" thickTop="1">
      <c r="A26" s="1653" t="s">
        <v>811</v>
      </c>
      <c r="B26" s="1654"/>
      <c r="C26" s="1654"/>
      <c r="D26" s="1649">
        <v>134.5</v>
      </c>
      <c r="E26" s="1650">
        <v>0</v>
      </c>
      <c r="F26" s="1651">
        <v>0</v>
      </c>
      <c r="G26" s="1651">
        <v>0</v>
      </c>
      <c r="H26" s="1651">
        <v>0</v>
      </c>
      <c r="I26" s="1651">
        <v>0</v>
      </c>
      <c r="J26" s="1651">
        <v>0</v>
      </c>
      <c r="K26" s="1651">
        <v>0</v>
      </c>
      <c r="L26" s="1651">
        <v>0</v>
      </c>
      <c r="M26" s="1651">
        <v>10003</v>
      </c>
      <c r="N26" s="1651">
        <v>10003</v>
      </c>
      <c r="O26" s="1651">
        <v>10003</v>
      </c>
      <c r="P26" s="1651">
        <v>10210</v>
      </c>
      <c r="Q26" s="1651">
        <v>10003</v>
      </c>
      <c r="R26" s="1651">
        <v>10003</v>
      </c>
      <c r="S26" s="1651">
        <v>10003</v>
      </c>
      <c r="T26" s="1651">
        <v>10003</v>
      </c>
      <c r="U26" s="1651">
        <v>10003</v>
      </c>
      <c r="V26" s="1651">
        <v>10003</v>
      </c>
      <c r="W26" s="1651">
        <v>0</v>
      </c>
      <c r="X26" s="1651">
        <v>0</v>
      </c>
      <c r="Y26" s="1651">
        <v>0</v>
      </c>
      <c r="Z26" s="1651">
        <v>0</v>
      </c>
      <c r="AA26" s="1651">
        <v>0</v>
      </c>
      <c r="AB26" s="1651">
        <v>0</v>
      </c>
      <c r="AC26" s="1652"/>
    </row>
    <row r="27" spans="1:29" ht="13.5" customHeight="1">
      <c r="A27" s="1411"/>
      <c r="B27" s="1412"/>
      <c r="C27" s="1642"/>
      <c r="D27" s="1414"/>
      <c r="E27" s="1418"/>
      <c r="F27" s="1419"/>
      <c r="G27" s="1419"/>
      <c r="H27" s="1419"/>
      <c r="I27" s="1419"/>
      <c r="J27" s="1419"/>
      <c r="K27" s="1419"/>
      <c r="L27" s="1419"/>
      <c r="M27" s="1419"/>
      <c r="N27" s="1419"/>
      <c r="O27" s="1419"/>
      <c r="P27" s="1419"/>
      <c r="Q27" s="1419"/>
      <c r="R27" s="1419"/>
      <c r="S27" s="1419"/>
      <c r="T27" s="1419"/>
      <c r="U27" s="1419"/>
      <c r="V27" s="1419"/>
      <c r="W27" s="1419"/>
      <c r="X27" s="1419"/>
      <c r="Y27" s="1419"/>
      <c r="Z27" s="1419"/>
      <c r="AA27" s="1419"/>
      <c r="AB27" s="1613"/>
      <c r="AC27" s="1614"/>
    </row>
    <row r="28" spans="1:29" ht="13.5" customHeight="1">
      <c r="A28" s="1628" t="s">
        <v>383</v>
      </c>
      <c r="B28" s="1616"/>
      <c r="C28" s="1616"/>
      <c r="D28" s="1616"/>
      <c r="E28" s="1616"/>
      <c r="F28" s="1616"/>
      <c r="G28" s="1616"/>
      <c r="H28" s="1616"/>
      <c r="I28" s="1616"/>
      <c r="J28" s="1616"/>
      <c r="K28" s="1616"/>
      <c r="L28" s="1616"/>
      <c r="M28" s="1616"/>
      <c r="N28" s="1616"/>
      <c r="O28" s="1616"/>
      <c r="P28" s="1616"/>
      <c r="Q28" s="1616"/>
      <c r="R28" s="1616"/>
      <c r="S28" s="1616"/>
      <c r="T28" s="1616"/>
      <c r="U28" s="1616"/>
      <c r="V28" s="1616"/>
      <c r="W28" s="1616"/>
      <c r="X28" s="1616"/>
      <c r="Y28" s="1616"/>
      <c r="Z28" s="1616"/>
      <c r="AA28" s="1616"/>
      <c r="AB28" s="1616"/>
      <c r="AC28" s="1617"/>
    </row>
    <row r="29" spans="1:29" ht="13.5" customHeight="1">
      <c r="A29" s="1624" t="s">
        <v>805</v>
      </c>
      <c r="B29" s="1625"/>
      <c r="C29" s="1626"/>
      <c r="D29" s="1619"/>
      <c r="E29" s="1620"/>
      <c r="F29" s="1621"/>
      <c r="G29" s="1621"/>
      <c r="H29" s="1621"/>
      <c r="I29" s="1621"/>
      <c r="J29" s="1621"/>
      <c r="K29" s="1621"/>
      <c r="L29" s="1621"/>
      <c r="M29" s="1621"/>
      <c r="N29" s="1621"/>
      <c r="O29" s="1621"/>
      <c r="P29" s="1621"/>
      <c r="Q29" s="1621"/>
      <c r="R29" s="1621"/>
      <c r="S29" s="1621"/>
      <c r="T29" s="1621"/>
      <c r="U29" s="1621"/>
      <c r="V29" s="1621"/>
      <c r="W29" s="1621"/>
      <c r="X29" s="1621"/>
      <c r="Y29" s="1621"/>
      <c r="Z29" s="1621"/>
      <c r="AA29" s="1621"/>
      <c r="AB29" s="1622"/>
      <c r="AC29" s="1623"/>
    </row>
    <row r="30" spans="1:29" ht="13.5" customHeight="1">
      <c r="A30" s="1308">
        <v>2</v>
      </c>
      <c r="B30" s="1307">
        <v>201</v>
      </c>
      <c r="C30" s="1610" t="s">
        <v>343</v>
      </c>
      <c r="D30" s="1305">
        <v>54.8</v>
      </c>
      <c r="E30" s="1295">
        <v>0</v>
      </c>
      <c r="F30" s="1294">
        <v>0</v>
      </c>
      <c r="G30" s="1294">
        <v>0</v>
      </c>
      <c r="H30" s="1294">
        <v>0</v>
      </c>
      <c r="I30" s="1294">
        <v>0</v>
      </c>
      <c r="J30" s="1294">
        <v>0</v>
      </c>
      <c r="K30" s="1294">
        <v>0</v>
      </c>
      <c r="L30" s="1294">
        <v>0</v>
      </c>
      <c r="M30" s="1294">
        <v>4533</v>
      </c>
      <c r="N30" s="1294">
        <v>4533</v>
      </c>
      <c r="O30" s="1294">
        <v>4533</v>
      </c>
      <c r="P30" s="1294">
        <v>4740</v>
      </c>
      <c r="Q30" s="1294">
        <v>4533</v>
      </c>
      <c r="R30" s="1294">
        <v>4533</v>
      </c>
      <c r="S30" s="1294">
        <v>4533</v>
      </c>
      <c r="T30" s="1294">
        <v>4533</v>
      </c>
      <c r="U30" s="1294">
        <v>4533</v>
      </c>
      <c r="V30" s="1294">
        <v>4533</v>
      </c>
      <c r="W30" s="1294">
        <v>0</v>
      </c>
      <c r="X30" s="1294">
        <v>0</v>
      </c>
      <c r="Y30" s="1294">
        <v>0</v>
      </c>
      <c r="Z30" s="1294">
        <v>0</v>
      </c>
      <c r="AA30" s="1294">
        <v>0</v>
      </c>
      <c r="AB30" s="1592">
        <v>0</v>
      </c>
      <c r="AC30" s="1591"/>
    </row>
    <row r="31" spans="1:29" ht="13.5" customHeight="1">
      <c r="A31" s="1308">
        <v>2</v>
      </c>
      <c r="B31" s="1307">
        <v>204</v>
      </c>
      <c r="C31" s="1593" t="s">
        <v>538</v>
      </c>
      <c r="D31" s="1305">
        <v>13.2</v>
      </c>
      <c r="E31" s="1295">
        <v>0</v>
      </c>
      <c r="F31" s="1294">
        <v>0</v>
      </c>
      <c r="G31" s="1294">
        <v>0</v>
      </c>
      <c r="H31" s="1294">
        <v>0</v>
      </c>
      <c r="I31" s="1294">
        <v>0</v>
      </c>
      <c r="J31" s="1294">
        <v>0</v>
      </c>
      <c r="K31" s="1294">
        <v>0</v>
      </c>
      <c r="L31" s="1294">
        <v>0</v>
      </c>
      <c r="M31" s="1294">
        <v>506</v>
      </c>
      <c r="N31" s="1294">
        <v>506</v>
      </c>
      <c r="O31" s="1294">
        <v>506</v>
      </c>
      <c r="P31" s="1294">
        <v>506</v>
      </c>
      <c r="Q31" s="1294">
        <v>506</v>
      </c>
      <c r="R31" s="1294">
        <v>506</v>
      </c>
      <c r="S31" s="1294">
        <v>506</v>
      </c>
      <c r="T31" s="1294">
        <v>506</v>
      </c>
      <c r="U31" s="1294">
        <v>506</v>
      </c>
      <c r="V31" s="1294">
        <v>506</v>
      </c>
      <c r="W31" s="1294">
        <v>0</v>
      </c>
      <c r="X31" s="1294">
        <v>0</v>
      </c>
      <c r="Y31" s="1294">
        <v>0</v>
      </c>
      <c r="Z31" s="1294">
        <v>0</v>
      </c>
      <c r="AA31" s="1294">
        <v>0</v>
      </c>
      <c r="AB31" s="1592">
        <v>0</v>
      </c>
      <c r="AC31" s="1591"/>
    </row>
    <row r="32" spans="1:29" ht="13.5" customHeight="1">
      <c r="A32" s="1308">
        <v>2</v>
      </c>
      <c r="B32" s="1307">
        <v>205</v>
      </c>
      <c r="C32" s="1593" t="s">
        <v>563</v>
      </c>
      <c r="D32" s="1305">
        <v>13.2</v>
      </c>
      <c r="E32" s="1295">
        <v>0</v>
      </c>
      <c r="F32" s="1294">
        <v>0</v>
      </c>
      <c r="G32" s="1294">
        <v>0</v>
      </c>
      <c r="H32" s="1294">
        <v>0</v>
      </c>
      <c r="I32" s="1294">
        <v>0</v>
      </c>
      <c r="J32" s="1294">
        <v>0</v>
      </c>
      <c r="K32" s="1294">
        <v>0</v>
      </c>
      <c r="L32" s="1294">
        <v>0</v>
      </c>
      <c r="M32" s="1294">
        <v>683</v>
      </c>
      <c r="N32" s="1294">
        <v>683</v>
      </c>
      <c r="O32" s="1294">
        <v>683</v>
      </c>
      <c r="P32" s="1294">
        <v>683</v>
      </c>
      <c r="Q32" s="1294">
        <v>683</v>
      </c>
      <c r="R32" s="1294">
        <v>683</v>
      </c>
      <c r="S32" s="1294">
        <v>683</v>
      </c>
      <c r="T32" s="1294">
        <v>683</v>
      </c>
      <c r="U32" s="1294">
        <v>683</v>
      </c>
      <c r="V32" s="1294">
        <v>683</v>
      </c>
      <c r="W32" s="1294">
        <v>0</v>
      </c>
      <c r="X32" s="1294">
        <v>0</v>
      </c>
      <c r="Y32" s="1294">
        <v>0</v>
      </c>
      <c r="Z32" s="1294">
        <v>0</v>
      </c>
      <c r="AA32" s="1294">
        <v>0</v>
      </c>
      <c r="AB32" s="1592">
        <v>0</v>
      </c>
      <c r="AC32" s="1591"/>
    </row>
    <row r="33" spans="1:29" ht="13.5" customHeight="1">
      <c r="A33" s="1411">
        <v>2</v>
      </c>
      <c r="B33" s="1412">
        <v>208</v>
      </c>
      <c r="C33" s="1612" t="s">
        <v>583</v>
      </c>
      <c r="D33" s="1414">
        <v>53.3</v>
      </c>
      <c r="E33" s="1418">
        <v>0</v>
      </c>
      <c r="F33" s="1419">
        <v>0</v>
      </c>
      <c r="G33" s="1419">
        <v>0</v>
      </c>
      <c r="H33" s="1419">
        <v>0</v>
      </c>
      <c r="I33" s="1419">
        <v>0</v>
      </c>
      <c r="J33" s="1419">
        <v>0</v>
      </c>
      <c r="K33" s="1419">
        <v>0</v>
      </c>
      <c r="L33" s="1419">
        <v>0</v>
      </c>
      <c r="M33" s="1419">
        <v>2678</v>
      </c>
      <c r="N33" s="1419">
        <v>2678</v>
      </c>
      <c r="O33" s="1419">
        <v>2678</v>
      </c>
      <c r="P33" s="1419">
        <v>2678</v>
      </c>
      <c r="Q33" s="1419">
        <v>2678</v>
      </c>
      <c r="R33" s="1419">
        <v>2678</v>
      </c>
      <c r="S33" s="1419">
        <v>2678</v>
      </c>
      <c r="T33" s="1419">
        <v>2678</v>
      </c>
      <c r="U33" s="1419">
        <v>2678</v>
      </c>
      <c r="V33" s="1419">
        <v>2678</v>
      </c>
      <c r="W33" s="1419">
        <v>0</v>
      </c>
      <c r="X33" s="1419">
        <v>0</v>
      </c>
      <c r="Y33" s="1419">
        <v>0</v>
      </c>
      <c r="Z33" s="1419">
        <v>0</v>
      </c>
      <c r="AA33" s="1419">
        <v>0</v>
      </c>
      <c r="AB33" s="1613">
        <v>0</v>
      </c>
      <c r="AC33" s="1614"/>
    </row>
    <row r="34" spans="1:29" ht="13.5" customHeight="1" thickBot="1">
      <c r="A34" s="1629"/>
      <c r="B34" s="1630"/>
      <c r="C34" s="1631" t="s">
        <v>819</v>
      </c>
      <c r="D34" s="1632"/>
      <c r="E34" s="1633">
        <v>0</v>
      </c>
      <c r="F34" s="1634">
        <v>0</v>
      </c>
      <c r="G34" s="1634">
        <v>0</v>
      </c>
      <c r="H34" s="1634">
        <v>0</v>
      </c>
      <c r="I34" s="1634">
        <v>0</v>
      </c>
      <c r="J34" s="1634">
        <v>0</v>
      </c>
      <c r="K34" s="1634">
        <v>0</v>
      </c>
      <c r="L34" s="1634">
        <v>0</v>
      </c>
      <c r="M34" s="1634">
        <v>1603</v>
      </c>
      <c r="N34" s="1634">
        <v>1603</v>
      </c>
      <c r="O34" s="1634">
        <v>1603</v>
      </c>
      <c r="P34" s="1634">
        <v>1603</v>
      </c>
      <c r="Q34" s="1634">
        <v>1603</v>
      </c>
      <c r="R34" s="1634">
        <v>1603</v>
      </c>
      <c r="S34" s="1634">
        <v>1603</v>
      </c>
      <c r="T34" s="1634">
        <v>1603</v>
      </c>
      <c r="U34" s="1634">
        <v>1603</v>
      </c>
      <c r="V34" s="1634">
        <v>1603</v>
      </c>
      <c r="W34" s="1634">
        <v>0</v>
      </c>
      <c r="X34" s="1634">
        <v>0</v>
      </c>
      <c r="Y34" s="1634">
        <v>0</v>
      </c>
      <c r="Z34" s="1634">
        <v>0</v>
      </c>
      <c r="AA34" s="1634">
        <v>0</v>
      </c>
      <c r="AB34" s="1634">
        <v>0</v>
      </c>
      <c r="AC34" s="1635"/>
    </row>
    <row r="35" spans="1:29" ht="13.5" customHeight="1" thickTop="1">
      <c r="A35" s="1640" t="s">
        <v>808</v>
      </c>
      <c r="B35" s="1589"/>
      <c r="C35" s="1590"/>
      <c r="D35" s="1641">
        <v>134.5</v>
      </c>
      <c r="E35" s="1637">
        <v>0</v>
      </c>
      <c r="F35" s="1638">
        <v>0</v>
      </c>
      <c r="G35" s="1638">
        <v>0</v>
      </c>
      <c r="H35" s="1638">
        <v>0</v>
      </c>
      <c r="I35" s="1638">
        <v>0</v>
      </c>
      <c r="J35" s="1638">
        <v>0</v>
      </c>
      <c r="K35" s="1638">
        <v>0</v>
      </c>
      <c r="L35" s="1638">
        <v>0</v>
      </c>
      <c r="M35" s="1638">
        <v>10003</v>
      </c>
      <c r="N35" s="1638">
        <v>10003</v>
      </c>
      <c r="O35" s="1638">
        <v>10003</v>
      </c>
      <c r="P35" s="1638">
        <v>10210</v>
      </c>
      <c r="Q35" s="1638">
        <v>10003</v>
      </c>
      <c r="R35" s="1638">
        <v>10003</v>
      </c>
      <c r="S35" s="1638">
        <v>10003</v>
      </c>
      <c r="T35" s="1638">
        <v>10003</v>
      </c>
      <c r="U35" s="1638">
        <v>10003</v>
      </c>
      <c r="V35" s="1638">
        <v>10003</v>
      </c>
      <c r="W35" s="1638">
        <v>0</v>
      </c>
      <c r="X35" s="1638">
        <v>0</v>
      </c>
      <c r="Y35" s="1638">
        <v>0</v>
      </c>
      <c r="Z35" s="1638">
        <v>0</v>
      </c>
      <c r="AA35" s="1638">
        <v>0</v>
      </c>
      <c r="AB35" s="1638">
        <v>0</v>
      </c>
      <c r="AC35" s="1639"/>
    </row>
    <row r="36" spans="1:29" ht="13.5" customHeight="1" thickBot="1">
      <c r="A36" s="1411"/>
      <c r="B36" s="1412"/>
      <c r="C36" s="1642"/>
      <c r="D36" s="1414"/>
      <c r="E36" s="1418"/>
      <c r="F36" s="1419"/>
      <c r="G36" s="1419"/>
      <c r="H36" s="1419"/>
      <c r="I36" s="1419"/>
      <c r="J36" s="1419"/>
      <c r="K36" s="1419"/>
      <c r="L36" s="1419"/>
      <c r="M36" s="1419"/>
      <c r="N36" s="1419"/>
      <c r="O36" s="1419"/>
      <c r="P36" s="1419"/>
      <c r="Q36" s="1419"/>
      <c r="R36" s="1419"/>
      <c r="S36" s="1419"/>
      <c r="T36" s="1419"/>
      <c r="U36" s="1419"/>
      <c r="V36" s="1419"/>
      <c r="W36" s="1419"/>
      <c r="X36" s="1419"/>
      <c r="Y36" s="1419"/>
      <c r="Z36" s="1419"/>
      <c r="AA36" s="1419"/>
      <c r="AB36" s="1613"/>
      <c r="AC36" s="1614"/>
    </row>
    <row r="37" spans="1:29" ht="13.5" customHeight="1" thickTop="1">
      <c r="A37" s="1659" t="s">
        <v>812</v>
      </c>
      <c r="B37" s="1660"/>
      <c r="C37" s="1660"/>
      <c r="D37" s="1655">
        <v>134.5</v>
      </c>
      <c r="E37" s="1656">
        <v>0</v>
      </c>
      <c r="F37" s="1657">
        <v>0</v>
      </c>
      <c r="G37" s="1657">
        <v>0</v>
      </c>
      <c r="H37" s="1657">
        <v>0</v>
      </c>
      <c r="I37" s="1657">
        <v>0</v>
      </c>
      <c r="J37" s="1657">
        <v>0</v>
      </c>
      <c r="K37" s="1657">
        <v>0</v>
      </c>
      <c r="L37" s="1657">
        <v>0</v>
      </c>
      <c r="M37" s="1657">
        <v>10003</v>
      </c>
      <c r="N37" s="1657">
        <v>10003</v>
      </c>
      <c r="O37" s="1657">
        <v>10003</v>
      </c>
      <c r="P37" s="1657">
        <v>10210</v>
      </c>
      <c r="Q37" s="1657">
        <v>10003</v>
      </c>
      <c r="R37" s="1657">
        <v>10003</v>
      </c>
      <c r="S37" s="1657">
        <v>10003</v>
      </c>
      <c r="T37" s="1657">
        <v>10003</v>
      </c>
      <c r="U37" s="1657">
        <v>10003</v>
      </c>
      <c r="V37" s="1657">
        <v>10003</v>
      </c>
      <c r="W37" s="1657">
        <v>0</v>
      </c>
      <c r="X37" s="1657">
        <v>0</v>
      </c>
      <c r="Y37" s="1657">
        <v>0</v>
      </c>
      <c r="Z37" s="1657">
        <v>0</v>
      </c>
      <c r="AA37" s="1657">
        <v>0</v>
      </c>
      <c r="AB37" s="1657">
        <v>0</v>
      </c>
      <c r="AC37" s="1658"/>
    </row>
    <row r="38" spans="1:29" ht="13.5" customHeight="1">
      <c r="A38" s="1308"/>
      <c r="B38" s="1307"/>
      <c r="C38" s="1610"/>
      <c r="D38" s="1305"/>
      <c r="E38" s="1295"/>
      <c r="F38" s="1294"/>
      <c r="G38" s="1294"/>
      <c r="H38" s="1294"/>
      <c r="I38" s="1294"/>
      <c r="J38" s="1294"/>
      <c r="K38" s="1294"/>
      <c r="L38" s="1294"/>
      <c r="M38" s="1294"/>
      <c r="N38" s="1294"/>
      <c r="O38" s="1294"/>
      <c r="P38" s="1294"/>
      <c r="Q38" s="1294"/>
      <c r="R38" s="1294"/>
      <c r="S38" s="1294"/>
      <c r="T38" s="1294"/>
      <c r="U38" s="1294"/>
      <c r="V38" s="1294"/>
      <c r="W38" s="1294"/>
      <c r="X38" s="1294"/>
      <c r="Y38" s="1294"/>
      <c r="Z38" s="1294"/>
      <c r="AA38" s="1294"/>
      <c r="AB38" s="1592"/>
      <c r="AC38" s="1591"/>
    </row>
    <row r="39" spans="1:29" ht="13.5" customHeight="1">
      <c r="A39" s="1308"/>
      <c r="B39" s="1307"/>
      <c r="C39" s="1593"/>
      <c r="D39" s="1305"/>
      <c r="E39" s="1295"/>
      <c r="F39" s="1294"/>
      <c r="G39" s="1294"/>
      <c r="H39" s="1294"/>
      <c r="I39" s="1294"/>
      <c r="J39" s="1294"/>
      <c r="K39" s="1294"/>
      <c r="L39" s="1294"/>
      <c r="M39" s="1294"/>
      <c r="N39" s="1294"/>
      <c r="O39" s="1294"/>
      <c r="P39" s="1294"/>
      <c r="Q39" s="1294"/>
      <c r="R39" s="1294"/>
      <c r="S39" s="1294"/>
      <c r="T39" s="1294"/>
      <c r="U39" s="1294"/>
      <c r="V39" s="1294"/>
      <c r="W39" s="1294"/>
      <c r="X39" s="1294"/>
      <c r="Y39" s="1294"/>
      <c r="Z39" s="1294"/>
      <c r="AA39" s="1294"/>
      <c r="AB39" s="1592"/>
      <c r="AC39" s="1591"/>
    </row>
    <row r="40" spans="1:29" ht="13.5" customHeight="1">
      <c r="A40" s="1308"/>
      <c r="B40" s="1307"/>
      <c r="C40" s="1593"/>
      <c r="D40" s="1305"/>
      <c r="E40" s="1295"/>
      <c r="F40" s="1294"/>
      <c r="G40" s="1294"/>
      <c r="H40" s="1294"/>
      <c r="I40" s="1294"/>
      <c r="J40" s="1294"/>
      <c r="K40" s="1294"/>
      <c r="L40" s="1294"/>
      <c r="M40" s="1294"/>
      <c r="N40" s="1294"/>
      <c r="O40" s="1294"/>
      <c r="P40" s="1294"/>
      <c r="Q40" s="1294"/>
      <c r="R40" s="1294"/>
      <c r="S40" s="1294"/>
      <c r="T40" s="1294"/>
      <c r="U40" s="1294"/>
      <c r="V40" s="1294"/>
      <c r="W40" s="1294"/>
      <c r="X40" s="1294"/>
      <c r="Y40" s="1294"/>
      <c r="Z40" s="1294"/>
      <c r="AA40" s="1294"/>
      <c r="AB40" s="1592"/>
      <c r="AC40" s="1591"/>
    </row>
    <row r="41" spans="1:29" ht="13.5" customHeight="1">
      <c r="A41" s="1308"/>
      <c r="B41" s="1307"/>
      <c r="C41" s="1593"/>
      <c r="D41" s="1305"/>
      <c r="E41" s="1295"/>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592"/>
      <c r="AC41" s="1591"/>
    </row>
    <row r="42" spans="1:29" ht="13.5" customHeight="1">
      <c r="A42" s="1308"/>
      <c r="B42" s="1307"/>
      <c r="C42" s="1593"/>
      <c r="D42" s="1305"/>
      <c r="E42" s="1295"/>
      <c r="F42" s="1294"/>
      <c r="G42" s="1294"/>
      <c r="H42" s="1294"/>
      <c r="I42" s="1294"/>
      <c r="J42" s="1294"/>
      <c r="K42" s="1294"/>
      <c r="L42" s="1294"/>
      <c r="M42" s="1294"/>
      <c r="N42" s="1294"/>
      <c r="O42" s="1294"/>
      <c r="P42" s="1294"/>
      <c r="Q42" s="1294"/>
      <c r="R42" s="1294"/>
      <c r="S42" s="1294"/>
      <c r="T42" s="1294"/>
      <c r="U42" s="1294"/>
      <c r="V42" s="1294"/>
      <c r="W42" s="1294"/>
      <c r="X42" s="1294"/>
      <c r="Y42" s="1294"/>
      <c r="Z42" s="1294"/>
      <c r="AA42" s="1294"/>
      <c r="AB42" s="1592"/>
      <c r="AC42" s="1591"/>
    </row>
    <row r="43" spans="1:29" ht="13.5" customHeight="1">
      <c r="A43" s="1308"/>
      <c r="B43" s="1307"/>
      <c r="C43" s="1593"/>
      <c r="D43" s="1305"/>
      <c r="E43" s="1295"/>
      <c r="F43" s="1294"/>
      <c r="G43" s="1294"/>
      <c r="H43" s="1294"/>
      <c r="I43" s="1294"/>
      <c r="J43" s="1294"/>
      <c r="K43" s="1294"/>
      <c r="L43" s="1294"/>
      <c r="M43" s="1294"/>
      <c r="N43" s="1294"/>
      <c r="O43" s="1294"/>
      <c r="P43" s="1294"/>
      <c r="Q43" s="1294"/>
      <c r="R43" s="1294"/>
      <c r="S43" s="1294"/>
      <c r="T43" s="1294"/>
      <c r="U43" s="1294"/>
      <c r="V43" s="1294"/>
      <c r="W43" s="1294"/>
      <c r="X43" s="1294"/>
      <c r="Y43" s="1294"/>
      <c r="Z43" s="1294"/>
      <c r="AA43" s="1294"/>
      <c r="AB43" s="1592"/>
      <c r="AC43" s="1591"/>
    </row>
    <row r="44" spans="1:29" ht="13.5" customHeight="1">
      <c r="A44" s="1308"/>
      <c r="B44" s="1307"/>
      <c r="C44" s="1593"/>
      <c r="D44" s="1305"/>
      <c r="E44" s="1295"/>
      <c r="F44" s="1294"/>
      <c r="G44" s="1294"/>
      <c r="H44" s="1294"/>
      <c r="I44" s="1294"/>
      <c r="J44" s="1294"/>
      <c r="K44" s="1294"/>
      <c r="L44" s="1294"/>
      <c r="M44" s="1294"/>
      <c r="N44" s="1294"/>
      <c r="O44" s="1294"/>
      <c r="P44" s="1294"/>
      <c r="Q44" s="1294"/>
      <c r="R44" s="1294"/>
      <c r="S44" s="1294"/>
      <c r="T44" s="1294"/>
      <c r="U44" s="1294"/>
      <c r="V44" s="1294"/>
      <c r="W44" s="1294"/>
      <c r="X44" s="1294"/>
      <c r="Y44" s="1294"/>
      <c r="Z44" s="1294"/>
      <c r="AA44" s="1294"/>
      <c r="AB44" s="1592"/>
      <c r="AC44" s="1591"/>
    </row>
    <row r="45" spans="1:29" ht="13.5" customHeight="1">
      <c r="A45" s="1308"/>
      <c r="B45" s="1307"/>
      <c r="C45" s="1593"/>
      <c r="D45" s="1305"/>
      <c r="E45" s="1295"/>
      <c r="F45" s="1294"/>
      <c r="G45" s="1294"/>
      <c r="H45" s="1294"/>
      <c r="I45" s="1294"/>
      <c r="J45" s="1294"/>
      <c r="K45" s="1294"/>
      <c r="L45" s="1294"/>
      <c r="M45" s="1294"/>
      <c r="N45" s="1294"/>
      <c r="O45" s="1294"/>
      <c r="P45" s="1294"/>
      <c r="Q45" s="1294"/>
      <c r="R45" s="1294"/>
      <c r="S45" s="1294"/>
      <c r="T45" s="1294"/>
      <c r="U45" s="1294"/>
      <c r="V45" s="1294"/>
      <c r="W45" s="1294"/>
      <c r="X45" s="1294"/>
      <c r="Y45" s="1294"/>
      <c r="Z45" s="1294"/>
      <c r="AA45" s="1294"/>
      <c r="AB45" s="1592"/>
      <c r="AC45" s="1591"/>
    </row>
    <row r="46" spans="1:29" ht="13.5" customHeight="1">
      <c r="A46" s="1308"/>
      <c r="B46" s="1307"/>
      <c r="C46" s="1593"/>
      <c r="D46" s="1305"/>
      <c r="E46" s="1295"/>
      <c r="F46" s="1294"/>
      <c r="G46" s="1294"/>
      <c r="H46" s="1294"/>
      <c r="I46" s="1294"/>
      <c r="J46" s="1294"/>
      <c r="K46" s="1294"/>
      <c r="L46" s="1294"/>
      <c r="M46" s="1294"/>
      <c r="N46" s="1294"/>
      <c r="O46" s="1294"/>
      <c r="P46" s="1294"/>
      <c r="Q46" s="1294"/>
      <c r="R46" s="1294"/>
      <c r="S46" s="1294"/>
      <c r="T46" s="1294"/>
      <c r="U46" s="1294"/>
      <c r="V46" s="1294"/>
      <c r="W46" s="1294"/>
      <c r="X46" s="1294"/>
      <c r="Y46" s="1294"/>
      <c r="Z46" s="1294"/>
      <c r="AA46" s="1294"/>
      <c r="AB46" s="1592"/>
      <c r="AC46" s="1591"/>
    </row>
    <row r="47" spans="1:29" ht="13.5" customHeight="1">
      <c r="A47" s="1308"/>
      <c r="B47" s="1307"/>
      <c r="C47" s="1593"/>
      <c r="D47" s="1305"/>
      <c r="E47" s="1295"/>
      <c r="F47" s="1294"/>
      <c r="G47" s="1294"/>
      <c r="H47" s="1294"/>
      <c r="I47" s="1294"/>
      <c r="J47" s="1294"/>
      <c r="K47" s="1294"/>
      <c r="L47" s="1294"/>
      <c r="M47" s="1294"/>
      <c r="N47" s="1294"/>
      <c r="O47" s="1294"/>
      <c r="P47" s="1294"/>
      <c r="Q47" s="1294"/>
      <c r="R47" s="1294"/>
      <c r="S47" s="1294"/>
      <c r="T47" s="1294"/>
      <c r="U47" s="1294"/>
      <c r="V47" s="1294"/>
      <c r="W47" s="1294"/>
      <c r="X47" s="1294"/>
      <c r="Y47" s="1294"/>
      <c r="Z47" s="1294"/>
      <c r="AA47" s="1294"/>
      <c r="AB47" s="1592"/>
      <c r="AC47" s="1591"/>
    </row>
    <row r="48" spans="1:29" ht="13.5" customHeight="1">
      <c r="A48" s="1308"/>
      <c r="B48" s="1307"/>
      <c r="C48" s="1593"/>
      <c r="D48" s="1305"/>
      <c r="E48" s="1295"/>
      <c r="F48" s="1294"/>
      <c r="G48" s="1294"/>
      <c r="H48" s="1294"/>
      <c r="I48" s="1294"/>
      <c r="J48" s="1294"/>
      <c r="K48" s="1294"/>
      <c r="L48" s="1294"/>
      <c r="M48" s="1294"/>
      <c r="N48" s="1294"/>
      <c r="O48" s="1294"/>
      <c r="P48" s="1294"/>
      <c r="Q48" s="1294"/>
      <c r="R48" s="1294"/>
      <c r="S48" s="1294"/>
      <c r="T48" s="1294"/>
      <c r="U48" s="1294"/>
      <c r="V48" s="1294"/>
      <c r="W48" s="1294"/>
      <c r="X48" s="1294"/>
      <c r="Y48" s="1294"/>
      <c r="Z48" s="1294"/>
      <c r="AA48" s="1294"/>
      <c r="AB48" s="1592"/>
      <c r="AC48" s="1591"/>
    </row>
    <row r="49" spans="1:29" ht="13.5" customHeight="1">
      <c r="A49" s="1308"/>
      <c r="B49" s="1307"/>
      <c r="C49" s="1593"/>
      <c r="D49" s="1305"/>
      <c r="E49" s="1295"/>
      <c r="F49" s="1294"/>
      <c r="G49" s="1294"/>
      <c r="H49" s="1294"/>
      <c r="I49" s="1294"/>
      <c r="J49" s="1294"/>
      <c r="K49" s="1294"/>
      <c r="L49" s="1294"/>
      <c r="M49" s="1294"/>
      <c r="N49" s="1294"/>
      <c r="O49" s="1294"/>
      <c r="P49" s="1294"/>
      <c r="Q49" s="1294"/>
      <c r="R49" s="1294"/>
      <c r="S49" s="1294"/>
      <c r="T49" s="1294"/>
      <c r="U49" s="1294"/>
      <c r="V49" s="1294"/>
      <c r="W49" s="1294"/>
      <c r="X49" s="1294"/>
      <c r="Y49" s="1294"/>
      <c r="Z49" s="1294"/>
      <c r="AA49" s="1294"/>
      <c r="AB49" s="1592"/>
      <c r="AC49" s="1591"/>
    </row>
    <row r="50" spans="1:29" ht="13.5" customHeight="1">
      <c r="A50" s="1308"/>
      <c r="B50" s="1307"/>
      <c r="C50" s="1593"/>
      <c r="D50" s="1305"/>
      <c r="E50" s="1295"/>
      <c r="F50" s="1294"/>
      <c r="G50" s="1294"/>
      <c r="H50" s="1294"/>
      <c r="I50" s="1294"/>
      <c r="J50" s="1294"/>
      <c r="K50" s="1294"/>
      <c r="L50" s="1294"/>
      <c r="M50" s="1294"/>
      <c r="N50" s="1294"/>
      <c r="O50" s="1294"/>
      <c r="P50" s="1294"/>
      <c r="Q50" s="1294"/>
      <c r="R50" s="1294"/>
      <c r="S50" s="1294"/>
      <c r="T50" s="1294"/>
      <c r="U50" s="1294"/>
      <c r="V50" s="1294"/>
      <c r="W50" s="1294"/>
      <c r="X50" s="1294"/>
      <c r="Y50" s="1294"/>
      <c r="Z50" s="1294"/>
      <c r="AA50" s="1294"/>
      <c r="AB50" s="1592"/>
      <c r="AC50" s="1591"/>
    </row>
    <row r="51" spans="1:29" ht="13.5" customHeight="1">
      <c r="A51" s="1308"/>
      <c r="B51" s="1307"/>
      <c r="C51" s="1593"/>
      <c r="D51" s="1305"/>
      <c r="E51" s="1295"/>
      <c r="F51" s="1294"/>
      <c r="G51" s="1294"/>
      <c r="H51" s="1294"/>
      <c r="I51" s="1294"/>
      <c r="J51" s="1294"/>
      <c r="K51" s="1294"/>
      <c r="L51" s="1294"/>
      <c r="M51" s="1294"/>
      <c r="N51" s="1294"/>
      <c r="O51" s="1294"/>
      <c r="P51" s="1294"/>
      <c r="Q51" s="1294"/>
      <c r="R51" s="1294"/>
      <c r="S51" s="1294"/>
      <c r="T51" s="1294"/>
      <c r="U51" s="1294"/>
      <c r="V51" s="1294"/>
      <c r="W51" s="1294"/>
      <c r="X51" s="1294"/>
      <c r="Y51" s="1294"/>
      <c r="Z51" s="1294"/>
      <c r="AA51" s="1294"/>
      <c r="AB51" s="1592"/>
      <c r="AC51" s="1591"/>
    </row>
    <row r="52" spans="1:29" ht="13.5" customHeight="1">
      <c r="A52" s="1308"/>
      <c r="B52" s="1307"/>
      <c r="C52" s="1593"/>
      <c r="D52" s="1305"/>
      <c r="E52" s="1295"/>
      <c r="F52" s="1294"/>
      <c r="G52" s="1294"/>
      <c r="H52" s="1294"/>
      <c r="I52" s="1294"/>
      <c r="J52" s="1294"/>
      <c r="K52" s="1294"/>
      <c r="L52" s="1294"/>
      <c r="M52" s="1294"/>
      <c r="N52" s="1294"/>
      <c r="O52" s="1294"/>
      <c r="P52" s="1294"/>
      <c r="Q52" s="1294"/>
      <c r="R52" s="1294"/>
      <c r="S52" s="1294"/>
      <c r="T52" s="1294"/>
      <c r="U52" s="1294"/>
      <c r="V52" s="1294"/>
      <c r="W52" s="1294"/>
      <c r="X52" s="1294"/>
      <c r="Y52" s="1294"/>
      <c r="Z52" s="1294"/>
      <c r="AA52" s="1294"/>
      <c r="AB52" s="1592"/>
      <c r="AC52" s="1591"/>
    </row>
    <row r="53" spans="1:29" ht="13.5" customHeight="1">
      <c r="A53" s="1308"/>
      <c r="B53" s="1307"/>
      <c r="C53" s="1593"/>
      <c r="D53" s="1305"/>
      <c r="E53" s="1295"/>
      <c r="F53" s="1294"/>
      <c r="G53" s="1294"/>
      <c r="H53" s="1294"/>
      <c r="I53" s="1294"/>
      <c r="J53" s="1294"/>
      <c r="K53" s="1294"/>
      <c r="L53" s="1294"/>
      <c r="M53" s="1294"/>
      <c r="N53" s="1294"/>
      <c r="O53" s="1294"/>
      <c r="P53" s="1294"/>
      <c r="Q53" s="1294"/>
      <c r="R53" s="1294"/>
      <c r="S53" s="1294"/>
      <c r="T53" s="1294"/>
      <c r="U53" s="1294"/>
      <c r="V53" s="1294"/>
      <c r="W53" s="1294"/>
      <c r="X53" s="1294"/>
      <c r="Y53" s="1294"/>
      <c r="Z53" s="1294"/>
      <c r="AA53" s="1294"/>
      <c r="AB53" s="1592"/>
      <c r="AC53" s="1591"/>
    </row>
    <row r="54" spans="1:29" ht="13.5" customHeight="1">
      <c r="A54" s="1308"/>
      <c r="B54" s="1307"/>
      <c r="C54" s="1593"/>
      <c r="D54" s="1305"/>
      <c r="E54" s="1295"/>
      <c r="F54" s="1294"/>
      <c r="G54" s="1294"/>
      <c r="H54" s="1294"/>
      <c r="I54" s="1294"/>
      <c r="J54" s="1294"/>
      <c r="K54" s="1294"/>
      <c r="L54" s="1294"/>
      <c r="M54" s="1294"/>
      <c r="N54" s="1294"/>
      <c r="O54" s="1294"/>
      <c r="P54" s="1294"/>
      <c r="Q54" s="1294"/>
      <c r="R54" s="1294"/>
      <c r="S54" s="1294"/>
      <c r="T54" s="1294"/>
      <c r="U54" s="1294"/>
      <c r="V54" s="1294"/>
      <c r="W54" s="1294"/>
      <c r="X54" s="1294"/>
      <c r="Y54" s="1294"/>
      <c r="Z54" s="1294"/>
      <c r="AA54" s="1294"/>
      <c r="AB54" s="1592"/>
      <c r="AC54" s="1591"/>
    </row>
    <row r="55" spans="1:29" ht="13.5" customHeight="1" thickBot="1">
      <c r="A55" s="1411"/>
      <c r="B55" s="1412"/>
      <c r="C55" s="1612"/>
      <c r="D55" s="1414"/>
      <c r="E55" s="1418"/>
      <c r="F55" s="1419"/>
      <c r="G55" s="1419"/>
      <c r="H55" s="1419"/>
      <c r="I55" s="1419"/>
      <c r="J55" s="1419"/>
      <c r="K55" s="1419"/>
      <c r="L55" s="1419"/>
      <c r="M55" s="1419"/>
      <c r="N55" s="1419"/>
      <c r="O55" s="1419"/>
      <c r="P55" s="1419"/>
      <c r="Q55" s="1419"/>
      <c r="R55" s="1419"/>
      <c r="S55" s="1419"/>
      <c r="T55" s="1419"/>
      <c r="U55" s="1419"/>
      <c r="V55" s="1419"/>
      <c r="W55" s="1419"/>
      <c r="X55" s="1419"/>
      <c r="Y55" s="1419"/>
      <c r="Z55" s="1419"/>
      <c r="AA55" s="1419"/>
      <c r="AB55" s="1613"/>
      <c r="AC55" s="1614"/>
    </row>
    <row r="56" spans="1:29" ht="18.95" customHeight="1" thickTop="1" thickBot="1">
      <c r="A56" s="1661" t="s">
        <v>820</v>
      </c>
      <c r="B56" s="1662"/>
      <c r="C56" s="1663"/>
      <c r="D56" s="1664">
        <v>134.5</v>
      </c>
      <c r="E56" s="1665">
        <v>0</v>
      </c>
      <c r="F56" s="1666">
        <v>0</v>
      </c>
      <c r="G56" s="1666">
        <v>0</v>
      </c>
      <c r="H56" s="1666">
        <v>0</v>
      </c>
      <c r="I56" s="1666">
        <v>0</v>
      </c>
      <c r="J56" s="1666">
        <v>0</v>
      </c>
      <c r="K56" s="1666">
        <v>0</v>
      </c>
      <c r="L56" s="1666">
        <v>0</v>
      </c>
      <c r="M56" s="1666">
        <v>10003</v>
      </c>
      <c r="N56" s="1666">
        <v>10003</v>
      </c>
      <c r="O56" s="1666">
        <v>10003</v>
      </c>
      <c r="P56" s="1667">
        <v>10210</v>
      </c>
      <c r="Q56" s="1666">
        <v>10003</v>
      </c>
      <c r="R56" s="1666">
        <v>10003</v>
      </c>
      <c r="S56" s="1666">
        <v>10003</v>
      </c>
      <c r="T56" s="1666">
        <v>10003</v>
      </c>
      <c r="U56" s="1666">
        <v>10003</v>
      </c>
      <c r="V56" s="1666">
        <v>10003</v>
      </c>
      <c r="W56" s="1666">
        <v>0</v>
      </c>
      <c r="X56" s="1666">
        <v>0</v>
      </c>
      <c r="Y56" s="1666">
        <v>0</v>
      </c>
      <c r="Z56" s="1666">
        <v>0</v>
      </c>
      <c r="AA56" s="1666">
        <v>0</v>
      </c>
      <c r="AB56" s="1666">
        <v>0</v>
      </c>
      <c r="AC56" s="1668"/>
    </row>
    <row r="57" spans="1:29" ht="13.5" customHeight="1" thickTop="1">
      <c r="A57" s="1669" t="s">
        <v>815</v>
      </c>
      <c r="B57" s="1662"/>
      <c r="C57" s="1663"/>
      <c r="D57" s="1670">
        <v>134.5</v>
      </c>
      <c r="E57" s="1671">
        <v>0</v>
      </c>
      <c r="F57" s="1672">
        <v>0</v>
      </c>
      <c r="G57" s="1672">
        <v>0</v>
      </c>
      <c r="H57" s="1672">
        <v>0</v>
      </c>
      <c r="I57" s="1672">
        <v>0</v>
      </c>
      <c r="J57" s="1672">
        <v>0</v>
      </c>
      <c r="K57" s="1672">
        <v>0</v>
      </c>
      <c r="L57" s="1672">
        <v>0</v>
      </c>
      <c r="M57" s="1672">
        <v>10</v>
      </c>
      <c r="N57" s="1672">
        <v>10</v>
      </c>
      <c r="O57" s="1672">
        <v>10</v>
      </c>
      <c r="P57" s="1673">
        <v>11</v>
      </c>
      <c r="Q57" s="1672">
        <v>10</v>
      </c>
      <c r="R57" s="1672">
        <v>10</v>
      </c>
      <c r="S57" s="1672">
        <v>10</v>
      </c>
      <c r="T57" s="1672">
        <v>10</v>
      </c>
      <c r="U57" s="1672">
        <v>10</v>
      </c>
      <c r="V57" s="1672">
        <v>10</v>
      </c>
      <c r="W57" s="1672">
        <v>0</v>
      </c>
      <c r="X57" s="1672">
        <v>0</v>
      </c>
      <c r="Y57" s="1672">
        <v>0</v>
      </c>
      <c r="Z57" s="1672">
        <v>0</v>
      </c>
      <c r="AA57" s="1672">
        <v>0</v>
      </c>
      <c r="AB57" s="1672">
        <v>0</v>
      </c>
      <c r="AC57" s="1674"/>
    </row>
    <row r="58" spans="1:29" ht="13.5" customHeight="1">
      <c r="A58" s="1675" t="s">
        <v>816</v>
      </c>
      <c r="B58" s="1611"/>
      <c r="C58" s="1676"/>
      <c r="D58" s="1677">
        <v>134.5</v>
      </c>
      <c r="E58" s="1678">
        <v>0</v>
      </c>
      <c r="F58" s="1679">
        <v>0</v>
      </c>
      <c r="G58" s="1679">
        <v>0</v>
      </c>
      <c r="H58" s="1679">
        <v>0</v>
      </c>
      <c r="I58" s="1679">
        <v>0</v>
      </c>
      <c r="J58" s="1679">
        <v>0</v>
      </c>
      <c r="K58" s="1679">
        <v>0</v>
      </c>
      <c r="L58" s="1679">
        <v>0</v>
      </c>
      <c r="M58" s="1679">
        <v>74</v>
      </c>
      <c r="N58" s="1679">
        <v>74</v>
      </c>
      <c r="O58" s="1679">
        <v>74</v>
      </c>
      <c r="P58" s="1681">
        <v>76</v>
      </c>
      <c r="Q58" s="1679">
        <v>74</v>
      </c>
      <c r="R58" s="1679">
        <v>74</v>
      </c>
      <c r="S58" s="1679">
        <v>74</v>
      </c>
      <c r="T58" s="1679">
        <v>74</v>
      </c>
      <c r="U58" s="1679">
        <v>74</v>
      </c>
      <c r="V58" s="1679">
        <v>74</v>
      </c>
      <c r="W58" s="1679">
        <v>0</v>
      </c>
      <c r="X58" s="1679">
        <v>0</v>
      </c>
      <c r="Y58" s="1679">
        <v>0</v>
      </c>
      <c r="Z58" s="1679">
        <v>0</v>
      </c>
      <c r="AA58" s="1679">
        <v>0</v>
      </c>
      <c r="AB58" s="1679">
        <v>0</v>
      </c>
      <c r="AC58" s="1680"/>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4">
    <mergeCell ref="A37:C37"/>
    <mergeCell ref="A56:C56"/>
    <mergeCell ref="A57:C57"/>
    <mergeCell ref="A58:C58"/>
    <mergeCell ref="C34:D34"/>
    <mergeCell ref="A13:C13"/>
    <mergeCell ref="A24:C24"/>
    <mergeCell ref="A35:C35"/>
    <mergeCell ref="A15:C15"/>
    <mergeCell ref="A26:C26"/>
    <mergeCell ref="A6:AC6"/>
    <mergeCell ref="A17:AC17"/>
    <mergeCell ref="A28:AC28"/>
    <mergeCell ref="A7:C7"/>
    <mergeCell ref="A18:C18"/>
    <mergeCell ref="A29:C29"/>
    <mergeCell ref="C12:D12"/>
    <mergeCell ref="C23:D23"/>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G49"/>
  <sheetViews>
    <sheetView showGridLines="0" zoomScale="80" zoomScaleNormal="80" workbookViewId="0">
      <pane xSplit="4" ySplit="5" topLeftCell="E6" activePane="bottomRight" state="frozenSplit"/>
      <selection pane="topRight" activeCell="J1" sqref="J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6" width="15.7109375" style="1276" customWidth="1"/>
    <col min="7" max="7" width="30.7109375" style="1276" customWidth="1"/>
    <col min="8" max="16384" width="9.140625" style="1272"/>
  </cols>
  <sheetData>
    <row r="1" spans="1:7" s="1685" customFormat="1" ht="21" customHeight="1">
      <c r="A1" s="1573" t="s">
        <v>823</v>
      </c>
      <c r="B1" s="1572"/>
      <c r="C1" s="1571"/>
      <c r="D1" s="1686"/>
      <c r="E1" s="1570"/>
      <c r="F1" s="1570"/>
      <c r="G1" s="1567"/>
    </row>
    <row r="4" spans="1:7" ht="13.5" customHeight="1">
      <c r="A4" s="1382" t="s">
        <v>368</v>
      </c>
      <c r="B4" s="1381" t="s">
        <v>354</v>
      </c>
      <c r="C4" s="1566" t="s">
        <v>630</v>
      </c>
      <c r="D4" s="1598" t="s">
        <v>822</v>
      </c>
      <c r="E4" s="1562" t="s">
        <v>821</v>
      </c>
      <c r="F4" s="1560"/>
      <c r="G4" s="1684" t="s">
        <v>802</v>
      </c>
    </row>
    <row r="5" spans="1:7" ht="13.5" customHeight="1">
      <c r="A5" s="1350"/>
      <c r="B5" s="1349"/>
      <c r="C5" s="1548"/>
      <c r="D5" s="1608"/>
      <c r="E5" s="1683" t="s">
        <v>37</v>
      </c>
      <c r="F5" s="1682" t="s">
        <v>62</v>
      </c>
      <c r="G5" s="1687"/>
    </row>
    <row r="6" spans="1:7" ht="13.5" customHeight="1">
      <c r="A6" s="1624" t="s">
        <v>805</v>
      </c>
      <c r="B6" s="1625"/>
      <c r="C6" s="1626"/>
      <c r="D6" s="1619"/>
      <c r="E6" s="1620"/>
      <c r="F6" s="1622"/>
      <c r="G6" s="1623"/>
    </row>
    <row r="7" spans="1:7" ht="13.5" customHeight="1">
      <c r="A7" s="1308">
        <v>2</v>
      </c>
      <c r="B7" s="1307">
        <v>201</v>
      </c>
      <c r="C7" s="1610" t="s">
        <v>343</v>
      </c>
      <c r="D7" s="1305">
        <v>54.8</v>
      </c>
      <c r="E7" s="1295">
        <v>8195</v>
      </c>
      <c r="F7" s="1592">
        <v>8053</v>
      </c>
      <c r="G7" s="1591"/>
    </row>
    <row r="8" spans="1:7" ht="13.5" customHeight="1">
      <c r="A8" s="1308">
        <v>2</v>
      </c>
      <c r="B8" s="1307">
        <v>204</v>
      </c>
      <c r="C8" s="1593" t="s">
        <v>538</v>
      </c>
      <c r="D8" s="1305">
        <v>13.2</v>
      </c>
      <c r="E8" s="1295">
        <v>3038</v>
      </c>
      <c r="F8" s="1592">
        <v>2906</v>
      </c>
      <c r="G8" s="1591"/>
    </row>
    <row r="9" spans="1:7" ht="13.5" customHeight="1">
      <c r="A9" s="1308">
        <v>2</v>
      </c>
      <c r="B9" s="1307">
        <v>205</v>
      </c>
      <c r="C9" s="1593" t="s">
        <v>563</v>
      </c>
      <c r="D9" s="1305">
        <v>13.2</v>
      </c>
      <c r="E9" s="1295">
        <v>3246</v>
      </c>
      <c r="F9" s="1592">
        <v>3118</v>
      </c>
      <c r="G9" s="1591"/>
    </row>
    <row r="10" spans="1:7" ht="13.5" customHeight="1" thickBot="1">
      <c r="A10" s="1411">
        <v>2</v>
      </c>
      <c r="B10" s="1412">
        <v>208</v>
      </c>
      <c r="C10" s="1612" t="s">
        <v>583</v>
      </c>
      <c r="D10" s="1414">
        <v>53.3</v>
      </c>
      <c r="E10" s="1418">
        <v>6922</v>
      </c>
      <c r="F10" s="1613">
        <v>6848</v>
      </c>
      <c r="G10" s="1614"/>
    </row>
    <row r="11" spans="1:7" ht="13.5" customHeight="1" thickTop="1">
      <c r="A11" s="1640" t="s">
        <v>808</v>
      </c>
      <c r="B11" s="1589"/>
      <c r="C11" s="1590"/>
      <c r="D11" s="1641">
        <v>134.5</v>
      </c>
      <c r="E11" s="1637">
        <v>21401</v>
      </c>
      <c r="F11" s="1638">
        <v>20925</v>
      </c>
      <c r="G11" s="1639"/>
    </row>
    <row r="12" spans="1:7" ht="13.5" customHeight="1">
      <c r="A12" s="1308"/>
      <c r="B12" s="1307"/>
      <c r="C12" s="1610"/>
      <c r="D12" s="1305"/>
      <c r="E12" s="1295"/>
      <c r="F12" s="1592"/>
      <c r="G12" s="1591"/>
    </row>
    <row r="13" spans="1:7" ht="13.5" customHeight="1">
      <c r="A13" s="1308"/>
      <c r="B13" s="1307"/>
      <c r="C13" s="1593"/>
      <c r="D13" s="1305"/>
      <c r="E13" s="1295"/>
      <c r="F13" s="1592"/>
      <c r="G13" s="1591"/>
    </row>
    <row r="14" spans="1:7" ht="13.5" customHeight="1">
      <c r="A14" s="1308"/>
      <c r="B14" s="1307"/>
      <c r="C14" s="1593"/>
      <c r="D14" s="1305"/>
      <c r="E14" s="1295"/>
      <c r="F14" s="1592"/>
      <c r="G14" s="1591"/>
    </row>
    <row r="15" spans="1:7" ht="13.5" customHeight="1">
      <c r="A15" s="1308"/>
      <c r="B15" s="1307"/>
      <c r="C15" s="1593"/>
      <c r="D15" s="1305"/>
      <c r="E15" s="1295"/>
      <c r="F15" s="1592"/>
      <c r="G15" s="1591"/>
    </row>
    <row r="16" spans="1:7" ht="13.5" customHeight="1">
      <c r="A16" s="1308"/>
      <c r="B16" s="1307"/>
      <c r="C16" s="1593"/>
      <c r="D16" s="1305"/>
      <c r="E16" s="1295"/>
      <c r="F16" s="1592"/>
      <c r="G16" s="1591"/>
    </row>
    <row r="17" spans="1:7" ht="13.5" customHeight="1">
      <c r="A17" s="1308"/>
      <c r="B17" s="1307"/>
      <c r="C17" s="1593"/>
      <c r="D17" s="1305"/>
      <c r="E17" s="1295"/>
      <c r="F17" s="1592"/>
      <c r="G17" s="1591"/>
    </row>
    <row r="18" spans="1:7" ht="13.5" customHeight="1">
      <c r="A18" s="1308"/>
      <c r="B18" s="1307"/>
      <c r="C18" s="1593"/>
      <c r="D18" s="1305"/>
      <c r="E18" s="1295"/>
      <c r="F18" s="1592"/>
      <c r="G18" s="1591"/>
    </row>
    <row r="19" spans="1:7" ht="13.5" customHeight="1">
      <c r="A19" s="1308"/>
      <c r="B19" s="1307"/>
      <c r="C19" s="1593"/>
      <c r="D19" s="1305"/>
      <c r="E19" s="1295"/>
      <c r="F19" s="1592"/>
      <c r="G19" s="1591"/>
    </row>
    <row r="20" spans="1:7" ht="13.5" customHeight="1">
      <c r="A20" s="1308"/>
      <c r="B20" s="1307"/>
      <c r="C20" s="1593"/>
      <c r="D20" s="1305"/>
      <c r="E20" s="1295"/>
      <c r="F20" s="1592"/>
      <c r="G20" s="1591"/>
    </row>
    <row r="21" spans="1:7" ht="13.5" customHeight="1">
      <c r="A21" s="1308"/>
      <c r="B21" s="1307"/>
      <c r="C21" s="1593"/>
      <c r="D21" s="1305"/>
      <c r="E21" s="1295"/>
      <c r="F21" s="1592"/>
      <c r="G21" s="1591"/>
    </row>
    <row r="22" spans="1:7" ht="13.5" customHeight="1">
      <c r="A22" s="1308"/>
      <c r="B22" s="1307"/>
      <c r="C22" s="1593"/>
      <c r="D22" s="1305"/>
      <c r="E22" s="1295"/>
      <c r="F22" s="1592"/>
      <c r="G22" s="1591"/>
    </row>
    <row r="23" spans="1:7" ht="13.5" customHeight="1">
      <c r="A23" s="1308"/>
      <c r="B23" s="1307"/>
      <c r="C23" s="1593"/>
      <c r="D23" s="1305"/>
      <c r="E23" s="1295"/>
      <c r="F23" s="1592"/>
      <c r="G23" s="1591"/>
    </row>
    <row r="24" spans="1:7" ht="13.5" customHeight="1">
      <c r="A24" s="1308"/>
      <c r="B24" s="1307"/>
      <c r="C24" s="1593"/>
      <c r="D24" s="1305"/>
      <c r="E24" s="1295"/>
      <c r="F24" s="1592"/>
      <c r="G24" s="1591"/>
    </row>
    <row r="25" spans="1:7" ht="13.5" customHeight="1">
      <c r="A25" s="1308"/>
      <c r="B25" s="1307"/>
      <c r="C25" s="1593"/>
      <c r="D25" s="1305"/>
      <c r="E25" s="1295"/>
      <c r="F25" s="1592"/>
      <c r="G25" s="1591"/>
    </row>
    <row r="26" spans="1:7" ht="13.5" customHeight="1">
      <c r="A26" s="1308"/>
      <c r="B26" s="1307"/>
      <c r="C26" s="1593"/>
      <c r="D26" s="1305"/>
      <c r="E26" s="1295"/>
      <c r="F26" s="1592"/>
      <c r="G26" s="1591"/>
    </row>
    <row r="27" spans="1:7" ht="13.5" customHeight="1">
      <c r="A27" s="1308"/>
      <c r="B27" s="1307"/>
      <c r="C27" s="1593"/>
      <c r="D27" s="1305"/>
      <c r="E27" s="1295"/>
      <c r="F27" s="1592"/>
      <c r="G27" s="1591"/>
    </row>
    <row r="28" spans="1:7" ht="13.5" customHeight="1">
      <c r="A28" s="1308"/>
      <c r="B28" s="1307"/>
      <c r="C28" s="1593"/>
      <c r="D28" s="1305"/>
      <c r="E28" s="1295"/>
      <c r="F28" s="1592"/>
      <c r="G28" s="1591"/>
    </row>
    <row r="29" spans="1:7" ht="13.5" customHeight="1">
      <c r="A29" s="1308"/>
      <c r="B29" s="1307"/>
      <c r="C29" s="1593"/>
      <c r="D29" s="1305"/>
      <c r="E29" s="1295"/>
      <c r="F29" s="1592"/>
      <c r="G29" s="1591"/>
    </row>
    <row r="30" spans="1:7" ht="13.5" customHeight="1">
      <c r="A30" s="1308"/>
      <c r="B30" s="1307"/>
      <c r="C30" s="1593"/>
      <c r="D30" s="1305"/>
      <c r="E30" s="1295"/>
      <c r="F30" s="1592"/>
      <c r="G30" s="1591"/>
    </row>
    <row r="31" spans="1:7" ht="13.5" customHeight="1">
      <c r="A31" s="1308"/>
      <c r="B31" s="1307"/>
      <c r="C31" s="1593"/>
      <c r="D31" s="1305"/>
      <c r="E31" s="1295"/>
      <c r="F31" s="1592"/>
      <c r="G31" s="1591"/>
    </row>
    <row r="32" spans="1:7" ht="13.5" customHeight="1">
      <c r="A32" s="1308"/>
      <c r="B32" s="1307"/>
      <c r="C32" s="1593"/>
      <c r="D32" s="1305"/>
      <c r="E32" s="1295"/>
      <c r="F32" s="1592"/>
      <c r="G32" s="1591"/>
    </row>
    <row r="33" spans="1:7" ht="13.5" customHeight="1">
      <c r="A33" s="1308"/>
      <c r="B33" s="1307"/>
      <c r="C33" s="1593"/>
      <c r="D33" s="1305"/>
      <c r="E33" s="1295"/>
      <c r="F33" s="1592"/>
      <c r="G33" s="1591"/>
    </row>
    <row r="34" spans="1:7" ht="13.5" customHeight="1">
      <c r="A34" s="1308"/>
      <c r="B34" s="1307"/>
      <c r="C34" s="1593"/>
      <c r="D34" s="1305"/>
      <c r="E34" s="1295"/>
      <c r="F34" s="1592"/>
      <c r="G34" s="1591"/>
    </row>
    <row r="35" spans="1:7" ht="13.5" customHeight="1">
      <c r="A35" s="1308"/>
      <c r="B35" s="1307"/>
      <c r="C35" s="1593"/>
      <c r="D35" s="1305"/>
      <c r="E35" s="1295"/>
      <c r="F35" s="1592"/>
      <c r="G35" s="1591"/>
    </row>
    <row r="36" spans="1:7" ht="13.5" customHeight="1">
      <c r="A36" s="1308"/>
      <c r="B36" s="1307"/>
      <c r="C36" s="1593"/>
      <c r="D36" s="1305"/>
      <c r="E36" s="1295"/>
      <c r="F36" s="1592"/>
      <c r="G36" s="1591"/>
    </row>
    <row r="37" spans="1:7" ht="13.5" customHeight="1" thickBot="1">
      <c r="A37" s="1411"/>
      <c r="B37" s="1412"/>
      <c r="C37" s="1612"/>
      <c r="D37" s="1414"/>
      <c r="E37" s="1418"/>
      <c r="F37" s="1613"/>
      <c r="G37" s="1614"/>
    </row>
    <row r="38" spans="1:7" ht="18.95" customHeight="1" thickTop="1" thickBot="1">
      <c r="A38" s="1669" t="s">
        <v>824</v>
      </c>
      <c r="B38" s="1662"/>
      <c r="C38" s="1663"/>
      <c r="D38" s="1670">
        <v>134.5</v>
      </c>
      <c r="E38" s="1688">
        <v>21401</v>
      </c>
      <c r="F38" s="1672">
        <v>20925</v>
      </c>
      <c r="G38" s="1689"/>
    </row>
    <row r="39" spans="1:7" ht="13.5" customHeight="1" thickTop="1">
      <c r="A39" s="1669" t="s">
        <v>815</v>
      </c>
      <c r="B39" s="1662"/>
      <c r="C39" s="1663"/>
      <c r="D39" s="1670">
        <v>134.5</v>
      </c>
      <c r="E39" s="1688">
        <v>22</v>
      </c>
      <c r="F39" s="1672">
        <v>21</v>
      </c>
      <c r="G39" s="1674"/>
    </row>
    <row r="40" spans="1:7" ht="13.5" customHeight="1">
      <c r="A40" s="1675" t="s">
        <v>816</v>
      </c>
      <c r="B40" s="1611"/>
      <c r="C40" s="1676"/>
      <c r="D40" s="1677">
        <v>134.5</v>
      </c>
      <c r="E40" s="1690">
        <v>159</v>
      </c>
      <c r="F40" s="1679">
        <v>156</v>
      </c>
      <c r="G40" s="1680"/>
    </row>
    <row r="46" spans="1:7" s="1276" customFormat="1" ht="13.5" customHeight="1">
      <c r="C46" s="1283"/>
      <c r="D46" s="1283"/>
      <c r="E46" s="1283"/>
      <c r="F46" s="1280"/>
    </row>
    <row r="47" spans="1:7" s="1276" customFormat="1" ht="13.5" customHeight="1">
      <c r="C47" s="1283"/>
      <c r="D47" s="1283"/>
      <c r="E47" s="1283"/>
      <c r="F47" s="1280"/>
    </row>
    <row r="48" spans="1:7" s="1276" customFormat="1" ht="13.5" customHeight="1">
      <c r="C48" s="1283"/>
      <c r="D48" s="1283"/>
      <c r="E48" s="1283"/>
      <c r="F48" s="1280"/>
    </row>
    <row r="49" spans="3:5" s="1276" customFormat="1" ht="13.5" customHeight="1">
      <c r="C49" s="1281"/>
      <c r="D49" s="1281"/>
      <c r="E49" s="1281"/>
    </row>
  </sheetData>
  <mergeCells count="11">
    <mergeCell ref="A6:C6"/>
    <mergeCell ref="A11:C11"/>
    <mergeCell ref="A38:C38"/>
    <mergeCell ref="A39:C39"/>
    <mergeCell ref="A40:C40"/>
    <mergeCell ref="A4:A5"/>
    <mergeCell ref="B4:B5"/>
    <mergeCell ref="C4:C5"/>
    <mergeCell ref="D4:D5"/>
    <mergeCell ref="E4:F4"/>
    <mergeCell ref="G4:G5"/>
  </mergeCells>
  <phoneticPr fontId="3"/>
  <printOptions horizontalCentered="1"/>
  <pageMargins left="0.39370078740157483" right="0.39370078740157483" top="0.78740157480314965" bottom="0.55118110236220474" header="0.31496062992125984" footer="0.31496062992125984"/>
  <pageSetup paperSize="9" scale="87" orientation="landscape" horizontalDpi="1200" verticalDpi="1200" r:id="rId1"/>
  <headerFooter scaleWithDoc="0">
    <oddFooter>&amp;C&amp;"ＭＳ Ｐゴシック,標準"&amp;9( &amp;P / &amp;N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activeCell="N1" sqref="N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5" width="13.5703125" style="1276" customWidth="1"/>
    <col min="6" max="6" width="7.7109375" style="1276" customWidth="1"/>
    <col min="7" max="8" width="10.7109375" style="1276" customWidth="1"/>
    <col min="9" max="17" width="7.7109375" style="1276" customWidth="1"/>
    <col min="18" max="18" width="14.7109375" style="1276" customWidth="1"/>
    <col min="19" max="16384" width="9.140625" style="1272"/>
  </cols>
  <sheetData>
    <row r="1" spans="1:18" s="1708" customFormat="1" ht="21" customHeight="1">
      <c r="A1" s="1714" t="s">
        <v>837</v>
      </c>
      <c r="B1" s="1713"/>
      <c r="C1" s="1712"/>
      <c r="D1" s="1711"/>
      <c r="E1" s="1710"/>
      <c r="F1" s="1710"/>
      <c r="G1" s="1710"/>
      <c r="H1" s="1710"/>
      <c r="I1" s="1710"/>
      <c r="J1" s="1710"/>
      <c r="K1" s="1710"/>
      <c r="L1" s="1710"/>
      <c r="M1" s="1710"/>
      <c r="N1" s="1710"/>
      <c r="O1" s="1710"/>
      <c r="P1" s="1710"/>
      <c r="Q1" s="1710"/>
      <c r="R1" s="1709"/>
    </row>
    <row r="4" spans="1:18" ht="13.5" customHeight="1">
      <c r="A4" s="1382" t="s">
        <v>368</v>
      </c>
      <c r="B4" s="1381" t="s">
        <v>354</v>
      </c>
      <c r="C4" s="1566" t="s">
        <v>630</v>
      </c>
      <c r="D4" s="1707" t="s">
        <v>822</v>
      </c>
      <c r="E4" s="1373" t="s">
        <v>836</v>
      </c>
      <c r="F4" s="1372"/>
      <c r="G4" s="1372"/>
      <c r="H4" s="1372"/>
      <c r="I4" s="1376"/>
      <c r="J4" s="1373" t="s">
        <v>835</v>
      </c>
      <c r="K4" s="1372"/>
      <c r="L4" s="1372"/>
      <c r="M4" s="1372"/>
      <c r="N4" s="1372"/>
      <c r="O4" s="1372"/>
      <c r="P4" s="1372"/>
      <c r="Q4" s="1376"/>
      <c r="R4" s="1557" t="s">
        <v>802</v>
      </c>
    </row>
    <row r="5" spans="1:18" ht="13.5" customHeight="1">
      <c r="A5" s="1350"/>
      <c r="B5" s="1349"/>
      <c r="C5" s="1548"/>
      <c r="D5" s="1697"/>
      <c r="E5" s="1706" t="s">
        <v>834</v>
      </c>
      <c r="F5" s="1705" t="s">
        <v>833</v>
      </c>
      <c r="G5" s="1705" t="s">
        <v>832</v>
      </c>
      <c r="H5" s="1705" t="s">
        <v>831</v>
      </c>
      <c r="I5" s="1704" t="s">
        <v>830</v>
      </c>
      <c r="J5" s="1703" t="s">
        <v>37</v>
      </c>
      <c r="K5" s="1702"/>
      <c r="L5" s="1702"/>
      <c r="M5" s="1701"/>
      <c r="N5" s="1700" t="s">
        <v>829</v>
      </c>
      <c r="O5" s="1699"/>
      <c r="P5" s="1699"/>
      <c r="Q5" s="1698"/>
      <c r="R5" s="1538"/>
    </row>
    <row r="6" spans="1:18" ht="33.75">
      <c r="A6" s="1350"/>
      <c r="B6" s="1349"/>
      <c r="C6" s="1548"/>
      <c r="D6" s="1697"/>
      <c r="E6" s="1715"/>
      <c r="F6" s="1348"/>
      <c r="G6" s="1348"/>
      <c r="H6" s="1348"/>
      <c r="I6" s="1608"/>
      <c r="J6" s="1696" t="s">
        <v>828</v>
      </c>
      <c r="K6" s="1696" t="s">
        <v>827</v>
      </c>
      <c r="L6" s="1696" t="s">
        <v>826</v>
      </c>
      <c r="M6" s="1695" t="s">
        <v>825</v>
      </c>
      <c r="N6" s="1696" t="s">
        <v>828</v>
      </c>
      <c r="O6" s="1696" t="s">
        <v>827</v>
      </c>
      <c r="P6" s="1696" t="s">
        <v>826</v>
      </c>
      <c r="Q6" s="1695" t="s">
        <v>825</v>
      </c>
      <c r="R6" s="1538"/>
    </row>
    <row r="7" spans="1:18" ht="13.5" customHeight="1">
      <c r="A7" s="1624" t="s">
        <v>805</v>
      </c>
      <c r="B7" s="1625"/>
      <c r="C7" s="1626"/>
      <c r="D7" s="1619"/>
      <c r="E7" s="1716"/>
      <c r="F7" s="1717"/>
      <c r="G7" s="1717"/>
      <c r="H7" s="1717"/>
      <c r="I7" s="1618"/>
      <c r="J7" s="1718"/>
      <c r="K7" s="1718"/>
      <c r="L7" s="1718"/>
      <c r="M7" s="1719"/>
      <c r="N7" s="1718"/>
      <c r="O7" s="1718"/>
      <c r="P7" s="1718"/>
      <c r="Q7" s="1719"/>
      <c r="R7" s="1720"/>
    </row>
    <row r="8" spans="1:18" ht="13.5" customHeight="1">
      <c r="A8" s="1308">
        <v>2</v>
      </c>
      <c r="B8" s="1307">
        <v>201</v>
      </c>
      <c r="C8" s="1610" t="s">
        <v>343</v>
      </c>
      <c r="D8" s="1305">
        <v>54.8</v>
      </c>
      <c r="E8" s="1694" t="s">
        <v>838</v>
      </c>
      <c r="F8" s="1693">
        <v>60</v>
      </c>
      <c r="G8" s="1693"/>
      <c r="H8" s="1693"/>
      <c r="I8" s="1610"/>
      <c r="J8" s="1692">
        <v>1.1000000000000001</v>
      </c>
      <c r="K8" s="1692">
        <v>1.9</v>
      </c>
      <c r="L8" s="1692"/>
      <c r="M8" s="1691"/>
      <c r="N8" s="1692">
        <v>0.8</v>
      </c>
      <c r="O8" s="1692">
        <v>1.4</v>
      </c>
      <c r="P8" s="1692"/>
      <c r="Q8" s="1691"/>
      <c r="R8" s="1291"/>
    </row>
    <row r="9" spans="1:18" ht="13.5" customHeight="1">
      <c r="A9" s="1308">
        <v>2</v>
      </c>
      <c r="B9" s="1307">
        <v>204</v>
      </c>
      <c r="C9" s="1593" t="s">
        <v>538</v>
      </c>
      <c r="D9" s="1305">
        <v>13.2</v>
      </c>
      <c r="E9" s="1694" t="s">
        <v>838</v>
      </c>
      <c r="F9" s="1693">
        <v>60</v>
      </c>
      <c r="G9" s="1693"/>
      <c r="H9" s="1693"/>
      <c r="I9" s="1610"/>
      <c r="J9" s="1692">
        <v>0.7</v>
      </c>
      <c r="K9" s="1692">
        <v>1.2</v>
      </c>
      <c r="L9" s="1692"/>
      <c r="M9" s="1691"/>
      <c r="N9" s="1692">
        <v>0.5</v>
      </c>
      <c r="O9" s="1692">
        <v>0.9</v>
      </c>
      <c r="P9" s="1692"/>
      <c r="Q9" s="1691"/>
      <c r="R9" s="1291"/>
    </row>
    <row r="10" spans="1:18" ht="13.5" customHeight="1">
      <c r="A10" s="1308">
        <v>2</v>
      </c>
      <c r="B10" s="1307">
        <v>205</v>
      </c>
      <c r="C10" s="1593" t="s">
        <v>563</v>
      </c>
      <c r="D10" s="1305">
        <v>13.2</v>
      </c>
      <c r="E10" s="1694" t="s">
        <v>838</v>
      </c>
      <c r="F10" s="1693">
        <v>60</v>
      </c>
      <c r="G10" s="1693"/>
      <c r="H10" s="1693"/>
      <c r="I10" s="1610"/>
      <c r="J10" s="1692">
        <v>0.7</v>
      </c>
      <c r="K10" s="1692">
        <v>1.2</v>
      </c>
      <c r="L10" s="1692"/>
      <c r="M10" s="1691"/>
      <c r="N10" s="1692">
        <v>0.5</v>
      </c>
      <c r="O10" s="1692">
        <v>0.9</v>
      </c>
      <c r="P10" s="1692"/>
      <c r="Q10" s="1691"/>
      <c r="R10" s="1291"/>
    </row>
    <row r="11" spans="1:18" ht="13.5" customHeight="1" thickBot="1">
      <c r="A11" s="1411">
        <v>2</v>
      </c>
      <c r="B11" s="1412">
        <v>208</v>
      </c>
      <c r="C11" s="1612" t="s">
        <v>583</v>
      </c>
      <c r="D11" s="1414">
        <v>53.3</v>
      </c>
      <c r="E11" s="1721" t="s">
        <v>838</v>
      </c>
      <c r="F11" s="1722">
        <v>60</v>
      </c>
      <c r="G11" s="1722"/>
      <c r="H11" s="1722"/>
      <c r="I11" s="1642"/>
      <c r="J11" s="1723">
        <v>0.7</v>
      </c>
      <c r="K11" s="1723">
        <v>1.2</v>
      </c>
      <c r="L11" s="1723"/>
      <c r="M11" s="1724"/>
      <c r="N11" s="1723">
        <v>0.5</v>
      </c>
      <c r="O11" s="1723">
        <v>0.9</v>
      </c>
      <c r="P11" s="1723"/>
      <c r="Q11" s="1724"/>
      <c r="R11" s="1428"/>
    </row>
    <row r="12" spans="1:18" ht="13.5" customHeight="1" thickTop="1">
      <c r="A12" s="1640" t="s">
        <v>808</v>
      </c>
      <c r="B12" s="1589"/>
      <c r="C12" s="1590"/>
      <c r="D12" s="1641">
        <v>134.5</v>
      </c>
      <c r="E12" s="1725"/>
      <c r="F12" s="1636"/>
      <c r="G12" s="1636"/>
      <c r="H12" s="1636"/>
      <c r="I12" s="1636"/>
      <c r="J12" s="1726">
        <v>3.2</v>
      </c>
      <c r="K12" s="1727">
        <v>5.5</v>
      </c>
      <c r="L12" s="1727">
        <v>0</v>
      </c>
      <c r="M12" s="1727">
        <v>0</v>
      </c>
      <c r="N12" s="1726">
        <v>2.2999999999999998</v>
      </c>
      <c r="O12" s="1727">
        <v>4.0999999999999996</v>
      </c>
      <c r="P12" s="1727">
        <v>0</v>
      </c>
      <c r="Q12" s="1727">
        <v>0</v>
      </c>
      <c r="R12" s="1728"/>
    </row>
    <row r="13" spans="1:18" ht="13.5" customHeight="1">
      <c r="A13" s="1308"/>
      <c r="B13" s="1307"/>
      <c r="C13" s="1610"/>
      <c r="D13" s="1305"/>
      <c r="E13" s="1694"/>
      <c r="F13" s="1693"/>
      <c r="G13" s="1693"/>
      <c r="H13" s="1693"/>
      <c r="I13" s="1610"/>
      <c r="J13" s="1692"/>
      <c r="K13" s="1692"/>
      <c r="L13" s="1692"/>
      <c r="M13" s="1691"/>
      <c r="N13" s="1692"/>
      <c r="O13" s="1692"/>
      <c r="P13" s="1692"/>
      <c r="Q13" s="1691"/>
      <c r="R13" s="1291"/>
    </row>
    <row r="14" spans="1:18" ht="13.5" customHeight="1">
      <c r="A14" s="1308"/>
      <c r="B14" s="1307"/>
      <c r="C14" s="1593"/>
      <c r="D14" s="1305"/>
      <c r="E14" s="1694"/>
      <c r="F14" s="1693"/>
      <c r="G14" s="1693"/>
      <c r="H14" s="1693"/>
      <c r="I14" s="1610"/>
      <c r="J14" s="1692"/>
      <c r="K14" s="1692"/>
      <c r="L14" s="1692"/>
      <c r="M14" s="1691"/>
      <c r="N14" s="1692"/>
      <c r="O14" s="1692"/>
      <c r="P14" s="1692"/>
      <c r="Q14" s="1691"/>
      <c r="R14" s="1291"/>
    </row>
    <row r="15" spans="1:18" ht="13.5" customHeight="1">
      <c r="A15" s="1308"/>
      <c r="B15" s="1307"/>
      <c r="C15" s="1593"/>
      <c r="D15" s="1305"/>
      <c r="E15" s="1694"/>
      <c r="F15" s="1693"/>
      <c r="G15" s="1693"/>
      <c r="H15" s="1693"/>
      <c r="I15" s="1610"/>
      <c r="J15" s="1692"/>
      <c r="K15" s="1692"/>
      <c r="L15" s="1692"/>
      <c r="M15" s="1691"/>
      <c r="N15" s="1692"/>
      <c r="O15" s="1692"/>
      <c r="P15" s="1692"/>
      <c r="Q15" s="1691"/>
      <c r="R15" s="1291"/>
    </row>
    <row r="16" spans="1:18" ht="13.5" customHeight="1">
      <c r="A16" s="1308"/>
      <c r="B16" s="1307"/>
      <c r="C16" s="1593"/>
      <c r="D16" s="1305"/>
      <c r="E16" s="1694"/>
      <c r="F16" s="1693"/>
      <c r="G16" s="1693"/>
      <c r="H16" s="1693"/>
      <c r="I16" s="1610"/>
      <c r="J16" s="1692"/>
      <c r="K16" s="1692"/>
      <c r="L16" s="1692"/>
      <c r="M16" s="1691"/>
      <c r="N16" s="1692"/>
      <c r="O16" s="1692"/>
      <c r="P16" s="1692"/>
      <c r="Q16" s="1691"/>
      <c r="R16" s="1291"/>
    </row>
    <row r="17" spans="1:18" ht="13.5" customHeight="1">
      <c r="A17" s="1308"/>
      <c r="B17" s="1307"/>
      <c r="C17" s="1593"/>
      <c r="D17" s="1305"/>
      <c r="E17" s="1694"/>
      <c r="F17" s="1693"/>
      <c r="G17" s="1693"/>
      <c r="H17" s="1693"/>
      <c r="I17" s="1610"/>
      <c r="J17" s="1692"/>
      <c r="K17" s="1692"/>
      <c r="L17" s="1692"/>
      <c r="M17" s="1691"/>
      <c r="N17" s="1692"/>
      <c r="O17" s="1692"/>
      <c r="P17" s="1692"/>
      <c r="Q17" s="1691"/>
      <c r="R17" s="1291"/>
    </row>
    <row r="18" spans="1:18" ht="13.5" customHeight="1">
      <c r="A18" s="1308"/>
      <c r="B18" s="1307"/>
      <c r="C18" s="1593"/>
      <c r="D18" s="1305"/>
      <c r="E18" s="1694"/>
      <c r="F18" s="1693"/>
      <c r="G18" s="1693"/>
      <c r="H18" s="1693"/>
      <c r="I18" s="1610"/>
      <c r="J18" s="1692"/>
      <c r="K18" s="1692"/>
      <c r="L18" s="1692"/>
      <c r="M18" s="1691"/>
      <c r="N18" s="1692"/>
      <c r="O18" s="1692"/>
      <c r="P18" s="1692"/>
      <c r="Q18" s="1691"/>
      <c r="R18" s="1291"/>
    </row>
    <row r="19" spans="1:18" ht="13.5" customHeight="1">
      <c r="A19" s="1308"/>
      <c r="B19" s="1307"/>
      <c r="C19" s="1593"/>
      <c r="D19" s="1305"/>
      <c r="E19" s="1694"/>
      <c r="F19" s="1693"/>
      <c r="G19" s="1693"/>
      <c r="H19" s="1693"/>
      <c r="I19" s="1610"/>
      <c r="J19" s="1692"/>
      <c r="K19" s="1692"/>
      <c r="L19" s="1692"/>
      <c r="M19" s="1691"/>
      <c r="N19" s="1692"/>
      <c r="O19" s="1692"/>
      <c r="P19" s="1692"/>
      <c r="Q19" s="1691"/>
      <c r="R19" s="1291"/>
    </row>
    <row r="20" spans="1:18" ht="13.5" customHeight="1">
      <c r="A20" s="1308"/>
      <c r="B20" s="1307"/>
      <c r="C20" s="1593"/>
      <c r="D20" s="1305"/>
      <c r="E20" s="1694"/>
      <c r="F20" s="1693"/>
      <c r="G20" s="1693"/>
      <c r="H20" s="1693"/>
      <c r="I20" s="1610"/>
      <c r="J20" s="1692"/>
      <c r="K20" s="1692"/>
      <c r="L20" s="1692"/>
      <c r="M20" s="1691"/>
      <c r="N20" s="1692"/>
      <c r="O20" s="1692"/>
      <c r="P20" s="1692"/>
      <c r="Q20" s="1691"/>
      <c r="R20" s="1291"/>
    </row>
    <row r="21" spans="1:18" ht="13.5" customHeight="1">
      <c r="A21" s="1308"/>
      <c r="B21" s="1307"/>
      <c r="C21" s="1593"/>
      <c r="D21" s="1305"/>
      <c r="E21" s="1694"/>
      <c r="F21" s="1693"/>
      <c r="G21" s="1693"/>
      <c r="H21" s="1693"/>
      <c r="I21" s="1610"/>
      <c r="J21" s="1692"/>
      <c r="K21" s="1692"/>
      <c r="L21" s="1692"/>
      <c r="M21" s="1691"/>
      <c r="N21" s="1692"/>
      <c r="O21" s="1692"/>
      <c r="P21" s="1692"/>
      <c r="Q21" s="1691"/>
      <c r="R21" s="1291"/>
    </row>
    <row r="22" spans="1:18" ht="13.5" customHeight="1">
      <c r="A22" s="1308"/>
      <c r="B22" s="1307"/>
      <c r="C22" s="1593"/>
      <c r="D22" s="1305"/>
      <c r="E22" s="1694"/>
      <c r="F22" s="1693"/>
      <c r="G22" s="1693"/>
      <c r="H22" s="1693"/>
      <c r="I22" s="1610"/>
      <c r="J22" s="1692"/>
      <c r="K22" s="1692"/>
      <c r="L22" s="1692"/>
      <c r="M22" s="1691"/>
      <c r="N22" s="1692"/>
      <c r="O22" s="1692"/>
      <c r="P22" s="1692"/>
      <c r="Q22" s="1691"/>
      <c r="R22" s="1291"/>
    </row>
    <row r="23" spans="1:18" ht="13.5" customHeight="1">
      <c r="A23" s="1308"/>
      <c r="B23" s="1307"/>
      <c r="C23" s="1593"/>
      <c r="D23" s="1305"/>
      <c r="E23" s="1694"/>
      <c r="F23" s="1693"/>
      <c r="G23" s="1693"/>
      <c r="H23" s="1693"/>
      <c r="I23" s="1610"/>
      <c r="J23" s="1692"/>
      <c r="K23" s="1692"/>
      <c r="L23" s="1692"/>
      <c r="M23" s="1691"/>
      <c r="N23" s="1692"/>
      <c r="O23" s="1692"/>
      <c r="P23" s="1692"/>
      <c r="Q23" s="1691"/>
      <c r="R23" s="1291"/>
    </row>
    <row r="24" spans="1:18" ht="13.5" customHeight="1">
      <c r="A24" s="1308"/>
      <c r="B24" s="1307"/>
      <c r="C24" s="1593"/>
      <c r="D24" s="1305"/>
      <c r="E24" s="1694"/>
      <c r="F24" s="1693"/>
      <c r="G24" s="1693"/>
      <c r="H24" s="1693"/>
      <c r="I24" s="1610"/>
      <c r="J24" s="1692"/>
      <c r="K24" s="1692"/>
      <c r="L24" s="1692"/>
      <c r="M24" s="1691"/>
      <c r="N24" s="1692"/>
      <c r="O24" s="1692"/>
      <c r="P24" s="1692"/>
      <c r="Q24" s="1691"/>
      <c r="R24" s="1291"/>
    </row>
    <row r="25" spans="1:18" ht="13.5" customHeight="1">
      <c r="A25" s="1308"/>
      <c r="B25" s="1307"/>
      <c r="C25" s="1593"/>
      <c r="D25" s="1305"/>
      <c r="E25" s="1694"/>
      <c r="F25" s="1693"/>
      <c r="G25" s="1693"/>
      <c r="H25" s="1693"/>
      <c r="I25" s="1610"/>
      <c r="J25" s="1692"/>
      <c r="K25" s="1692"/>
      <c r="L25" s="1692"/>
      <c r="M25" s="1691"/>
      <c r="N25" s="1692"/>
      <c r="O25" s="1692"/>
      <c r="P25" s="1692"/>
      <c r="Q25" s="1691"/>
      <c r="R25" s="1291"/>
    </row>
    <row r="26" spans="1:18" ht="13.5" customHeight="1">
      <c r="A26" s="1308"/>
      <c r="B26" s="1307"/>
      <c r="C26" s="1593"/>
      <c r="D26" s="1305"/>
      <c r="E26" s="1694"/>
      <c r="F26" s="1693"/>
      <c r="G26" s="1693"/>
      <c r="H26" s="1693"/>
      <c r="I26" s="1610"/>
      <c r="J26" s="1692"/>
      <c r="K26" s="1692"/>
      <c r="L26" s="1692"/>
      <c r="M26" s="1691"/>
      <c r="N26" s="1692"/>
      <c r="O26" s="1692"/>
      <c r="P26" s="1692"/>
      <c r="Q26" s="1691"/>
      <c r="R26" s="1291"/>
    </row>
    <row r="27" spans="1:18" ht="13.5" customHeight="1">
      <c r="A27" s="1308"/>
      <c r="B27" s="1307"/>
      <c r="C27" s="1593"/>
      <c r="D27" s="1305"/>
      <c r="E27" s="1694"/>
      <c r="F27" s="1693"/>
      <c r="G27" s="1693"/>
      <c r="H27" s="1693"/>
      <c r="I27" s="1610"/>
      <c r="J27" s="1692"/>
      <c r="K27" s="1692"/>
      <c r="L27" s="1692"/>
      <c r="M27" s="1691"/>
      <c r="N27" s="1692"/>
      <c r="O27" s="1692"/>
      <c r="P27" s="1692"/>
      <c r="Q27" s="1691"/>
      <c r="R27" s="1291"/>
    </row>
    <row r="28" spans="1:18" ht="13.5" customHeight="1">
      <c r="A28" s="1308"/>
      <c r="B28" s="1307"/>
      <c r="C28" s="1593"/>
      <c r="D28" s="1305"/>
      <c r="E28" s="1694"/>
      <c r="F28" s="1693"/>
      <c r="G28" s="1693"/>
      <c r="H28" s="1693"/>
      <c r="I28" s="1610"/>
      <c r="J28" s="1692"/>
      <c r="K28" s="1692"/>
      <c r="L28" s="1692"/>
      <c r="M28" s="1691"/>
      <c r="N28" s="1692"/>
      <c r="O28" s="1692"/>
      <c r="P28" s="1692"/>
      <c r="Q28" s="1691"/>
      <c r="R28" s="1291"/>
    </row>
    <row r="29" spans="1:18" ht="13.5" customHeight="1">
      <c r="A29" s="1308"/>
      <c r="B29" s="1307"/>
      <c r="C29" s="1593"/>
      <c r="D29" s="1305"/>
      <c r="E29" s="1694"/>
      <c r="F29" s="1693"/>
      <c r="G29" s="1693"/>
      <c r="H29" s="1693"/>
      <c r="I29" s="1610"/>
      <c r="J29" s="1692"/>
      <c r="K29" s="1692"/>
      <c r="L29" s="1692"/>
      <c r="M29" s="1691"/>
      <c r="N29" s="1692"/>
      <c r="O29" s="1692"/>
      <c r="P29" s="1692"/>
      <c r="Q29" s="1691"/>
      <c r="R29" s="1291"/>
    </row>
    <row r="30" spans="1:18" ht="13.5" customHeight="1">
      <c r="A30" s="1308"/>
      <c r="B30" s="1307"/>
      <c r="C30" s="1593"/>
      <c r="D30" s="1305"/>
      <c r="E30" s="1694"/>
      <c r="F30" s="1693"/>
      <c r="G30" s="1693"/>
      <c r="H30" s="1693"/>
      <c r="I30" s="1610"/>
      <c r="J30" s="1692"/>
      <c r="K30" s="1692"/>
      <c r="L30" s="1692"/>
      <c r="M30" s="1691"/>
      <c r="N30" s="1692"/>
      <c r="O30" s="1692"/>
      <c r="P30" s="1692"/>
      <c r="Q30" s="1691"/>
      <c r="R30" s="1291"/>
    </row>
    <row r="31" spans="1:18" ht="13.5" customHeight="1">
      <c r="A31" s="1308"/>
      <c r="B31" s="1307"/>
      <c r="C31" s="1593"/>
      <c r="D31" s="1305"/>
      <c r="E31" s="1694"/>
      <c r="F31" s="1693"/>
      <c r="G31" s="1693"/>
      <c r="H31" s="1693"/>
      <c r="I31" s="1610"/>
      <c r="J31" s="1692"/>
      <c r="K31" s="1692"/>
      <c r="L31" s="1692"/>
      <c r="M31" s="1691"/>
      <c r="N31" s="1692"/>
      <c r="O31" s="1692"/>
      <c r="P31" s="1692"/>
      <c r="Q31" s="1691"/>
      <c r="R31" s="1291"/>
    </row>
    <row r="32" spans="1:18" ht="13.5" customHeight="1">
      <c r="A32" s="1308"/>
      <c r="B32" s="1307"/>
      <c r="C32" s="1593"/>
      <c r="D32" s="1305"/>
      <c r="E32" s="1694"/>
      <c r="F32" s="1693"/>
      <c r="G32" s="1693"/>
      <c r="H32" s="1693"/>
      <c r="I32" s="1610"/>
      <c r="J32" s="1692"/>
      <c r="K32" s="1692"/>
      <c r="L32" s="1692"/>
      <c r="M32" s="1691"/>
      <c r="N32" s="1692"/>
      <c r="O32" s="1692"/>
      <c r="P32" s="1692"/>
      <c r="Q32" s="1691"/>
      <c r="R32" s="1291"/>
    </row>
    <row r="33" spans="1:18" ht="13.5" customHeight="1">
      <c r="A33" s="1308"/>
      <c r="B33" s="1307"/>
      <c r="C33" s="1593"/>
      <c r="D33" s="1305"/>
      <c r="E33" s="1694"/>
      <c r="F33" s="1693"/>
      <c r="G33" s="1693"/>
      <c r="H33" s="1693"/>
      <c r="I33" s="1610"/>
      <c r="J33" s="1692"/>
      <c r="K33" s="1692"/>
      <c r="L33" s="1692"/>
      <c r="M33" s="1691"/>
      <c r="N33" s="1692"/>
      <c r="O33" s="1692"/>
      <c r="P33" s="1692"/>
      <c r="Q33" s="1691"/>
      <c r="R33" s="1291"/>
    </row>
    <row r="34" spans="1:18" ht="13.5" customHeight="1">
      <c r="A34" s="1308"/>
      <c r="B34" s="1307"/>
      <c r="C34" s="1593"/>
      <c r="D34" s="1305"/>
      <c r="E34" s="1694"/>
      <c r="F34" s="1693"/>
      <c r="G34" s="1693"/>
      <c r="H34" s="1693"/>
      <c r="I34" s="1610"/>
      <c r="J34" s="1692"/>
      <c r="K34" s="1692"/>
      <c r="L34" s="1692"/>
      <c r="M34" s="1691"/>
      <c r="N34" s="1692"/>
      <c r="O34" s="1692"/>
      <c r="P34" s="1692"/>
      <c r="Q34" s="1691"/>
      <c r="R34" s="1291"/>
    </row>
    <row r="35" spans="1:18" ht="13.5" customHeight="1">
      <c r="A35" s="1308"/>
      <c r="B35" s="1307"/>
      <c r="C35" s="1593"/>
      <c r="D35" s="1305"/>
      <c r="E35" s="1694"/>
      <c r="F35" s="1693"/>
      <c r="G35" s="1693"/>
      <c r="H35" s="1693"/>
      <c r="I35" s="1610"/>
      <c r="J35" s="1692"/>
      <c r="K35" s="1692"/>
      <c r="L35" s="1692"/>
      <c r="M35" s="1691"/>
      <c r="N35" s="1692"/>
      <c r="O35" s="1692"/>
      <c r="P35" s="1692"/>
      <c r="Q35" s="1691"/>
      <c r="R35" s="1291"/>
    </row>
    <row r="36" spans="1:18" ht="13.5" customHeight="1">
      <c r="A36" s="1308"/>
      <c r="B36" s="1307"/>
      <c r="C36" s="1593"/>
      <c r="D36" s="1305"/>
      <c r="E36" s="1694"/>
      <c r="F36" s="1693"/>
      <c r="G36" s="1693"/>
      <c r="H36" s="1693"/>
      <c r="I36" s="1610"/>
      <c r="J36" s="1692"/>
      <c r="K36" s="1692"/>
      <c r="L36" s="1692"/>
      <c r="M36" s="1691"/>
      <c r="N36" s="1692"/>
      <c r="O36" s="1692"/>
      <c r="P36" s="1692"/>
      <c r="Q36" s="1691"/>
      <c r="R36" s="1291"/>
    </row>
    <row r="37" spans="1:18" ht="13.5" customHeight="1">
      <c r="A37" s="1308"/>
      <c r="B37" s="1307"/>
      <c r="C37" s="1593"/>
      <c r="D37" s="1305"/>
      <c r="E37" s="1694"/>
      <c r="F37" s="1693"/>
      <c r="G37" s="1693"/>
      <c r="H37" s="1693"/>
      <c r="I37" s="1610"/>
      <c r="J37" s="1692"/>
      <c r="K37" s="1692"/>
      <c r="L37" s="1692"/>
      <c r="M37" s="1691"/>
      <c r="N37" s="1692"/>
      <c r="O37" s="1692"/>
      <c r="P37" s="1692"/>
      <c r="Q37" s="1691"/>
      <c r="R37" s="1291"/>
    </row>
    <row r="38" spans="1:18" ht="13.5" customHeight="1" thickBot="1">
      <c r="A38" s="1411"/>
      <c r="B38" s="1412"/>
      <c r="C38" s="1612"/>
      <c r="D38" s="1414"/>
      <c r="E38" s="1721"/>
      <c r="F38" s="1722"/>
      <c r="G38" s="1722"/>
      <c r="H38" s="1722"/>
      <c r="I38" s="1642"/>
      <c r="J38" s="1723"/>
      <c r="K38" s="1723"/>
      <c r="L38" s="1723"/>
      <c r="M38" s="1724"/>
      <c r="N38" s="1723"/>
      <c r="O38" s="1723"/>
      <c r="P38" s="1723"/>
      <c r="Q38" s="1724"/>
      <c r="R38" s="1428"/>
    </row>
    <row r="39" spans="1:18" ht="18.95" customHeight="1" thickTop="1">
      <c r="A39" s="1669" t="s">
        <v>824</v>
      </c>
      <c r="B39" s="1662"/>
      <c r="C39" s="1663"/>
      <c r="D39" s="1670">
        <v>134.5</v>
      </c>
      <c r="E39" s="1729"/>
      <c r="F39" s="1730"/>
      <c r="G39" s="1730"/>
      <c r="H39" s="1730"/>
      <c r="I39" s="1730"/>
      <c r="J39" s="1731">
        <v>3.2</v>
      </c>
      <c r="K39" s="1732">
        <v>5.5</v>
      </c>
      <c r="L39" s="1733">
        <v>0</v>
      </c>
      <c r="M39" s="1733">
        <v>0</v>
      </c>
      <c r="N39" s="1729">
        <v>2.2999999999999998</v>
      </c>
      <c r="O39" s="1733">
        <v>4.0999999999999996</v>
      </c>
      <c r="P39" s="1733">
        <v>0</v>
      </c>
      <c r="Q39" s="1733">
        <v>0</v>
      </c>
      <c r="R39" s="1734"/>
    </row>
    <row r="40" spans="1:18" ht="13.5" customHeight="1">
      <c r="A40" s="1675" t="s">
        <v>839</v>
      </c>
      <c r="B40" s="1611"/>
      <c r="C40" s="1676"/>
      <c r="D40" s="1677">
        <v>134.5</v>
      </c>
      <c r="E40" s="1735"/>
      <c r="F40" s="1736"/>
      <c r="G40" s="1736"/>
      <c r="H40" s="1736"/>
      <c r="I40" s="1736"/>
      <c r="J40" s="1690">
        <v>23.8</v>
      </c>
      <c r="K40" s="1737"/>
      <c r="L40" s="1737"/>
      <c r="M40" s="1737"/>
      <c r="N40" s="1678">
        <v>17.100000000000001</v>
      </c>
      <c r="O40" s="1737"/>
      <c r="P40" s="1737"/>
      <c r="Q40" s="1737"/>
      <c r="R40" s="1738"/>
    </row>
    <row r="48" spans="1:18" s="1276" customFormat="1" ht="13.5" customHeight="1">
      <c r="C48" s="1283"/>
      <c r="D48" s="1283"/>
      <c r="E48" s="1283"/>
      <c r="M48" s="1280"/>
      <c r="Q48" s="1280"/>
    </row>
    <row r="49" spans="3:17" s="1276" customFormat="1" ht="13.5" customHeight="1">
      <c r="C49" s="1283"/>
      <c r="D49" s="1283"/>
      <c r="E49" s="1283"/>
      <c r="F49" s="1284"/>
      <c r="G49" s="1284"/>
      <c r="H49" s="1284"/>
      <c r="I49" s="1284"/>
      <c r="J49" s="1284"/>
      <c r="K49" s="1284"/>
      <c r="L49" s="1284"/>
      <c r="M49" s="1280"/>
      <c r="N49" s="1284"/>
      <c r="O49" s="1284"/>
      <c r="P49" s="1284"/>
      <c r="Q49" s="1280"/>
    </row>
    <row r="50" spans="3:17" s="1276" customFormat="1" ht="13.5" customHeight="1">
      <c r="C50" s="1283"/>
      <c r="D50" s="1283"/>
      <c r="E50" s="1283"/>
      <c r="F50" s="1282"/>
      <c r="G50" s="1282"/>
      <c r="H50" s="1282"/>
      <c r="I50" s="1282"/>
      <c r="J50" s="1282"/>
      <c r="K50" s="1282"/>
      <c r="L50" s="1282"/>
      <c r="M50" s="1280"/>
      <c r="N50" s="1282"/>
      <c r="O50" s="1282"/>
      <c r="P50" s="1282"/>
      <c r="Q50" s="1280"/>
    </row>
    <row r="51" spans="3:17" s="1276" customFormat="1" ht="13.5" customHeight="1">
      <c r="C51" s="1281"/>
      <c r="D51" s="1281"/>
      <c r="E51" s="1281"/>
      <c r="F51" s="1280"/>
      <c r="G51" s="1280"/>
      <c r="H51" s="1280"/>
      <c r="I51" s="1280"/>
      <c r="J51" s="1280"/>
      <c r="K51" s="1280"/>
      <c r="L51" s="1280"/>
      <c r="N51" s="1280"/>
      <c r="O51" s="1280"/>
      <c r="P51" s="1280"/>
    </row>
  </sheetData>
  <mergeCells count="18">
    <mergeCell ref="A7:C7"/>
    <mergeCell ref="A12:C12"/>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3"/>
  <pageMargins left="0.39370078740157483" right="0.39370078740157483" top="0.78740157480314965" bottom="0.55118110236220474" header="0.31496062992125984" footer="0.31496062992125984"/>
  <pageSetup paperSize="9" scale="75" fitToHeight="0" orientation="landscape" horizontalDpi="1200" verticalDpi="1200" r:id="rId1"/>
  <headerFooter scaleWithDoc="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22</v>
      </c>
      <c r="C33" s="29"/>
      <c r="D33" s="30">
        <v>35.69</v>
      </c>
      <c r="E33" s="30">
        <v>139.76</v>
      </c>
      <c r="F33" s="31">
        <v>135</v>
      </c>
      <c r="G33" s="32"/>
      <c r="I33" s="33" t="s">
        <v>15</v>
      </c>
      <c r="J33" s="34"/>
      <c r="K33" s="35">
        <v>200</v>
      </c>
      <c r="L33" s="35">
        <v>-70</v>
      </c>
      <c r="M33" s="35">
        <v>20</v>
      </c>
      <c r="N33" s="36">
        <v>110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21</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23</v>
      </c>
      <c r="P39" s="15" t="s">
        <v>24</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3"/>
  <pageMargins left="0.65" right="0.51" top="0.78740157480314965" bottom="0.47244094488188981" header="0.51181102362204722" footer="0.31496062992125984"/>
  <pageSetup paperSize="9" scale="66" orientation="landscape" horizontalDpi="400" verticalDpi="400" r:id="rId1"/>
  <headerFooter scaleWithDoc="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08"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26</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27</v>
      </c>
      <c r="B3" s="55" t="s">
        <v>64</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28</v>
      </c>
      <c r="B5" s="59"/>
      <c r="C5" s="60"/>
      <c r="G5" s="54"/>
      <c r="M5" s="54"/>
      <c r="S5" s="54"/>
      <c r="X5" s="54"/>
    </row>
    <row r="6" spans="1:25" ht="15.95" customHeight="1" thickBot="1">
      <c r="A6" s="54"/>
      <c r="G6" s="54"/>
      <c r="M6" s="54"/>
      <c r="S6" s="54"/>
      <c r="X6" s="54"/>
    </row>
    <row r="7" spans="1:25" ht="15.95" customHeight="1">
      <c r="A7" s="37" t="s">
        <v>17</v>
      </c>
      <c r="B7" s="61"/>
      <c r="C7" s="61"/>
      <c r="D7" s="61"/>
      <c r="E7" s="62"/>
      <c r="F7" s="61"/>
      <c r="G7" s="61"/>
      <c r="H7" s="61"/>
      <c r="I7" s="61"/>
      <c r="J7" s="61"/>
      <c r="K7" s="62"/>
      <c r="L7" s="61"/>
      <c r="M7" s="61"/>
      <c r="N7" s="61"/>
      <c r="O7" s="61"/>
      <c r="P7" s="61"/>
      <c r="Q7" s="62"/>
      <c r="R7" s="61"/>
      <c r="S7" s="61"/>
      <c r="T7" s="61"/>
      <c r="U7" s="61"/>
      <c r="V7" s="62"/>
      <c r="X7" s="54"/>
      <c r="Y7" s="63" t="s">
        <v>29</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30</v>
      </c>
      <c r="B9" s="69">
        <v>28.5</v>
      </c>
      <c r="C9" s="70">
        <v>28.1</v>
      </c>
      <c r="D9" s="70">
        <v>27.9</v>
      </c>
      <c r="E9" s="70">
        <v>27.7</v>
      </c>
      <c r="F9" s="70">
        <v>27.6</v>
      </c>
      <c r="G9" s="70">
        <v>27.9</v>
      </c>
      <c r="H9" s="70">
        <v>28.9</v>
      </c>
      <c r="I9" s="70">
        <v>30</v>
      </c>
      <c r="J9" s="70">
        <v>31.3</v>
      </c>
      <c r="K9" s="70">
        <v>32.5</v>
      </c>
      <c r="L9" s="70">
        <v>33.200000000000003</v>
      </c>
      <c r="M9" s="138">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31</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38">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32</v>
      </c>
      <c r="B11" s="69">
        <v>77.400000000000006</v>
      </c>
      <c r="C11" s="70">
        <v>77</v>
      </c>
      <c r="D11" s="70">
        <v>76.8</v>
      </c>
      <c r="E11" s="70">
        <v>76.3</v>
      </c>
      <c r="F11" s="70">
        <v>76</v>
      </c>
      <c r="G11" s="70">
        <v>76.5</v>
      </c>
      <c r="H11" s="70">
        <v>77.3</v>
      </c>
      <c r="I11" s="70">
        <v>78.2</v>
      </c>
      <c r="J11" s="70">
        <v>79.099999999999994</v>
      </c>
      <c r="K11" s="70">
        <v>80</v>
      </c>
      <c r="L11" s="70">
        <v>80.3</v>
      </c>
      <c r="M11" s="138">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33</v>
      </c>
      <c r="B13" s="61"/>
      <c r="C13" s="61"/>
      <c r="D13" s="61"/>
      <c r="E13" s="62"/>
      <c r="F13" s="61"/>
      <c r="G13" s="61"/>
      <c r="H13" s="61"/>
      <c r="I13" s="61"/>
      <c r="J13" s="61"/>
      <c r="K13" s="62"/>
      <c r="L13" s="61"/>
      <c r="M13" s="61"/>
      <c r="N13" s="61"/>
      <c r="O13" s="61"/>
      <c r="P13" s="61"/>
      <c r="Q13" s="62"/>
      <c r="R13" s="61"/>
      <c r="S13" s="61"/>
      <c r="T13" s="61"/>
      <c r="U13" s="61"/>
      <c r="V13" s="62"/>
      <c r="X13" s="54"/>
      <c r="Y13" s="63" t="s">
        <v>29</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30</v>
      </c>
      <c r="B15" s="69">
        <v>27.8</v>
      </c>
      <c r="C15" s="70">
        <v>27.5</v>
      </c>
      <c r="D15" s="70">
        <v>27.3</v>
      </c>
      <c r="E15" s="70">
        <v>27.1</v>
      </c>
      <c r="F15" s="70">
        <v>27</v>
      </c>
      <c r="G15" s="70">
        <v>27.3</v>
      </c>
      <c r="H15" s="70">
        <v>28.4</v>
      </c>
      <c r="I15" s="70">
        <v>29.8</v>
      </c>
      <c r="J15" s="70">
        <v>31.1</v>
      </c>
      <c r="K15" s="70">
        <v>32.1</v>
      </c>
      <c r="L15" s="70">
        <v>33</v>
      </c>
      <c r="M15" s="70">
        <v>33.4</v>
      </c>
      <c r="N15" s="138">
        <v>33.6</v>
      </c>
      <c r="O15" s="70">
        <v>33.4</v>
      </c>
      <c r="P15" s="70">
        <v>32.9</v>
      </c>
      <c r="Q15" s="70">
        <v>32.5</v>
      </c>
      <c r="R15" s="70">
        <v>32</v>
      </c>
      <c r="S15" s="70">
        <v>31.1</v>
      </c>
      <c r="T15" s="70">
        <v>29.9</v>
      </c>
      <c r="U15" s="70">
        <v>29.1</v>
      </c>
      <c r="V15" s="70">
        <v>28.7</v>
      </c>
      <c r="W15" s="70">
        <v>28.4</v>
      </c>
      <c r="X15" s="70">
        <v>28.3</v>
      </c>
      <c r="Y15" s="71">
        <v>28</v>
      </c>
    </row>
    <row r="16" spans="1:25" ht="15.95" customHeight="1">
      <c r="A16" s="68" t="s">
        <v>31</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38">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32</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38">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34</v>
      </c>
      <c r="B19" s="61"/>
      <c r="C19" s="61"/>
      <c r="D19" s="61"/>
      <c r="E19" s="62"/>
      <c r="F19" s="61"/>
      <c r="G19" s="61"/>
      <c r="H19" s="61"/>
      <c r="I19" s="61"/>
      <c r="J19" s="61"/>
      <c r="K19" s="62"/>
      <c r="L19" s="61"/>
      <c r="M19" s="61"/>
      <c r="N19" s="61"/>
      <c r="O19" s="61"/>
      <c r="P19" s="61"/>
      <c r="Q19" s="62"/>
      <c r="R19" s="61"/>
      <c r="S19" s="61"/>
      <c r="T19" s="61"/>
      <c r="U19" s="61"/>
      <c r="V19" s="62"/>
      <c r="X19" s="54"/>
      <c r="Y19" s="63" t="s">
        <v>29</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30</v>
      </c>
      <c r="B21" s="69">
        <v>25.8</v>
      </c>
      <c r="C21" s="70">
        <v>25.5</v>
      </c>
      <c r="D21" s="70">
        <v>25.3</v>
      </c>
      <c r="E21" s="70">
        <v>25.1</v>
      </c>
      <c r="F21" s="70">
        <v>24.9</v>
      </c>
      <c r="G21" s="70">
        <v>25.1</v>
      </c>
      <c r="H21" s="70">
        <v>26</v>
      </c>
      <c r="I21" s="70">
        <v>27.5</v>
      </c>
      <c r="J21" s="70">
        <v>28.8</v>
      </c>
      <c r="K21" s="70">
        <v>30.1</v>
      </c>
      <c r="L21" s="70">
        <v>30.9</v>
      </c>
      <c r="M21" s="137">
        <v>31.6</v>
      </c>
      <c r="N21" s="70">
        <v>31.8</v>
      </c>
      <c r="O21" s="70">
        <v>31.5</v>
      </c>
      <c r="P21" s="70">
        <v>31.1</v>
      </c>
      <c r="Q21" s="70">
        <v>30.7</v>
      </c>
      <c r="R21" s="70">
        <v>29.7</v>
      </c>
      <c r="S21" s="70">
        <v>28.7</v>
      </c>
      <c r="T21" s="70">
        <v>27.9</v>
      </c>
      <c r="U21" s="70">
        <v>27.3</v>
      </c>
      <c r="V21" s="70">
        <v>27</v>
      </c>
      <c r="W21" s="139">
        <v>26.8</v>
      </c>
      <c r="X21" s="70">
        <v>26.6</v>
      </c>
      <c r="Y21" s="71">
        <v>26.2</v>
      </c>
    </row>
    <row r="22" spans="1:25" ht="15.95" customHeight="1">
      <c r="A22" s="68" t="s">
        <v>31</v>
      </c>
      <c r="B22" s="69">
        <v>16.100000000000001</v>
      </c>
      <c r="C22" s="70">
        <v>16</v>
      </c>
      <c r="D22" s="70">
        <v>15.9</v>
      </c>
      <c r="E22" s="70">
        <v>15.7</v>
      </c>
      <c r="F22" s="70">
        <v>15.4</v>
      </c>
      <c r="G22" s="70">
        <v>15.2</v>
      </c>
      <c r="H22" s="70">
        <v>15</v>
      </c>
      <c r="I22" s="70">
        <v>14.6</v>
      </c>
      <c r="J22" s="70">
        <v>14.2</v>
      </c>
      <c r="K22" s="70">
        <v>14.1</v>
      </c>
      <c r="L22" s="70">
        <v>13.8</v>
      </c>
      <c r="M22" s="137">
        <v>13.7</v>
      </c>
      <c r="N22" s="70">
        <v>13.5</v>
      </c>
      <c r="O22" s="70">
        <v>13.4</v>
      </c>
      <c r="P22" s="70">
        <v>13.5</v>
      </c>
      <c r="Q22" s="70">
        <v>13.7</v>
      </c>
      <c r="R22" s="70">
        <v>13.9</v>
      </c>
      <c r="S22" s="70">
        <v>14.5</v>
      </c>
      <c r="T22" s="70">
        <v>15.2</v>
      </c>
      <c r="U22" s="70">
        <v>16</v>
      </c>
      <c r="V22" s="70">
        <v>16.5</v>
      </c>
      <c r="W22" s="139">
        <v>16.600000000000001</v>
      </c>
      <c r="X22" s="70">
        <v>16.399999999999999</v>
      </c>
      <c r="Y22" s="71">
        <v>16.3</v>
      </c>
    </row>
    <row r="23" spans="1:25" ht="15.95" customHeight="1">
      <c r="A23" s="68" t="s">
        <v>32</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37">
        <v>66.8</v>
      </c>
      <c r="N23" s="70">
        <v>66.5</v>
      </c>
      <c r="O23" s="70">
        <v>66</v>
      </c>
      <c r="P23" s="70">
        <v>65.8</v>
      </c>
      <c r="Q23" s="70">
        <v>65.900000000000006</v>
      </c>
      <c r="R23" s="70">
        <v>65.400000000000006</v>
      </c>
      <c r="S23" s="70">
        <v>65.900000000000006</v>
      </c>
      <c r="T23" s="70">
        <v>66.8</v>
      </c>
      <c r="U23" s="70">
        <v>68.3</v>
      </c>
      <c r="V23" s="70">
        <v>69.2</v>
      </c>
      <c r="W23" s="139">
        <v>69.3</v>
      </c>
      <c r="X23" s="70">
        <v>68.599999999999994</v>
      </c>
      <c r="Y23" s="71">
        <v>67.900000000000006</v>
      </c>
    </row>
    <row r="24" spans="1:25" ht="15.95" customHeight="1" thickBot="1">
      <c r="A24" s="73"/>
    </row>
    <row r="25" spans="1:25" ht="15.95" customHeight="1">
      <c r="A25" s="58" t="s">
        <v>35</v>
      </c>
      <c r="B25" s="59"/>
      <c r="C25" s="60"/>
    </row>
    <row r="26" spans="1:25" ht="15.95" customHeight="1" thickBot="1">
      <c r="A26" s="54"/>
    </row>
    <row r="27" spans="1:25" ht="15.95" customHeight="1">
      <c r="A27" s="74" t="s">
        <v>37</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5"/>
      <c r="B28" s="76" t="s">
        <v>38</v>
      </c>
      <c r="C28" s="77"/>
      <c r="D28" s="77"/>
      <c r="E28" s="78"/>
      <c r="F28" s="76" t="s">
        <v>39</v>
      </c>
      <c r="G28" s="77"/>
      <c r="H28" s="77"/>
      <c r="I28" s="77"/>
      <c r="J28" s="77"/>
      <c r="K28" s="78"/>
      <c r="L28" s="76" t="s">
        <v>40</v>
      </c>
      <c r="M28" s="77"/>
      <c r="N28" s="77"/>
      <c r="O28" s="78"/>
      <c r="S28" s="54"/>
      <c r="X28" s="54"/>
    </row>
    <row r="29" spans="1:25" ht="15.95" customHeight="1">
      <c r="A29" s="79"/>
      <c r="B29" s="80" t="s">
        <v>41</v>
      </c>
      <c r="C29" s="81"/>
      <c r="D29" s="80" t="s">
        <v>42</v>
      </c>
      <c r="E29" s="81"/>
      <c r="F29" s="80" t="s">
        <v>43</v>
      </c>
      <c r="G29" s="82"/>
      <c r="H29" s="80" t="s">
        <v>44</v>
      </c>
      <c r="I29" s="81"/>
      <c r="J29" s="82" t="s">
        <v>45</v>
      </c>
      <c r="K29" s="81"/>
      <c r="L29" s="80" t="s">
        <v>41</v>
      </c>
      <c r="M29" s="81"/>
      <c r="N29" s="80" t="s">
        <v>42</v>
      </c>
      <c r="O29" s="81"/>
      <c r="Q29" s="83"/>
      <c r="S29" s="54"/>
      <c r="X29" s="54"/>
    </row>
    <row r="30" spans="1:25" ht="15.95" customHeight="1">
      <c r="A30" s="84"/>
      <c r="B30" s="85" t="s">
        <v>47</v>
      </c>
      <c r="C30" s="86" t="s">
        <v>48</v>
      </c>
      <c r="D30" s="87" t="s">
        <v>47</v>
      </c>
      <c r="E30" s="88" t="s">
        <v>48</v>
      </c>
      <c r="F30" s="88" t="s">
        <v>41</v>
      </c>
      <c r="G30" s="89" t="s">
        <v>42</v>
      </c>
      <c r="H30" s="90" t="s">
        <v>41</v>
      </c>
      <c r="I30" s="91" t="s">
        <v>42</v>
      </c>
      <c r="J30" s="92" t="s">
        <v>41</v>
      </c>
      <c r="K30" s="91" t="s">
        <v>42</v>
      </c>
      <c r="L30" s="93" t="s">
        <v>47</v>
      </c>
      <c r="M30" s="86" t="s">
        <v>48</v>
      </c>
      <c r="N30" s="87" t="s">
        <v>47</v>
      </c>
      <c r="O30" s="94" t="s">
        <v>48</v>
      </c>
      <c r="Q30" s="95"/>
      <c r="S30" s="54"/>
      <c r="X30" s="54"/>
    </row>
    <row r="31" spans="1:25" ht="15.95" customHeight="1">
      <c r="A31" s="68" t="s">
        <v>30</v>
      </c>
      <c r="B31" s="96">
        <v>9</v>
      </c>
      <c r="C31" s="97">
        <v>2</v>
      </c>
      <c r="D31" s="98">
        <v>5</v>
      </c>
      <c r="E31" s="97">
        <v>-0.3</v>
      </c>
      <c r="F31" s="99">
        <v>2</v>
      </c>
      <c r="G31" s="97">
        <v>-0.3</v>
      </c>
      <c r="H31" s="97">
        <v>2</v>
      </c>
      <c r="I31" s="97">
        <v>-0.3</v>
      </c>
      <c r="J31" s="97">
        <v>2</v>
      </c>
      <c r="K31" s="97">
        <v>-0.3</v>
      </c>
      <c r="L31" s="100">
        <v>9</v>
      </c>
      <c r="M31" s="97">
        <v>2</v>
      </c>
      <c r="N31" s="98">
        <v>5</v>
      </c>
      <c r="O31" s="101">
        <v>-0.3</v>
      </c>
      <c r="Q31" s="95"/>
      <c r="S31" s="54"/>
      <c r="X31" s="54"/>
    </row>
    <row r="32" spans="1:25" ht="15.95" customHeight="1">
      <c r="A32" s="68" t="s">
        <v>31</v>
      </c>
      <c r="B32" s="102"/>
      <c r="C32" s="103">
        <v>1.4</v>
      </c>
      <c r="D32" s="98"/>
      <c r="E32" s="103">
        <v>1.4</v>
      </c>
      <c r="F32" s="104"/>
      <c r="G32" s="104"/>
      <c r="H32" s="104"/>
      <c r="I32" s="104"/>
      <c r="J32" s="105"/>
      <c r="K32" s="104"/>
      <c r="L32" s="98"/>
      <c r="M32" s="103">
        <v>1.4</v>
      </c>
      <c r="N32" s="98"/>
      <c r="O32" s="101">
        <v>1.4</v>
      </c>
      <c r="S32" s="54"/>
      <c r="X32" s="54"/>
    </row>
    <row r="33" spans="1:28" ht="15.95" customHeight="1">
      <c r="A33" s="68" t="s">
        <v>49</v>
      </c>
      <c r="B33" s="106"/>
      <c r="C33" s="103">
        <v>5.5</v>
      </c>
      <c r="D33" s="107"/>
      <c r="E33" s="103">
        <v>3.2</v>
      </c>
      <c r="F33" s="104"/>
      <c r="G33" s="104"/>
      <c r="H33" s="104"/>
      <c r="I33" s="104"/>
      <c r="J33" s="105"/>
      <c r="K33" s="104"/>
      <c r="L33" s="107"/>
      <c r="M33" s="103">
        <v>5.5</v>
      </c>
      <c r="N33" s="107"/>
      <c r="O33" s="101">
        <v>3.2</v>
      </c>
      <c r="S33" s="54"/>
      <c r="X33" s="54"/>
    </row>
    <row r="34" spans="1:28" ht="15.95" customHeight="1" thickBot="1">
      <c r="G34" s="54"/>
      <c r="I34" s="72"/>
      <c r="M34" s="54"/>
      <c r="Q34" s="72"/>
      <c r="S34" s="54"/>
      <c r="W34" s="72"/>
      <c r="X34" s="54"/>
      <c r="AB34" s="72"/>
    </row>
    <row r="35" spans="1:28" ht="15.95" customHeight="1">
      <c r="A35" s="109" t="s">
        <v>50</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5"/>
      <c r="B36" s="76" t="s">
        <v>38</v>
      </c>
      <c r="C36" s="77"/>
      <c r="D36" s="77"/>
      <c r="E36" s="78"/>
      <c r="F36" s="76" t="s">
        <v>39</v>
      </c>
      <c r="G36" s="77"/>
      <c r="H36" s="77"/>
      <c r="I36" s="77"/>
      <c r="J36" s="77"/>
      <c r="K36" s="78"/>
      <c r="L36" s="76" t="s">
        <v>40</v>
      </c>
      <c r="M36" s="77"/>
      <c r="N36" s="77"/>
      <c r="O36" s="78"/>
      <c r="S36" s="54"/>
      <c r="X36" s="54"/>
    </row>
    <row r="37" spans="1:28" ht="15.95" customHeight="1">
      <c r="A37" s="79"/>
      <c r="B37" s="80" t="s">
        <v>41</v>
      </c>
      <c r="C37" s="81"/>
      <c r="D37" s="80" t="s">
        <v>42</v>
      </c>
      <c r="E37" s="81"/>
      <c r="F37" s="80" t="s">
        <v>43</v>
      </c>
      <c r="G37" s="82"/>
      <c r="H37" s="80" t="s">
        <v>44</v>
      </c>
      <c r="I37" s="81"/>
      <c r="J37" s="82" t="s">
        <v>45</v>
      </c>
      <c r="K37" s="81"/>
      <c r="L37" s="80" t="s">
        <v>41</v>
      </c>
      <c r="M37" s="81"/>
      <c r="N37" s="80" t="s">
        <v>42</v>
      </c>
      <c r="O37" s="81"/>
      <c r="S37" s="54"/>
      <c r="X37" s="54"/>
    </row>
    <row r="38" spans="1:28" ht="15.95" customHeight="1">
      <c r="A38" s="84"/>
      <c r="B38" s="85" t="s">
        <v>47</v>
      </c>
      <c r="C38" s="86" t="s">
        <v>48</v>
      </c>
      <c r="D38" s="87" t="s">
        <v>47</v>
      </c>
      <c r="E38" s="88" t="s">
        <v>48</v>
      </c>
      <c r="F38" s="88" t="s">
        <v>41</v>
      </c>
      <c r="G38" s="89" t="s">
        <v>42</v>
      </c>
      <c r="H38" s="90" t="s">
        <v>41</v>
      </c>
      <c r="I38" s="91" t="s">
        <v>42</v>
      </c>
      <c r="J38" s="92" t="s">
        <v>41</v>
      </c>
      <c r="K38" s="91" t="s">
        <v>42</v>
      </c>
      <c r="L38" s="93" t="s">
        <v>47</v>
      </c>
      <c r="M38" s="86" t="s">
        <v>48</v>
      </c>
      <c r="N38" s="87" t="s">
        <v>47</v>
      </c>
      <c r="O38" s="94" t="s">
        <v>48</v>
      </c>
      <c r="S38" s="54"/>
      <c r="X38" s="54"/>
    </row>
    <row r="39" spans="1:28" ht="15.95" customHeight="1">
      <c r="A39" s="68" t="s">
        <v>30</v>
      </c>
      <c r="B39" s="96">
        <v>9</v>
      </c>
      <c r="C39" s="97">
        <v>1.5</v>
      </c>
      <c r="D39" s="98">
        <v>8</v>
      </c>
      <c r="E39" s="97">
        <v>1.4</v>
      </c>
      <c r="F39" s="99">
        <v>1.5</v>
      </c>
      <c r="G39" s="97">
        <v>1.4</v>
      </c>
      <c r="H39" s="97">
        <v>1.5</v>
      </c>
      <c r="I39" s="97">
        <v>1.4</v>
      </c>
      <c r="J39" s="97">
        <v>1.5</v>
      </c>
      <c r="K39" s="97">
        <v>1.4</v>
      </c>
      <c r="L39" s="100">
        <v>9</v>
      </c>
      <c r="M39" s="97">
        <v>1.5</v>
      </c>
      <c r="N39" s="98">
        <v>5</v>
      </c>
      <c r="O39" s="101">
        <v>1.6</v>
      </c>
      <c r="S39" s="54"/>
      <c r="X39" s="54"/>
    </row>
    <row r="40" spans="1:28" ht="15.95" customHeight="1">
      <c r="A40" s="68" t="s">
        <v>31</v>
      </c>
      <c r="B40" s="102"/>
      <c r="C40" s="103">
        <v>3.1</v>
      </c>
      <c r="D40" s="98"/>
      <c r="E40" s="103">
        <v>3</v>
      </c>
      <c r="F40" s="104"/>
      <c r="G40" s="104"/>
      <c r="H40" s="104"/>
      <c r="I40" s="104"/>
      <c r="J40" s="105"/>
      <c r="K40" s="104"/>
      <c r="L40" s="98"/>
      <c r="M40" s="103">
        <v>3.1</v>
      </c>
      <c r="N40" s="98"/>
      <c r="O40" s="101">
        <v>2.8</v>
      </c>
      <c r="S40" s="54"/>
      <c r="X40" s="54"/>
    </row>
    <row r="41" spans="1:28" ht="15.95" customHeight="1">
      <c r="A41" s="68" t="s">
        <v>49</v>
      </c>
      <c r="B41" s="106"/>
      <c r="C41" s="103">
        <v>9.3000000000000007</v>
      </c>
      <c r="D41" s="107"/>
      <c r="E41" s="103">
        <v>8.9</v>
      </c>
      <c r="F41" s="104"/>
      <c r="G41" s="104"/>
      <c r="H41" s="104"/>
      <c r="I41" s="104"/>
      <c r="J41" s="105"/>
      <c r="K41" s="104"/>
      <c r="L41" s="107"/>
      <c r="M41" s="103">
        <v>9.3000000000000007</v>
      </c>
      <c r="N41" s="107"/>
      <c r="O41" s="101">
        <v>8.6</v>
      </c>
      <c r="Q41" s="83"/>
      <c r="S41" s="54"/>
      <c r="X41" s="54"/>
    </row>
    <row r="42" spans="1:28" ht="15.95" customHeight="1">
      <c r="A42" s="54" t="s">
        <v>51</v>
      </c>
    </row>
    <row r="43" spans="1:28" ht="15.95" customHeight="1">
      <c r="A43" s="83" t="s">
        <v>65</v>
      </c>
    </row>
    <row r="44" spans="1:28" ht="15.95" customHeight="1">
      <c r="A44" s="95" t="s">
        <v>66</v>
      </c>
    </row>
    <row r="45" spans="1:28" ht="15.95" customHeight="1">
      <c r="A45" s="95"/>
    </row>
    <row r="46" spans="1:28" ht="15.95" customHeight="1" thickBot="1">
      <c r="A46" s="54"/>
    </row>
    <row r="47" spans="1:28" ht="15.95" customHeight="1">
      <c r="A47" s="58" t="s">
        <v>52</v>
      </c>
      <c r="B47" s="59"/>
      <c r="C47" s="60"/>
    </row>
    <row r="48" spans="1:28" ht="15.95" customHeight="1">
      <c r="A48" s="54" t="s">
        <v>53</v>
      </c>
      <c r="J48" s="72"/>
      <c r="K48" s="72"/>
      <c r="M48" s="54" t="s">
        <v>54</v>
      </c>
      <c r="S48" s="54"/>
      <c r="U48" s="72"/>
      <c r="X48" s="63" t="s">
        <v>55</v>
      </c>
      <c r="Z48" s="72"/>
    </row>
    <row r="49" spans="1:28" ht="15.95" customHeight="1">
      <c r="A49" s="110"/>
      <c r="B49" s="111" t="s">
        <v>56</v>
      </c>
      <c r="C49" s="112"/>
      <c r="D49" s="113" t="s">
        <v>57</v>
      </c>
      <c r="E49" s="114"/>
      <c r="F49" s="115" t="s">
        <v>58</v>
      </c>
      <c r="G49" s="114"/>
      <c r="H49" s="112" t="s">
        <v>59</v>
      </c>
      <c r="I49" s="116"/>
      <c r="M49" s="117" t="s">
        <v>60</v>
      </c>
      <c r="N49" s="118"/>
      <c r="O49" s="119">
        <v>1</v>
      </c>
      <c r="P49" s="119">
        <v>2</v>
      </c>
      <c r="Q49" s="119">
        <v>3</v>
      </c>
      <c r="R49" s="119">
        <v>4</v>
      </c>
      <c r="S49" s="119">
        <v>5</v>
      </c>
      <c r="T49" s="119">
        <v>6</v>
      </c>
      <c r="U49" s="119">
        <v>7</v>
      </c>
      <c r="V49" s="119">
        <v>8</v>
      </c>
      <c r="W49" s="120">
        <v>9</v>
      </c>
      <c r="X49" s="121">
        <v>10</v>
      </c>
    </row>
    <row r="50" spans="1:28" ht="15.95" customHeight="1">
      <c r="A50" s="122" t="s">
        <v>61</v>
      </c>
      <c r="B50" s="123">
        <v>15.9</v>
      </c>
      <c r="C50" s="123"/>
      <c r="D50" s="124">
        <v>2.6</v>
      </c>
      <c r="E50" s="125"/>
      <c r="F50" s="123">
        <v>2.6</v>
      </c>
      <c r="G50" s="125"/>
      <c r="H50" s="123">
        <v>15.9</v>
      </c>
      <c r="I50" s="125"/>
      <c r="M50" s="126" t="s">
        <v>61</v>
      </c>
      <c r="N50" s="127"/>
      <c r="O50" s="128">
        <v>7.5</v>
      </c>
      <c r="P50" s="128">
        <v>9.3000000000000007</v>
      </c>
      <c r="Q50" s="128">
        <v>11</v>
      </c>
      <c r="R50" s="128">
        <v>12.1</v>
      </c>
      <c r="S50" s="128">
        <v>13.2</v>
      </c>
      <c r="T50" s="128">
        <v>13.9</v>
      </c>
      <c r="U50" s="128">
        <v>14.6</v>
      </c>
      <c r="V50" s="128">
        <v>15.1</v>
      </c>
      <c r="W50" s="129">
        <v>15.5</v>
      </c>
      <c r="X50" s="130">
        <v>16</v>
      </c>
    </row>
    <row r="51" spans="1:28" ht="15.95" customHeight="1">
      <c r="A51" s="131" t="s">
        <v>62</v>
      </c>
      <c r="B51" s="132">
        <v>15.9</v>
      </c>
      <c r="C51" s="132"/>
      <c r="D51" s="133">
        <v>2.6</v>
      </c>
      <c r="E51" s="134"/>
      <c r="F51" s="132">
        <v>2.6</v>
      </c>
      <c r="G51" s="134"/>
      <c r="H51" s="132">
        <v>15.9</v>
      </c>
      <c r="I51" s="134"/>
      <c r="M51" s="135" t="s">
        <v>62</v>
      </c>
      <c r="N51" s="136"/>
      <c r="O51" s="128">
        <v>7.5</v>
      </c>
      <c r="P51" s="128">
        <v>9.3000000000000007</v>
      </c>
      <c r="Q51" s="128">
        <v>11</v>
      </c>
      <c r="R51" s="128">
        <v>12.1</v>
      </c>
      <c r="S51" s="128">
        <v>13.2</v>
      </c>
      <c r="T51" s="128">
        <v>13.9</v>
      </c>
      <c r="U51" s="128">
        <v>14.6</v>
      </c>
      <c r="V51" s="128">
        <v>15.1</v>
      </c>
      <c r="W51" s="129">
        <v>15.5</v>
      </c>
      <c r="X51" s="130">
        <v>16</v>
      </c>
      <c r="AB51" s="72"/>
    </row>
    <row r="52" spans="1:28" ht="15.95" customHeight="1">
      <c r="A52" s="54" t="s">
        <v>51</v>
      </c>
      <c r="B52" s="54" t="s">
        <v>63</v>
      </c>
      <c r="M52" s="54" t="s">
        <v>51</v>
      </c>
      <c r="O52" s="54" t="s">
        <v>67</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3"/>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82</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69</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70</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71</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72</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73</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74</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75</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76</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77</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68</v>
      </c>
      <c r="B16" s="145"/>
      <c r="C16" s="145"/>
      <c r="D16" s="38" t="s">
        <v>33</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83</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69</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70</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71</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72</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73</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74</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75</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76</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77</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68</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83</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69</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70</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71</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72</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73</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74</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75</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76</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77</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86</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87</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88</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89</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90</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91</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92</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93</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94</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98</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82</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69</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70</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71</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72</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73</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74</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75</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76</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77</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68</v>
      </c>
      <c r="B16" s="145"/>
      <c r="C16" s="145"/>
      <c r="D16" s="38" t="s">
        <v>33</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96</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69</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70</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71</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72</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73</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74</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75</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76</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77</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68</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97</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69</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70</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71</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72</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73</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74</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75</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76</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77</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86</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87</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88</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89</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90</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91</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92</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93</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94</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99</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69</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70</v>
      </c>
      <c r="B7" s="159" t="s">
        <v>100</v>
      </c>
      <c r="C7" s="160" t="s">
        <v>100</v>
      </c>
      <c r="D7" s="160" t="s">
        <v>100</v>
      </c>
      <c r="E7" s="160" t="s">
        <v>100</v>
      </c>
      <c r="F7" s="160" t="s">
        <v>100</v>
      </c>
      <c r="G7" s="160" t="s">
        <v>100</v>
      </c>
      <c r="H7" s="160" t="s">
        <v>100</v>
      </c>
      <c r="I7" s="160" t="s">
        <v>100</v>
      </c>
      <c r="J7" s="160" t="s">
        <v>100</v>
      </c>
      <c r="K7" s="160" t="s">
        <v>100</v>
      </c>
      <c r="L7" s="160" t="s">
        <v>100</v>
      </c>
      <c r="M7" s="160" t="s">
        <v>100</v>
      </c>
      <c r="N7" s="160" t="s">
        <v>100</v>
      </c>
      <c r="O7" s="160" t="s">
        <v>100</v>
      </c>
      <c r="P7" s="160" t="s">
        <v>100</v>
      </c>
      <c r="Q7" s="160" t="s">
        <v>100</v>
      </c>
      <c r="R7" s="160" t="s">
        <v>100</v>
      </c>
      <c r="S7" s="160" t="s">
        <v>100</v>
      </c>
      <c r="T7" s="161" t="s">
        <v>100</v>
      </c>
      <c r="U7" s="161" t="s">
        <v>100</v>
      </c>
      <c r="V7" s="161" t="s">
        <v>100</v>
      </c>
      <c r="W7" s="161" t="s">
        <v>100</v>
      </c>
      <c r="X7" s="161" t="s">
        <v>100</v>
      </c>
      <c r="Y7" s="162" t="s">
        <v>100</v>
      </c>
    </row>
    <row r="8" spans="1:25" ht="12" customHeight="1">
      <c r="A8" s="158" t="s">
        <v>71</v>
      </c>
      <c r="B8" s="159" t="s">
        <v>100</v>
      </c>
      <c r="C8" s="160" t="s">
        <v>100</v>
      </c>
      <c r="D8" s="160" t="s">
        <v>100</v>
      </c>
      <c r="E8" s="160" t="s">
        <v>100</v>
      </c>
      <c r="F8" s="160" t="s">
        <v>100</v>
      </c>
      <c r="G8" s="160" t="s">
        <v>100</v>
      </c>
      <c r="H8" s="160" t="s">
        <v>100</v>
      </c>
      <c r="I8" s="160" t="s">
        <v>100</v>
      </c>
      <c r="J8" s="160" t="s">
        <v>100</v>
      </c>
      <c r="K8" s="160" t="s">
        <v>100</v>
      </c>
      <c r="L8" s="160" t="s">
        <v>100</v>
      </c>
      <c r="M8" s="160" t="s">
        <v>100</v>
      </c>
      <c r="N8" s="160" t="s">
        <v>100</v>
      </c>
      <c r="O8" s="160" t="s">
        <v>100</v>
      </c>
      <c r="P8" s="160" t="s">
        <v>100</v>
      </c>
      <c r="Q8" s="160" t="s">
        <v>100</v>
      </c>
      <c r="R8" s="160" t="s">
        <v>100</v>
      </c>
      <c r="S8" s="160" t="s">
        <v>100</v>
      </c>
      <c r="T8" s="161" t="s">
        <v>100</v>
      </c>
      <c r="U8" s="161" t="s">
        <v>100</v>
      </c>
      <c r="V8" s="161" t="s">
        <v>100</v>
      </c>
      <c r="W8" s="161" t="s">
        <v>100</v>
      </c>
      <c r="X8" s="161" t="s">
        <v>100</v>
      </c>
      <c r="Y8" s="162" t="s">
        <v>100</v>
      </c>
    </row>
    <row r="9" spans="1:25" ht="12" customHeight="1">
      <c r="A9" s="158" t="s">
        <v>72</v>
      </c>
      <c r="B9" s="159" t="s">
        <v>100</v>
      </c>
      <c r="C9" s="160" t="s">
        <v>100</v>
      </c>
      <c r="D9" s="160" t="s">
        <v>100</v>
      </c>
      <c r="E9" s="160" t="s">
        <v>100</v>
      </c>
      <c r="F9" s="160" t="s">
        <v>100</v>
      </c>
      <c r="G9" s="160" t="s">
        <v>100</v>
      </c>
      <c r="H9" s="160" t="s">
        <v>100</v>
      </c>
      <c r="I9" s="160" t="s">
        <v>100</v>
      </c>
      <c r="J9" s="160" t="s">
        <v>100</v>
      </c>
      <c r="K9" s="160" t="s">
        <v>100</v>
      </c>
      <c r="L9" s="160" t="s">
        <v>100</v>
      </c>
      <c r="M9" s="160" t="s">
        <v>100</v>
      </c>
      <c r="N9" s="160" t="s">
        <v>100</v>
      </c>
      <c r="O9" s="160" t="s">
        <v>100</v>
      </c>
      <c r="P9" s="160" t="s">
        <v>100</v>
      </c>
      <c r="Q9" s="160" t="s">
        <v>100</v>
      </c>
      <c r="R9" s="160" t="s">
        <v>100</v>
      </c>
      <c r="S9" s="160" t="s">
        <v>100</v>
      </c>
      <c r="T9" s="161" t="s">
        <v>100</v>
      </c>
      <c r="U9" s="161" t="s">
        <v>100</v>
      </c>
      <c r="V9" s="161" t="s">
        <v>100</v>
      </c>
      <c r="W9" s="161" t="s">
        <v>100</v>
      </c>
      <c r="X9" s="161" t="s">
        <v>100</v>
      </c>
      <c r="Y9" s="162" t="s">
        <v>100</v>
      </c>
    </row>
    <row r="10" spans="1:25" ht="12" customHeight="1">
      <c r="A10" s="158" t="s">
        <v>73</v>
      </c>
      <c r="B10" s="159" t="s">
        <v>100</v>
      </c>
      <c r="C10" s="160" t="s">
        <v>100</v>
      </c>
      <c r="D10" s="160" t="s">
        <v>100</v>
      </c>
      <c r="E10" s="160" t="s">
        <v>100</v>
      </c>
      <c r="F10" s="160" t="s">
        <v>100</v>
      </c>
      <c r="G10" s="160" t="s">
        <v>100</v>
      </c>
      <c r="H10" s="160" t="s">
        <v>100</v>
      </c>
      <c r="I10" s="160" t="s">
        <v>100</v>
      </c>
      <c r="J10" s="160" t="s">
        <v>100</v>
      </c>
      <c r="K10" s="160" t="s">
        <v>100</v>
      </c>
      <c r="L10" s="160" t="s">
        <v>100</v>
      </c>
      <c r="M10" s="160" t="s">
        <v>100</v>
      </c>
      <c r="N10" s="160" t="s">
        <v>100</v>
      </c>
      <c r="O10" s="160" t="s">
        <v>100</v>
      </c>
      <c r="P10" s="160" t="s">
        <v>100</v>
      </c>
      <c r="Q10" s="160" t="s">
        <v>100</v>
      </c>
      <c r="R10" s="160" t="s">
        <v>100</v>
      </c>
      <c r="S10" s="160" t="s">
        <v>100</v>
      </c>
      <c r="T10" s="161" t="s">
        <v>100</v>
      </c>
      <c r="U10" s="161" t="s">
        <v>100</v>
      </c>
      <c r="V10" s="161" t="s">
        <v>100</v>
      </c>
      <c r="W10" s="161" t="s">
        <v>100</v>
      </c>
      <c r="X10" s="161" t="s">
        <v>100</v>
      </c>
      <c r="Y10" s="162" t="s">
        <v>100</v>
      </c>
    </row>
    <row r="11" spans="1:25" ht="12" customHeight="1">
      <c r="A11" s="158" t="s">
        <v>74</v>
      </c>
      <c r="B11" s="159" t="s">
        <v>100</v>
      </c>
      <c r="C11" s="160" t="s">
        <v>100</v>
      </c>
      <c r="D11" s="160" t="s">
        <v>100</v>
      </c>
      <c r="E11" s="160" t="s">
        <v>100</v>
      </c>
      <c r="F11" s="160" t="s">
        <v>100</v>
      </c>
      <c r="G11" s="160" t="s">
        <v>100</v>
      </c>
      <c r="H11" s="160" t="s">
        <v>100</v>
      </c>
      <c r="I11" s="160" t="s">
        <v>100</v>
      </c>
      <c r="J11" s="160" t="s">
        <v>100</v>
      </c>
      <c r="K11" s="160" t="s">
        <v>100</v>
      </c>
      <c r="L11" s="160" t="s">
        <v>100</v>
      </c>
      <c r="M11" s="160" t="s">
        <v>100</v>
      </c>
      <c r="N11" s="160" t="s">
        <v>100</v>
      </c>
      <c r="O11" s="160" t="s">
        <v>100</v>
      </c>
      <c r="P11" s="160" t="s">
        <v>100</v>
      </c>
      <c r="Q11" s="160" t="s">
        <v>100</v>
      </c>
      <c r="R11" s="160" t="s">
        <v>100</v>
      </c>
      <c r="S11" s="160" t="s">
        <v>100</v>
      </c>
      <c r="T11" s="161" t="s">
        <v>100</v>
      </c>
      <c r="U11" s="161" t="s">
        <v>100</v>
      </c>
      <c r="V11" s="161" t="s">
        <v>100</v>
      </c>
      <c r="W11" s="161" t="s">
        <v>100</v>
      </c>
      <c r="X11" s="161" t="s">
        <v>100</v>
      </c>
      <c r="Y11" s="162" t="s">
        <v>100</v>
      </c>
    </row>
    <row r="12" spans="1:25" ht="12" customHeight="1">
      <c r="A12" s="158" t="s">
        <v>75</v>
      </c>
      <c r="B12" s="159" t="s">
        <v>100</v>
      </c>
      <c r="C12" s="160" t="s">
        <v>100</v>
      </c>
      <c r="D12" s="160" t="s">
        <v>100</v>
      </c>
      <c r="E12" s="160" t="s">
        <v>100</v>
      </c>
      <c r="F12" s="160" t="s">
        <v>100</v>
      </c>
      <c r="G12" s="160" t="s">
        <v>100</v>
      </c>
      <c r="H12" s="160" t="s">
        <v>100</v>
      </c>
      <c r="I12" s="160" t="s">
        <v>100</v>
      </c>
      <c r="J12" s="160" t="s">
        <v>100</v>
      </c>
      <c r="K12" s="160" t="s">
        <v>100</v>
      </c>
      <c r="L12" s="160" t="s">
        <v>100</v>
      </c>
      <c r="M12" s="160" t="s">
        <v>100</v>
      </c>
      <c r="N12" s="160" t="s">
        <v>100</v>
      </c>
      <c r="O12" s="160" t="s">
        <v>100</v>
      </c>
      <c r="P12" s="160" t="s">
        <v>100</v>
      </c>
      <c r="Q12" s="160" t="s">
        <v>100</v>
      </c>
      <c r="R12" s="160" t="s">
        <v>100</v>
      </c>
      <c r="S12" s="160" t="s">
        <v>100</v>
      </c>
      <c r="T12" s="161" t="s">
        <v>100</v>
      </c>
      <c r="U12" s="161" t="s">
        <v>100</v>
      </c>
      <c r="V12" s="161" t="s">
        <v>100</v>
      </c>
      <c r="W12" s="161" t="s">
        <v>100</v>
      </c>
      <c r="X12" s="161" t="s">
        <v>100</v>
      </c>
      <c r="Y12" s="162" t="s">
        <v>100</v>
      </c>
    </row>
    <row r="13" spans="1:25" ht="12" customHeight="1">
      <c r="A13" s="158" t="s">
        <v>76</v>
      </c>
      <c r="B13" s="159" t="s">
        <v>100</v>
      </c>
      <c r="C13" s="160" t="s">
        <v>100</v>
      </c>
      <c r="D13" s="160" t="s">
        <v>100</v>
      </c>
      <c r="E13" s="160" t="s">
        <v>100</v>
      </c>
      <c r="F13" s="160" t="s">
        <v>100</v>
      </c>
      <c r="G13" s="160" t="s">
        <v>100</v>
      </c>
      <c r="H13" s="160" t="s">
        <v>100</v>
      </c>
      <c r="I13" s="160" t="s">
        <v>100</v>
      </c>
      <c r="J13" s="160" t="s">
        <v>100</v>
      </c>
      <c r="K13" s="160" t="s">
        <v>100</v>
      </c>
      <c r="L13" s="160" t="s">
        <v>100</v>
      </c>
      <c r="M13" s="160" t="s">
        <v>100</v>
      </c>
      <c r="N13" s="160" t="s">
        <v>100</v>
      </c>
      <c r="O13" s="160" t="s">
        <v>100</v>
      </c>
      <c r="P13" s="160" t="s">
        <v>100</v>
      </c>
      <c r="Q13" s="160" t="s">
        <v>100</v>
      </c>
      <c r="R13" s="160" t="s">
        <v>100</v>
      </c>
      <c r="S13" s="160" t="s">
        <v>100</v>
      </c>
      <c r="T13" s="161" t="s">
        <v>100</v>
      </c>
      <c r="U13" s="161" t="s">
        <v>100</v>
      </c>
      <c r="V13" s="161" t="s">
        <v>100</v>
      </c>
      <c r="W13" s="161" t="s">
        <v>100</v>
      </c>
      <c r="X13" s="161" t="s">
        <v>100</v>
      </c>
      <c r="Y13" s="162" t="s">
        <v>100</v>
      </c>
    </row>
    <row r="14" spans="1:25" ht="12" customHeight="1">
      <c r="A14" s="163" t="s">
        <v>77</v>
      </c>
      <c r="B14" s="164" t="s">
        <v>100</v>
      </c>
      <c r="C14" s="165" t="s">
        <v>100</v>
      </c>
      <c r="D14" s="165" t="s">
        <v>100</v>
      </c>
      <c r="E14" s="165" t="s">
        <v>100</v>
      </c>
      <c r="F14" s="165" t="s">
        <v>100</v>
      </c>
      <c r="G14" s="165" t="s">
        <v>100</v>
      </c>
      <c r="H14" s="165" t="s">
        <v>100</v>
      </c>
      <c r="I14" s="165" t="s">
        <v>100</v>
      </c>
      <c r="J14" s="165" t="s">
        <v>100</v>
      </c>
      <c r="K14" s="165" t="s">
        <v>100</v>
      </c>
      <c r="L14" s="165" t="s">
        <v>100</v>
      </c>
      <c r="M14" s="165" t="s">
        <v>100</v>
      </c>
      <c r="N14" s="165" t="s">
        <v>100</v>
      </c>
      <c r="O14" s="165" t="s">
        <v>100</v>
      </c>
      <c r="P14" s="165" t="s">
        <v>100</v>
      </c>
      <c r="Q14" s="165" t="s">
        <v>100</v>
      </c>
      <c r="R14" s="165" t="s">
        <v>100</v>
      </c>
      <c r="S14" s="165" t="s">
        <v>100</v>
      </c>
      <c r="T14" s="166" t="s">
        <v>100</v>
      </c>
      <c r="U14" s="166" t="s">
        <v>100</v>
      </c>
      <c r="V14" s="166" t="s">
        <v>100</v>
      </c>
      <c r="W14" s="166" t="s">
        <v>100</v>
      </c>
      <c r="X14" s="166" t="s">
        <v>100</v>
      </c>
      <c r="Y14" s="167" t="s">
        <v>100</v>
      </c>
    </row>
    <row r="15" spans="1:25" ht="12" customHeight="1" thickBot="1"/>
    <row r="16" spans="1:25" ht="12" customHeight="1">
      <c r="A16" s="145" t="s">
        <v>68</v>
      </c>
      <c r="B16" s="145"/>
      <c r="C16" s="145"/>
      <c r="D16" s="38" t="s">
        <v>33</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101</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69</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70</v>
      </c>
      <c r="B20" s="159" t="s">
        <v>100</v>
      </c>
      <c r="C20" s="160" t="s">
        <v>100</v>
      </c>
      <c r="D20" s="160" t="s">
        <v>100</v>
      </c>
      <c r="E20" s="160" t="s">
        <v>100</v>
      </c>
      <c r="F20" s="160" t="s">
        <v>100</v>
      </c>
      <c r="G20" s="160" t="s">
        <v>100</v>
      </c>
      <c r="H20" s="160" t="s">
        <v>100</v>
      </c>
      <c r="I20" s="160" t="s">
        <v>100</v>
      </c>
      <c r="J20" s="160" t="s">
        <v>100</v>
      </c>
      <c r="K20" s="160" t="s">
        <v>100</v>
      </c>
      <c r="L20" s="160" t="s">
        <v>100</v>
      </c>
      <c r="M20" s="160" t="s">
        <v>100</v>
      </c>
      <c r="N20" s="160" t="s">
        <v>100</v>
      </c>
      <c r="O20" s="160" t="s">
        <v>100</v>
      </c>
      <c r="P20" s="160" t="s">
        <v>100</v>
      </c>
      <c r="Q20" s="160" t="s">
        <v>100</v>
      </c>
      <c r="R20" s="160" t="s">
        <v>100</v>
      </c>
      <c r="S20" s="160" t="s">
        <v>100</v>
      </c>
      <c r="T20" s="161" t="s">
        <v>100</v>
      </c>
      <c r="U20" s="161" t="s">
        <v>100</v>
      </c>
      <c r="V20" s="161" t="s">
        <v>100</v>
      </c>
      <c r="W20" s="161" t="s">
        <v>100</v>
      </c>
      <c r="X20" s="161" t="s">
        <v>100</v>
      </c>
      <c r="Y20" s="162" t="s">
        <v>100</v>
      </c>
    </row>
    <row r="21" spans="1:25" ht="12" customHeight="1">
      <c r="A21" s="158" t="s">
        <v>71</v>
      </c>
      <c r="B21" s="159" t="s">
        <v>100</v>
      </c>
      <c r="C21" s="160" t="s">
        <v>100</v>
      </c>
      <c r="D21" s="160" t="s">
        <v>100</v>
      </c>
      <c r="E21" s="160" t="s">
        <v>100</v>
      </c>
      <c r="F21" s="160" t="s">
        <v>100</v>
      </c>
      <c r="G21" s="160" t="s">
        <v>100</v>
      </c>
      <c r="H21" s="160" t="s">
        <v>100</v>
      </c>
      <c r="I21" s="160" t="s">
        <v>100</v>
      </c>
      <c r="J21" s="160" t="s">
        <v>100</v>
      </c>
      <c r="K21" s="160" t="s">
        <v>100</v>
      </c>
      <c r="L21" s="160" t="s">
        <v>100</v>
      </c>
      <c r="M21" s="160" t="s">
        <v>100</v>
      </c>
      <c r="N21" s="160" t="s">
        <v>100</v>
      </c>
      <c r="O21" s="160" t="s">
        <v>100</v>
      </c>
      <c r="P21" s="160" t="s">
        <v>100</v>
      </c>
      <c r="Q21" s="160" t="s">
        <v>100</v>
      </c>
      <c r="R21" s="160" t="s">
        <v>100</v>
      </c>
      <c r="S21" s="160" t="s">
        <v>100</v>
      </c>
      <c r="T21" s="161" t="s">
        <v>100</v>
      </c>
      <c r="U21" s="161" t="s">
        <v>100</v>
      </c>
      <c r="V21" s="161" t="s">
        <v>100</v>
      </c>
      <c r="W21" s="161" t="s">
        <v>100</v>
      </c>
      <c r="X21" s="161" t="s">
        <v>100</v>
      </c>
      <c r="Y21" s="162" t="s">
        <v>100</v>
      </c>
    </row>
    <row r="22" spans="1:25" ht="12" customHeight="1">
      <c r="A22" s="158" t="s">
        <v>72</v>
      </c>
      <c r="B22" s="159" t="s">
        <v>100</v>
      </c>
      <c r="C22" s="160" t="s">
        <v>100</v>
      </c>
      <c r="D22" s="160" t="s">
        <v>100</v>
      </c>
      <c r="E22" s="160" t="s">
        <v>100</v>
      </c>
      <c r="F22" s="160" t="s">
        <v>100</v>
      </c>
      <c r="G22" s="160" t="s">
        <v>100</v>
      </c>
      <c r="H22" s="160" t="s">
        <v>100</v>
      </c>
      <c r="I22" s="160" t="s">
        <v>100</v>
      </c>
      <c r="J22" s="160" t="s">
        <v>100</v>
      </c>
      <c r="K22" s="160" t="s">
        <v>100</v>
      </c>
      <c r="L22" s="160" t="s">
        <v>100</v>
      </c>
      <c r="M22" s="160" t="s">
        <v>100</v>
      </c>
      <c r="N22" s="160" t="s">
        <v>100</v>
      </c>
      <c r="O22" s="160" t="s">
        <v>100</v>
      </c>
      <c r="P22" s="160" t="s">
        <v>100</v>
      </c>
      <c r="Q22" s="160" t="s">
        <v>100</v>
      </c>
      <c r="R22" s="160" t="s">
        <v>100</v>
      </c>
      <c r="S22" s="160" t="s">
        <v>100</v>
      </c>
      <c r="T22" s="161" t="s">
        <v>100</v>
      </c>
      <c r="U22" s="161" t="s">
        <v>100</v>
      </c>
      <c r="V22" s="161" t="s">
        <v>100</v>
      </c>
      <c r="W22" s="161" t="s">
        <v>100</v>
      </c>
      <c r="X22" s="161" t="s">
        <v>100</v>
      </c>
      <c r="Y22" s="162" t="s">
        <v>100</v>
      </c>
    </row>
    <row r="23" spans="1:25" ht="12" customHeight="1">
      <c r="A23" s="158" t="s">
        <v>73</v>
      </c>
      <c r="B23" s="159" t="s">
        <v>100</v>
      </c>
      <c r="C23" s="160" t="s">
        <v>100</v>
      </c>
      <c r="D23" s="160" t="s">
        <v>100</v>
      </c>
      <c r="E23" s="160" t="s">
        <v>100</v>
      </c>
      <c r="F23" s="160" t="s">
        <v>100</v>
      </c>
      <c r="G23" s="160" t="s">
        <v>100</v>
      </c>
      <c r="H23" s="160" t="s">
        <v>100</v>
      </c>
      <c r="I23" s="160" t="s">
        <v>100</v>
      </c>
      <c r="J23" s="160" t="s">
        <v>100</v>
      </c>
      <c r="K23" s="160" t="s">
        <v>100</v>
      </c>
      <c r="L23" s="160" t="s">
        <v>100</v>
      </c>
      <c r="M23" s="160" t="s">
        <v>100</v>
      </c>
      <c r="N23" s="160" t="s">
        <v>100</v>
      </c>
      <c r="O23" s="160" t="s">
        <v>100</v>
      </c>
      <c r="P23" s="160" t="s">
        <v>100</v>
      </c>
      <c r="Q23" s="160" t="s">
        <v>100</v>
      </c>
      <c r="R23" s="160" t="s">
        <v>100</v>
      </c>
      <c r="S23" s="160" t="s">
        <v>100</v>
      </c>
      <c r="T23" s="161" t="s">
        <v>100</v>
      </c>
      <c r="U23" s="161" t="s">
        <v>100</v>
      </c>
      <c r="V23" s="161" t="s">
        <v>100</v>
      </c>
      <c r="W23" s="161" t="s">
        <v>100</v>
      </c>
      <c r="X23" s="161" t="s">
        <v>100</v>
      </c>
      <c r="Y23" s="162" t="s">
        <v>100</v>
      </c>
    </row>
    <row r="24" spans="1:25" ht="12" customHeight="1">
      <c r="A24" s="158" t="s">
        <v>74</v>
      </c>
      <c r="B24" s="159" t="s">
        <v>100</v>
      </c>
      <c r="C24" s="160" t="s">
        <v>100</v>
      </c>
      <c r="D24" s="160" t="s">
        <v>100</v>
      </c>
      <c r="E24" s="160" t="s">
        <v>100</v>
      </c>
      <c r="F24" s="160" t="s">
        <v>100</v>
      </c>
      <c r="G24" s="160" t="s">
        <v>100</v>
      </c>
      <c r="H24" s="160" t="s">
        <v>100</v>
      </c>
      <c r="I24" s="160" t="s">
        <v>100</v>
      </c>
      <c r="J24" s="160" t="s">
        <v>100</v>
      </c>
      <c r="K24" s="160" t="s">
        <v>100</v>
      </c>
      <c r="L24" s="160" t="s">
        <v>100</v>
      </c>
      <c r="M24" s="160" t="s">
        <v>100</v>
      </c>
      <c r="N24" s="160" t="s">
        <v>100</v>
      </c>
      <c r="O24" s="160" t="s">
        <v>100</v>
      </c>
      <c r="P24" s="160" t="s">
        <v>100</v>
      </c>
      <c r="Q24" s="160" t="s">
        <v>100</v>
      </c>
      <c r="R24" s="160" t="s">
        <v>100</v>
      </c>
      <c r="S24" s="160" t="s">
        <v>100</v>
      </c>
      <c r="T24" s="161" t="s">
        <v>100</v>
      </c>
      <c r="U24" s="161" t="s">
        <v>100</v>
      </c>
      <c r="V24" s="161" t="s">
        <v>100</v>
      </c>
      <c r="W24" s="161" t="s">
        <v>100</v>
      </c>
      <c r="X24" s="161" t="s">
        <v>100</v>
      </c>
      <c r="Y24" s="162" t="s">
        <v>100</v>
      </c>
    </row>
    <row r="25" spans="1:25" ht="12" customHeight="1">
      <c r="A25" s="158" t="s">
        <v>75</v>
      </c>
      <c r="B25" s="159" t="s">
        <v>100</v>
      </c>
      <c r="C25" s="160" t="s">
        <v>100</v>
      </c>
      <c r="D25" s="160" t="s">
        <v>100</v>
      </c>
      <c r="E25" s="160" t="s">
        <v>100</v>
      </c>
      <c r="F25" s="160" t="s">
        <v>100</v>
      </c>
      <c r="G25" s="160" t="s">
        <v>100</v>
      </c>
      <c r="H25" s="160" t="s">
        <v>100</v>
      </c>
      <c r="I25" s="160" t="s">
        <v>100</v>
      </c>
      <c r="J25" s="160" t="s">
        <v>100</v>
      </c>
      <c r="K25" s="160" t="s">
        <v>100</v>
      </c>
      <c r="L25" s="160" t="s">
        <v>100</v>
      </c>
      <c r="M25" s="160" t="s">
        <v>100</v>
      </c>
      <c r="N25" s="160" t="s">
        <v>100</v>
      </c>
      <c r="O25" s="160" t="s">
        <v>100</v>
      </c>
      <c r="P25" s="160" t="s">
        <v>100</v>
      </c>
      <c r="Q25" s="160" t="s">
        <v>100</v>
      </c>
      <c r="R25" s="160" t="s">
        <v>100</v>
      </c>
      <c r="S25" s="160" t="s">
        <v>100</v>
      </c>
      <c r="T25" s="161" t="s">
        <v>100</v>
      </c>
      <c r="U25" s="161" t="s">
        <v>100</v>
      </c>
      <c r="V25" s="161" t="s">
        <v>100</v>
      </c>
      <c r="W25" s="161" t="s">
        <v>100</v>
      </c>
      <c r="X25" s="161" t="s">
        <v>100</v>
      </c>
      <c r="Y25" s="162" t="s">
        <v>100</v>
      </c>
    </row>
    <row r="26" spans="1:25" ht="12" customHeight="1">
      <c r="A26" s="158" t="s">
        <v>76</v>
      </c>
      <c r="B26" s="159" t="s">
        <v>100</v>
      </c>
      <c r="C26" s="160" t="s">
        <v>100</v>
      </c>
      <c r="D26" s="160" t="s">
        <v>100</v>
      </c>
      <c r="E26" s="160" t="s">
        <v>100</v>
      </c>
      <c r="F26" s="160" t="s">
        <v>100</v>
      </c>
      <c r="G26" s="160" t="s">
        <v>100</v>
      </c>
      <c r="H26" s="160" t="s">
        <v>100</v>
      </c>
      <c r="I26" s="160" t="s">
        <v>100</v>
      </c>
      <c r="J26" s="160" t="s">
        <v>100</v>
      </c>
      <c r="K26" s="160" t="s">
        <v>100</v>
      </c>
      <c r="L26" s="160" t="s">
        <v>100</v>
      </c>
      <c r="M26" s="160" t="s">
        <v>100</v>
      </c>
      <c r="N26" s="160" t="s">
        <v>100</v>
      </c>
      <c r="O26" s="160" t="s">
        <v>100</v>
      </c>
      <c r="P26" s="160" t="s">
        <v>100</v>
      </c>
      <c r="Q26" s="160" t="s">
        <v>100</v>
      </c>
      <c r="R26" s="160" t="s">
        <v>100</v>
      </c>
      <c r="S26" s="160" t="s">
        <v>100</v>
      </c>
      <c r="T26" s="161" t="s">
        <v>100</v>
      </c>
      <c r="U26" s="161" t="s">
        <v>100</v>
      </c>
      <c r="V26" s="161" t="s">
        <v>100</v>
      </c>
      <c r="W26" s="161" t="s">
        <v>100</v>
      </c>
      <c r="X26" s="161" t="s">
        <v>100</v>
      </c>
      <c r="Y26" s="162" t="s">
        <v>100</v>
      </c>
    </row>
    <row r="27" spans="1:25" ht="12" customHeight="1">
      <c r="A27" s="163" t="s">
        <v>77</v>
      </c>
      <c r="B27" s="164" t="s">
        <v>100</v>
      </c>
      <c r="C27" s="165" t="s">
        <v>100</v>
      </c>
      <c r="D27" s="165" t="s">
        <v>100</v>
      </c>
      <c r="E27" s="165" t="s">
        <v>100</v>
      </c>
      <c r="F27" s="165" t="s">
        <v>100</v>
      </c>
      <c r="G27" s="165" t="s">
        <v>100</v>
      </c>
      <c r="H27" s="165" t="s">
        <v>100</v>
      </c>
      <c r="I27" s="165" t="s">
        <v>100</v>
      </c>
      <c r="J27" s="165" t="s">
        <v>100</v>
      </c>
      <c r="K27" s="165" t="s">
        <v>100</v>
      </c>
      <c r="L27" s="165" t="s">
        <v>100</v>
      </c>
      <c r="M27" s="165" t="s">
        <v>100</v>
      </c>
      <c r="N27" s="165" t="s">
        <v>100</v>
      </c>
      <c r="O27" s="165" t="s">
        <v>100</v>
      </c>
      <c r="P27" s="165" t="s">
        <v>100</v>
      </c>
      <c r="Q27" s="165" t="s">
        <v>100</v>
      </c>
      <c r="R27" s="165" t="s">
        <v>100</v>
      </c>
      <c r="S27" s="165" t="s">
        <v>100</v>
      </c>
      <c r="T27" s="166" t="s">
        <v>100</v>
      </c>
      <c r="U27" s="166" t="s">
        <v>100</v>
      </c>
      <c r="V27" s="166" t="s">
        <v>100</v>
      </c>
      <c r="W27" s="166" t="s">
        <v>100</v>
      </c>
      <c r="X27" s="166" t="s">
        <v>100</v>
      </c>
      <c r="Y27" s="167" t="s">
        <v>100</v>
      </c>
    </row>
    <row r="28" spans="1:25" ht="12" customHeight="1" thickBot="1"/>
    <row r="29" spans="1:25" ht="12" customHeight="1">
      <c r="A29" s="145" t="s">
        <v>68</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102</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69</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70</v>
      </c>
      <c r="B33" s="159" t="s">
        <v>100</v>
      </c>
      <c r="C33" s="160" t="s">
        <v>100</v>
      </c>
      <c r="D33" s="160" t="s">
        <v>100</v>
      </c>
      <c r="E33" s="160" t="s">
        <v>100</v>
      </c>
      <c r="F33" s="160" t="s">
        <v>100</v>
      </c>
      <c r="G33" s="160" t="s">
        <v>100</v>
      </c>
      <c r="H33" s="160" t="s">
        <v>100</v>
      </c>
      <c r="I33" s="160" t="s">
        <v>100</v>
      </c>
      <c r="J33" s="160" t="s">
        <v>100</v>
      </c>
      <c r="K33" s="160" t="s">
        <v>100</v>
      </c>
      <c r="L33" s="160" t="s">
        <v>100</v>
      </c>
      <c r="M33" s="160" t="s">
        <v>100</v>
      </c>
      <c r="N33" s="160" t="s">
        <v>100</v>
      </c>
      <c r="O33" s="160" t="s">
        <v>100</v>
      </c>
      <c r="P33" s="160" t="s">
        <v>100</v>
      </c>
      <c r="Q33" s="160" t="s">
        <v>100</v>
      </c>
      <c r="R33" s="160" t="s">
        <v>100</v>
      </c>
      <c r="S33" s="160" t="s">
        <v>100</v>
      </c>
      <c r="T33" s="161" t="s">
        <v>100</v>
      </c>
      <c r="U33" s="161" t="s">
        <v>100</v>
      </c>
      <c r="V33" s="161" t="s">
        <v>100</v>
      </c>
      <c r="W33" s="161" t="s">
        <v>100</v>
      </c>
      <c r="X33" s="161" t="s">
        <v>100</v>
      </c>
      <c r="Y33" s="162" t="s">
        <v>100</v>
      </c>
    </row>
    <row r="34" spans="1:25" ht="12" customHeight="1">
      <c r="A34" s="158" t="s">
        <v>71</v>
      </c>
      <c r="B34" s="159" t="s">
        <v>100</v>
      </c>
      <c r="C34" s="160" t="s">
        <v>100</v>
      </c>
      <c r="D34" s="160" t="s">
        <v>100</v>
      </c>
      <c r="E34" s="160" t="s">
        <v>100</v>
      </c>
      <c r="F34" s="160" t="s">
        <v>100</v>
      </c>
      <c r="G34" s="160" t="s">
        <v>100</v>
      </c>
      <c r="H34" s="160" t="s">
        <v>100</v>
      </c>
      <c r="I34" s="160" t="s">
        <v>100</v>
      </c>
      <c r="J34" s="160" t="s">
        <v>100</v>
      </c>
      <c r="K34" s="160" t="s">
        <v>100</v>
      </c>
      <c r="L34" s="160" t="s">
        <v>100</v>
      </c>
      <c r="M34" s="160" t="s">
        <v>100</v>
      </c>
      <c r="N34" s="160" t="s">
        <v>100</v>
      </c>
      <c r="O34" s="160" t="s">
        <v>100</v>
      </c>
      <c r="P34" s="160" t="s">
        <v>100</v>
      </c>
      <c r="Q34" s="160" t="s">
        <v>100</v>
      </c>
      <c r="R34" s="160" t="s">
        <v>100</v>
      </c>
      <c r="S34" s="160" t="s">
        <v>100</v>
      </c>
      <c r="T34" s="161" t="s">
        <v>100</v>
      </c>
      <c r="U34" s="161" t="s">
        <v>100</v>
      </c>
      <c r="V34" s="161" t="s">
        <v>100</v>
      </c>
      <c r="W34" s="161" t="s">
        <v>100</v>
      </c>
      <c r="X34" s="161" t="s">
        <v>100</v>
      </c>
      <c r="Y34" s="162" t="s">
        <v>100</v>
      </c>
    </row>
    <row r="35" spans="1:25" ht="12" customHeight="1">
      <c r="A35" s="158" t="s">
        <v>72</v>
      </c>
      <c r="B35" s="159" t="s">
        <v>100</v>
      </c>
      <c r="C35" s="160" t="s">
        <v>100</v>
      </c>
      <c r="D35" s="160" t="s">
        <v>100</v>
      </c>
      <c r="E35" s="160" t="s">
        <v>100</v>
      </c>
      <c r="F35" s="160" t="s">
        <v>100</v>
      </c>
      <c r="G35" s="160" t="s">
        <v>100</v>
      </c>
      <c r="H35" s="160" t="s">
        <v>100</v>
      </c>
      <c r="I35" s="160" t="s">
        <v>100</v>
      </c>
      <c r="J35" s="160" t="s">
        <v>100</v>
      </c>
      <c r="K35" s="160" t="s">
        <v>100</v>
      </c>
      <c r="L35" s="160" t="s">
        <v>100</v>
      </c>
      <c r="M35" s="160" t="s">
        <v>100</v>
      </c>
      <c r="N35" s="160" t="s">
        <v>100</v>
      </c>
      <c r="O35" s="160" t="s">
        <v>100</v>
      </c>
      <c r="P35" s="160" t="s">
        <v>100</v>
      </c>
      <c r="Q35" s="160" t="s">
        <v>100</v>
      </c>
      <c r="R35" s="160" t="s">
        <v>100</v>
      </c>
      <c r="S35" s="160" t="s">
        <v>100</v>
      </c>
      <c r="T35" s="161" t="s">
        <v>100</v>
      </c>
      <c r="U35" s="161" t="s">
        <v>100</v>
      </c>
      <c r="V35" s="161" t="s">
        <v>100</v>
      </c>
      <c r="W35" s="161" t="s">
        <v>100</v>
      </c>
      <c r="X35" s="161" t="s">
        <v>100</v>
      </c>
      <c r="Y35" s="162" t="s">
        <v>100</v>
      </c>
    </row>
    <row r="36" spans="1:25" ht="12" customHeight="1">
      <c r="A36" s="158" t="s">
        <v>73</v>
      </c>
      <c r="B36" s="159" t="s">
        <v>100</v>
      </c>
      <c r="C36" s="160" t="s">
        <v>100</v>
      </c>
      <c r="D36" s="160" t="s">
        <v>100</v>
      </c>
      <c r="E36" s="160" t="s">
        <v>100</v>
      </c>
      <c r="F36" s="160" t="s">
        <v>100</v>
      </c>
      <c r="G36" s="160" t="s">
        <v>100</v>
      </c>
      <c r="H36" s="160" t="s">
        <v>100</v>
      </c>
      <c r="I36" s="160" t="s">
        <v>100</v>
      </c>
      <c r="J36" s="160" t="s">
        <v>100</v>
      </c>
      <c r="K36" s="160" t="s">
        <v>100</v>
      </c>
      <c r="L36" s="160" t="s">
        <v>100</v>
      </c>
      <c r="M36" s="160" t="s">
        <v>100</v>
      </c>
      <c r="N36" s="160" t="s">
        <v>100</v>
      </c>
      <c r="O36" s="160" t="s">
        <v>100</v>
      </c>
      <c r="P36" s="160" t="s">
        <v>100</v>
      </c>
      <c r="Q36" s="160" t="s">
        <v>100</v>
      </c>
      <c r="R36" s="160" t="s">
        <v>100</v>
      </c>
      <c r="S36" s="160" t="s">
        <v>100</v>
      </c>
      <c r="T36" s="161" t="s">
        <v>100</v>
      </c>
      <c r="U36" s="161" t="s">
        <v>100</v>
      </c>
      <c r="V36" s="161" t="s">
        <v>100</v>
      </c>
      <c r="W36" s="161" t="s">
        <v>100</v>
      </c>
      <c r="X36" s="161" t="s">
        <v>100</v>
      </c>
      <c r="Y36" s="162" t="s">
        <v>100</v>
      </c>
    </row>
    <row r="37" spans="1:25" ht="12" customHeight="1">
      <c r="A37" s="158" t="s">
        <v>74</v>
      </c>
      <c r="B37" s="159" t="s">
        <v>100</v>
      </c>
      <c r="C37" s="160" t="s">
        <v>100</v>
      </c>
      <c r="D37" s="160" t="s">
        <v>100</v>
      </c>
      <c r="E37" s="160" t="s">
        <v>100</v>
      </c>
      <c r="F37" s="160" t="s">
        <v>100</v>
      </c>
      <c r="G37" s="160" t="s">
        <v>100</v>
      </c>
      <c r="H37" s="160" t="s">
        <v>100</v>
      </c>
      <c r="I37" s="160" t="s">
        <v>100</v>
      </c>
      <c r="J37" s="160" t="s">
        <v>100</v>
      </c>
      <c r="K37" s="160" t="s">
        <v>100</v>
      </c>
      <c r="L37" s="160" t="s">
        <v>100</v>
      </c>
      <c r="M37" s="160" t="s">
        <v>100</v>
      </c>
      <c r="N37" s="160" t="s">
        <v>100</v>
      </c>
      <c r="O37" s="160" t="s">
        <v>100</v>
      </c>
      <c r="P37" s="160" t="s">
        <v>100</v>
      </c>
      <c r="Q37" s="160" t="s">
        <v>100</v>
      </c>
      <c r="R37" s="160" t="s">
        <v>100</v>
      </c>
      <c r="S37" s="160" t="s">
        <v>100</v>
      </c>
      <c r="T37" s="161" t="s">
        <v>100</v>
      </c>
      <c r="U37" s="161" t="s">
        <v>100</v>
      </c>
      <c r="V37" s="161" t="s">
        <v>100</v>
      </c>
      <c r="W37" s="161" t="s">
        <v>100</v>
      </c>
      <c r="X37" s="161" t="s">
        <v>100</v>
      </c>
      <c r="Y37" s="162" t="s">
        <v>100</v>
      </c>
    </row>
    <row r="38" spans="1:25" ht="12" customHeight="1">
      <c r="A38" s="158" t="s">
        <v>75</v>
      </c>
      <c r="B38" s="159" t="s">
        <v>100</v>
      </c>
      <c r="C38" s="160" t="s">
        <v>100</v>
      </c>
      <c r="D38" s="160" t="s">
        <v>100</v>
      </c>
      <c r="E38" s="160" t="s">
        <v>100</v>
      </c>
      <c r="F38" s="160" t="s">
        <v>100</v>
      </c>
      <c r="G38" s="160" t="s">
        <v>100</v>
      </c>
      <c r="H38" s="160" t="s">
        <v>100</v>
      </c>
      <c r="I38" s="160" t="s">
        <v>100</v>
      </c>
      <c r="J38" s="160" t="s">
        <v>100</v>
      </c>
      <c r="K38" s="160" t="s">
        <v>100</v>
      </c>
      <c r="L38" s="160" t="s">
        <v>100</v>
      </c>
      <c r="M38" s="160" t="s">
        <v>100</v>
      </c>
      <c r="N38" s="160" t="s">
        <v>100</v>
      </c>
      <c r="O38" s="160" t="s">
        <v>100</v>
      </c>
      <c r="P38" s="160" t="s">
        <v>100</v>
      </c>
      <c r="Q38" s="160" t="s">
        <v>100</v>
      </c>
      <c r="R38" s="160" t="s">
        <v>100</v>
      </c>
      <c r="S38" s="160" t="s">
        <v>100</v>
      </c>
      <c r="T38" s="161" t="s">
        <v>100</v>
      </c>
      <c r="U38" s="161" t="s">
        <v>100</v>
      </c>
      <c r="V38" s="161" t="s">
        <v>100</v>
      </c>
      <c r="W38" s="161" t="s">
        <v>100</v>
      </c>
      <c r="X38" s="161" t="s">
        <v>100</v>
      </c>
      <c r="Y38" s="162" t="s">
        <v>100</v>
      </c>
    </row>
    <row r="39" spans="1:25" ht="12" customHeight="1">
      <c r="A39" s="158" t="s">
        <v>76</v>
      </c>
      <c r="B39" s="159" t="s">
        <v>100</v>
      </c>
      <c r="C39" s="160" t="s">
        <v>100</v>
      </c>
      <c r="D39" s="160" t="s">
        <v>100</v>
      </c>
      <c r="E39" s="160" t="s">
        <v>100</v>
      </c>
      <c r="F39" s="160" t="s">
        <v>100</v>
      </c>
      <c r="G39" s="160" t="s">
        <v>100</v>
      </c>
      <c r="H39" s="160" t="s">
        <v>100</v>
      </c>
      <c r="I39" s="160" t="s">
        <v>100</v>
      </c>
      <c r="J39" s="160" t="s">
        <v>100</v>
      </c>
      <c r="K39" s="160" t="s">
        <v>100</v>
      </c>
      <c r="L39" s="160" t="s">
        <v>100</v>
      </c>
      <c r="M39" s="160" t="s">
        <v>100</v>
      </c>
      <c r="N39" s="160" t="s">
        <v>100</v>
      </c>
      <c r="O39" s="160" t="s">
        <v>100</v>
      </c>
      <c r="P39" s="160" t="s">
        <v>100</v>
      </c>
      <c r="Q39" s="160" t="s">
        <v>100</v>
      </c>
      <c r="R39" s="160" t="s">
        <v>100</v>
      </c>
      <c r="S39" s="160" t="s">
        <v>100</v>
      </c>
      <c r="T39" s="161" t="s">
        <v>100</v>
      </c>
      <c r="U39" s="161" t="s">
        <v>100</v>
      </c>
      <c r="V39" s="161" t="s">
        <v>100</v>
      </c>
      <c r="W39" s="161" t="s">
        <v>100</v>
      </c>
      <c r="X39" s="161" t="s">
        <v>100</v>
      </c>
      <c r="Y39" s="162" t="s">
        <v>100</v>
      </c>
    </row>
    <row r="40" spans="1:25" ht="12" customHeight="1">
      <c r="A40" s="163" t="s">
        <v>77</v>
      </c>
      <c r="B40" s="164" t="s">
        <v>100</v>
      </c>
      <c r="C40" s="165" t="s">
        <v>100</v>
      </c>
      <c r="D40" s="165" t="s">
        <v>100</v>
      </c>
      <c r="E40" s="165" t="s">
        <v>100</v>
      </c>
      <c r="F40" s="165" t="s">
        <v>100</v>
      </c>
      <c r="G40" s="165" t="s">
        <v>100</v>
      </c>
      <c r="H40" s="165" t="s">
        <v>100</v>
      </c>
      <c r="I40" s="165" t="s">
        <v>100</v>
      </c>
      <c r="J40" s="165" t="s">
        <v>100</v>
      </c>
      <c r="K40" s="165" t="s">
        <v>100</v>
      </c>
      <c r="L40" s="165" t="s">
        <v>100</v>
      </c>
      <c r="M40" s="165" t="s">
        <v>100</v>
      </c>
      <c r="N40" s="165" t="s">
        <v>100</v>
      </c>
      <c r="O40" s="165" t="s">
        <v>100</v>
      </c>
      <c r="P40" s="165" t="s">
        <v>100</v>
      </c>
      <c r="Q40" s="165" t="s">
        <v>100</v>
      </c>
      <c r="R40" s="165" t="s">
        <v>100</v>
      </c>
      <c r="S40" s="165" t="s">
        <v>100</v>
      </c>
      <c r="T40" s="166" t="s">
        <v>100</v>
      </c>
      <c r="U40" s="166" t="s">
        <v>100</v>
      </c>
      <c r="V40" s="166" t="s">
        <v>100</v>
      </c>
      <c r="W40" s="166" t="s">
        <v>100</v>
      </c>
      <c r="X40" s="166" t="s">
        <v>100</v>
      </c>
      <c r="Y40" s="167" t="s">
        <v>100</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87</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88</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89</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90</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91</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92</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103</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104</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107</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68</v>
      </c>
      <c r="B3" s="145"/>
      <c r="C3" s="145"/>
      <c r="D3" s="37" t="s">
        <v>17</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102</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69</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70</v>
      </c>
      <c r="B7" s="159" t="s">
        <v>100</v>
      </c>
      <c r="C7" s="160" t="s">
        <v>100</v>
      </c>
      <c r="D7" s="160" t="s">
        <v>100</v>
      </c>
      <c r="E7" s="160" t="s">
        <v>100</v>
      </c>
      <c r="F7" s="160" t="s">
        <v>100</v>
      </c>
      <c r="G7" s="160" t="s">
        <v>100</v>
      </c>
      <c r="H7" s="160" t="s">
        <v>100</v>
      </c>
      <c r="I7" s="160" t="s">
        <v>100</v>
      </c>
      <c r="J7" s="160" t="s">
        <v>100</v>
      </c>
      <c r="K7" s="160" t="s">
        <v>100</v>
      </c>
      <c r="L7" s="160" t="s">
        <v>100</v>
      </c>
      <c r="M7" s="160" t="s">
        <v>100</v>
      </c>
      <c r="N7" s="160" t="s">
        <v>100</v>
      </c>
      <c r="O7" s="160" t="s">
        <v>100</v>
      </c>
      <c r="P7" s="160" t="s">
        <v>100</v>
      </c>
      <c r="Q7" s="160" t="s">
        <v>100</v>
      </c>
      <c r="R7" s="160" t="s">
        <v>100</v>
      </c>
      <c r="S7" s="160" t="s">
        <v>100</v>
      </c>
      <c r="T7" s="161" t="s">
        <v>100</v>
      </c>
      <c r="U7" s="161" t="s">
        <v>100</v>
      </c>
      <c r="V7" s="161" t="s">
        <v>100</v>
      </c>
      <c r="W7" s="161" t="s">
        <v>100</v>
      </c>
      <c r="X7" s="161" t="s">
        <v>100</v>
      </c>
      <c r="Y7" s="162" t="s">
        <v>100</v>
      </c>
    </row>
    <row r="8" spans="1:25" ht="12" customHeight="1">
      <c r="A8" s="158" t="s">
        <v>71</v>
      </c>
      <c r="B8" s="159" t="s">
        <v>100</v>
      </c>
      <c r="C8" s="160" t="s">
        <v>100</v>
      </c>
      <c r="D8" s="160" t="s">
        <v>100</v>
      </c>
      <c r="E8" s="160" t="s">
        <v>100</v>
      </c>
      <c r="F8" s="160" t="s">
        <v>100</v>
      </c>
      <c r="G8" s="160" t="s">
        <v>100</v>
      </c>
      <c r="H8" s="160" t="s">
        <v>100</v>
      </c>
      <c r="I8" s="160" t="s">
        <v>100</v>
      </c>
      <c r="J8" s="160" t="s">
        <v>100</v>
      </c>
      <c r="K8" s="160" t="s">
        <v>100</v>
      </c>
      <c r="L8" s="160" t="s">
        <v>100</v>
      </c>
      <c r="M8" s="160" t="s">
        <v>100</v>
      </c>
      <c r="N8" s="160" t="s">
        <v>100</v>
      </c>
      <c r="O8" s="160" t="s">
        <v>100</v>
      </c>
      <c r="P8" s="160" t="s">
        <v>100</v>
      </c>
      <c r="Q8" s="160" t="s">
        <v>100</v>
      </c>
      <c r="R8" s="160" t="s">
        <v>100</v>
      </c>
      <c r="S8" s="160" t="s">
        <v>100</v>
      </c>
      <c r="T8" s="161" t="s">
        <v>100</v>
      </c>
      <c r="U8" s="161" t="s">
        <v>100</v>
      </c>
      <c r="V8" s="161" t="s">
        <v>100</v>
      </c>
      <c r="W8" s="161" t="s">
        <v>100</v>
      </c>
      <c r="X8" s="161" t="s">
        <v>100</v>
      </c>
      <c r="Y8" s="162" t="s">
        <v>100</v>
      </c>
    </row>
    <row r="9" spans="1:25" ht="12" customHeight="1">
      <c r="A9" s="158" t="s">
        <v>72</v>
      </c>
      <c r="B9" s="159" t="s">
        <v>100</v>
      </c>
      <c r="C9" s="160" t="s">
        <v>100</v>
      </c>
      <c r="D9" s="160" t="s">
        <v>100</v>
      </c>
      <c r="E9" s="160" t="s">
        <v>100</v>
      </c>
      <c r="F9" s="160" t="s">
        <v>100</v>
      </c>
      <c r="G9" s="160" t="s">
        <v>100</v>
      </c>
      <c r="H9" s="160" t="s">
        <v>100</v>
      </c>
      <c r="I9" s="160" t="s">
        <v>100</v>
      </c>
      <c r="J9" s="160" t="s">
        <v>100</v>
      </c>
      <c r="K9" s="160" t="s">
        <v>100</v>
      </c>
      <c r="L9" s="160" t="s">
        <v>100</v>
      </c>
      <c r="M9" s="160" t="s">
        <v>100</v>
      </c>
      <c r="N9" s="160" t="s">
        <v>100</v>
      </c>
      <c r="O9" s="160" t="s">
        <v>100</v>
      </c>
      <c r="P9" s="160" t="s">
        <v>100</v>
      </c>
      <c r="Q9" s="160" t="s">
        <v>100</v>
      </c>
      <c r="R9" s="160" t="s">
        <v>100</v>
      </c>
      <c r="S9" s="160" t="s">
        <v>100</v>
      </c>
      <c r="T9" s="161" t="s">
        <v>100</v>
      </c>
      <c r="U9" s="161" t="s">
        <v>100</v>
      </c>
      <c r="V9" s="161" t="s">
        <v>100</v>
      </c>
      <c r="W9" s="161" t="s">
        <v>100</v>
      </c>
      <c r="X9" s="161" t="s">
        <v>100</v>
      </c>
      <c r="Y9" s="162" t="s">
        <v>100</v>
      </c>
    </row>
    <row r="10" spans="1:25" ht="12" customHeight="1">
      <c r="A10" s="158" t="s">
        <v>73</v>
      </c>
      <c r="B10" s="159" t="s">
        <v>100</v>
      </c>
      <c r="C10" s="160" t="s">
        <v>100</v>
      </c>
      <c r="D10" s="160" t="s">
        <v>100</v>
      </c>
      <c r="E10" s="160" t="s">
        <v>100</v>
      </c>
      <c r="F10" s="160" t="s">
        <v>100</v>
      </c>
      <c r="G10" s="160" t="s">
        <v>100</v>
      </c>
      <c r="H10" s="160" t="s">
        <v>100</v>
      </c>
      <c r="I10" s="160" t="s">
        <v>100</v>
      </c>
      <c r="J10" s="160" t="s">
        <v>100</v>
      </c>
      <c r="K10" s="160" t="s">
        <v>100</v>
      </c>
      <c r="L10" s="160" t="s">
        <v>100</v>
      </c>
      <c r="M10" s="160" t="s">
        <v>100</v>
      </c>
      <c r="N10" s="160" t="s">
        <v>100</v>
      </c>
      <c r="O10" s="160" t="s">
        <v>100</v>
      </c>
      <c r="P10" s="160" t="s">
        <v>100</v>
      </c>
      <c r="Q10" s="160" t="s">
        <v>100</v>
      </c>
      <c r="R10" s="160" t="s">
        <v>100</v>
      </c>
      <c r="S10" s="160" t="s">
        <v>100</v>
      </c>
      <c r="T10" s="161" t="s">
        <v>100</v>
      </c>
      <c r="U10" s="161" t="s">
        <v>100</v>
      </c>
      <c r="V10" s="161" t="s">
        <v>100</v>
      </c>
      <c r="W10" s="161" t="s">
        <v>100</v>
      </c>
      <c r="X10" s="161" t="s">
        <v>100</v>
      </c>
      <c r="Y10" s="162" t="s">
        <v>100</v>
      </c>
    </row>
    <row r="11" spans="1:25" ht="12" customHeight="1">
      <c r="A11" s="158" t="s">
        <v>74</v>
      </c>
      <c r="B11" s="159" t="s">
        <v>100</v>
      </c>
      <c r="C11" s="160" t="s">
        <v>100</v>
      </c>
      <c r="D11" s="160" t="s">
        <v>100</v>
      </c>
      <c r="E11" s="160" t="s">
        <v>100</v>
      </c>
      <c r="F11" s="160" t="s">
        <v>100</v>
      </c>
      <c r="G11" s="160" t="s">
        <v>100</v>
      </c>
      <c r="H11" s="160" t="s">
        <v>100</v>
      </c>
      <c r="I11" s="160" t="s">
        <v>100</v>
      </c>
      <c r="J11" s="160" t="s">
        <v>100</v>
      </c>
      <c r="K11" s="160" t="s">
        <v>100</v>
      </c>
      <c r="L11" s="160" t="s">
        <v>100</v>
      </c>
      <c r="M11" s="160" t="s">
        <v>100</v>
      </c>
      <c r="N11" s="160" t="s">
        <v>100</v>
      </c>
      <c r="O11" s="160" t="s">
        <v>100</v>
      </c>
      <c r="P11" s="160" t="s">
        <v>100</v>
      </c>
      <c r="Q11" s="160" t="s">
        <v>100</v>
      </c>
      <c r="R11" s="160" t="s">
        <v>100</v>
      </c>
      <c r="S11" s="160" t="s">
        <v>100</v>
      </c>
      <c r="T11" s="161" t="s">
        <v>100</v>
      </c>
      <c r="U11" s="161" t="s">
        <v>100</v>
      </c>
      <c r="V11" s="161" t="s">
        <v>100</v>
      </c>
      <c r="W11" s="161" t="s">
        <v>100</v>
      </c>
      <c r="X11" s="161" t="s">
        <v>100</v>
      </c>
      <c r="Y11" s="162" t="s">
        <v>100</v>
      </c>
    </row>
    <row r="12" spans="1:25" ht="12" customHeight="1">
      <c r="A12" s="158" t="s">
        <v>75</v>
      </c>
      <c r="B12" s="159" t="s">
        <v>100</v>
      </c>
      <c r="C12" s="160" t="s">
        <v>100</v>
      </c>
      <c r="D12" s="160" t="s">
        <v>100</v>
      </c>
      <c r="E12" s="160" t="s">
        <v>100</v>
      </c>
      <c r="F12" s="160" t="s">
        <v>100</v>
      </c>
      <c r="G12" s="160" t="s">
        <v>100</v>
      </c>
      <c r="H12" s="160" t="s">
        <v>100</v>
      </c>
      <c r="I12" s="160" t="s">
        <v>100</v>
      </c>
      <c r="J12" s="160" t="s">
        <v>100</v>
      </c>
      <c r="K12" s="160" t="s">
        <v>100</v>
      </c>
      <c r="L12" s="160" t="s">
        <v>100</v>
      </c>
      <c r="M12" s="160" t="s">
        <v>100</v>
      </c>
      <c r="N12" s="160" t="s">
        <v>100</v>
      </c>
      <c r="O12" s="160" t="s">
        <v>100</v>
      </c>
      <c r="P12" s="160" t="s">
        <v>100</v>
      </c>
      <c r="Q12" s="160" t="s">
        <v>100</v>
      </c>
      <c r="R12" s="160" t="s">
        <v>100</v>
      </c>
      <c r="S12" s="160" t="s">
        <v>100</v>
      </c>
      <c r="T12" s="161" t="s">
        <v>100</v>
      </c>
      <c r="U12" s="161" t="s">
        <v>100</v>
      </c>
      <c r="V12" s="161" t="s">
        <v>100</v>
      </c>
      <c r="W12" s="161" t="s">
        <v>100</v>
      </c>
      <c r="X12" s="161" t="s">
        <v>100</v>
      </c>
      <c r="Y12" s="162" t="s">
        <v>100</v>
      </c>
    </row>
    <row r="13" spans="1:25" ht="12" customHeight="1">
      <c r="A13" s="158" t="s">
        <v>76</v>
      </c>
      <c r="B13" s="159" t="s">
        <v>100</v>
      </c>
      <c r="C13" s="160" t="s">
        <v>100</v>
      </c>
      <c r="D13" s="160" t="s">
        <v>100</v>
      </c>
      <c r="E13" s="160" t="s">
        <v>100</v>
      </c>
      <c r="F13" s="160" t="s">
        <v>100</v>
      </c>
      <c r="G13" s="160" t="s">
        <v>100</v>
      </c>
      <c r="H13" s="160" t="s">
        <v>100</v>
      </c>
      <c r="I13" s="160" t="s">
        <v>100</v>
      </c>
      <c r="J13" s="160" t="s">
        <v>100</v>
      </c>
      <c r="K13" s="160" t="s">
        <v>100</v>
      </c>
      <c r="L13" s="160" t="s">
        <v>100</v>
      </c>
      <c r="M13" s="160" t="s">
        <v>100</v>
      </c>
      <c r="N13" s="160" t="s">
        <v>100</v>
      </c>
      <c r="O13" s="160" t="s">
        <v>100</v>
      </c>
      <c r="P13" s="160" t="s">
        <v>100</v>
      </c>
      <c r="Q13" s="160" t="s">
        <v>100</v>
      </c>
      <c r="R13" s="160" t="s">
        <v>100</v>
      </c>
      <c r="S13" s="160" t="s">
        <v>100</v>
      </c>
      <c r="T13" s="161" t="s">
        <v>100</v>
      </c>
      <c r="U13" s="161" t="s">
        <v>100</v>
      </c>
      <c r="V13" s="161" t="s">
        <v>100</v>
      </c>
      <c r="W13" s="161" t="s">
        <v>100</v>
      </c>
      <c r="X13" s="161" t="s">
        <v>100</v>
      </c>
      <c r="Y13" s="162" t="s">
        <v>100</v>
      </c>
    </row>
    <row r="14" spans="1:25" ht="12" customHeight="1">
      <c r="A14" s="163" t="s">
        <v>77</v>
      </c>
      <c r="B14" s="164" t="s">
        <v>100</v>
      </c>
      <c r="C14" s="165" t="s">
        <v>100</v>
      </c>
      <c r="D14" s="165" t="s">
        <v>100</v>
      </c>
      <c r="E14" s="165" t="s">
        <v>100</v>
      </c>
      <c r="F14" s="165" t="s">
        <v>100</v>
      </c>
      <c r="G14" s="165" t="s">
        <v>100</v>
      </c>
      <c r="H14" s="165" t="s">
        <v>100</v>
      </c>
      <c r="I14" s="165" t="s">
        <v>100</v>
      </c>
      <c r="J14" s="165" t="s">
        <v>100</v>
      </c>
      <c r="K14" s="165" t="s">
        <v>100</v>
      </c>
      <c r="L14" s="165" t="s">
        <v>100</v>
      </c>
      <c r="M14" s="165" t="s">
        <v>100</v>
      </c>
      <c r="N14" s="165" t="s">
        <v>100</v>
      </c>
      <c r="O14" s="165" t="s">
        <v>100</v>
      </c>
      <c r="P14" s="165" t="s">
        <v>100</v>
      </c>
      <c r="Q14" s="165" t="s">
        <v>100</v>
      </c>
      <c r="R14" s="165" t="s">
        <v>100</v>
      </c>
      <c r="S14" s="165" t="s">
        <v>100</v>
      </c>
      <c r="T14" s="166" t="s">
        <v>100</v>
      </c>
      <c r="U14" s="166" t="s">
        <v>100</v>
      </c>
      <c r="V14" s="166" t="s">
        <v>100</v>
      </c>
      <c r="W14" s="166" t="s">
        <v>100</v>
      </c>
      <c r="X14" s="166" t="s">
        <v>100</v>
      </c>
      <c r="Y14" s="167" t="s">
        <v>100</v>
      </c>
    </row>
    <row r="15" spans="1:25" ht="12" customHeight="1" thickBot="1"/>
    <row r="16" spans="1:25" ht="12" customHeight="1">
      <c r="A16" s="145" t="s">
        <v>68</v>
      </c>
      <c r="B16" s="145"/>
      <c r="C16" s="145"/>
      <c r="D16" s="38" t="s">
        <v>33</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106</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69</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70</v>
      </c>
      <c r="B20" s="159" t="s">
        <v>100</v>
      </c>
      <c r="C20" s="160" t="s">
        <v>100</v>
      </c>
      <c r="D20" s="160" t="s">
        <v>100</v>
      </c>
      <c r="E20" s="160" t="s">
        <v>100</v>
      </c>
      <c r="F20" s="160" t="s">
        <v>100</v>
      </c>
      <c r="G20" s="160" t="s">
        <v>100</v>
      </c>
      <c r="H20" s="160" t="s">
        <v>100</v>
      </c>
      <c r="I20" s="160" t="s">
        <v>100</v>
      </c>
      <c r="J20" s="160" t="s">
        <v>100</v>
      </c>
      <c r="K20" s="160" t="s">
        <v>100</v>
      </c>
      <c r="L20" s="160" t="s">
        <v>100</v>
      </c>
      <c r="M20" s="160" t="s">
        <v>100</v>
      </c>
      <c r="N20" s="160" t="s">
        <v>100</v>
      </c>
      <c r="O20" s="160" t="s">
        <v>100</v>
      </c>
      <c r="P20" s="160" t="s">
        <v>100</v>
      </c>
      <c r="Q20" s="160" t="s">
        <v>100</v>
      </c>
      <c r="R20" s="160" t="s">
        <v>100</v>
      </c>
      <c r="S20" s="160" t="s">
        <v>100</v>
      </c>
      <c r="T20" s="161" t="s">
        <v>100</v>
      </c>
      <c r="U20" s="161" t="s">
        <v>100</v>
      </c>
      <c r="V20" s="161" t="s">
        <v>100</v>
      </c>
      <c r="W20" s="161" t="s">
        <v>100</v>
      </c>
      <c r="X20" s="161" t="s">
        <v>100</v>
      </c>
      <c r="Y20" s="162" t="s">
        <v>100</v>
      </c>
    </row>
    <row r="21" spans="1:25" ht="12" customHeight="1">
      <c r="A21" s="158" t="s">
        <v>71</v>
      </c>
      <c r="B21" s="159" t="s">
        <v>100</v>
      </c>
      <c r="C21" s="160" t="s">
        <v>100</v>
      </c>
      <c r="D21" s="160" t="s">
        <v>100</v>
      </c>
      <c r="E21" s="160" t="s">
        <v>100</v>
      </c>
      <c r="F21" s="160" t="s">
        <v>100</v>
      </c>
      <c r="G21" s="160" t="s">
        <v>100</v>
      </c>
      <c r="H21" s="160" t="s">
        <v>100</v>
      </c>
      <c r="I21" s="160" t="s">
        <v>100</v>
      </c>
      <c r="J21" s="160" t="s">
        <v>100</v>
      </c>
      <c r="K21" s="160" t="s">
        <v>100</v>
      </c>
      <c r="L21" s="160" t="s">
        <v>100</v>
      </c>
      <c r="M21" s="160" t="s">
        <v>100</v>
      </c>
      <c r="N21" s="160" t="s">
        <v>100</v>
      </c>
      <c r="O21" s="160" t="s">
        <v>100</v>
      </c>
      <c r="P21" s="160" t="s">
        <v>100</v>
      </c>
      <c r="Q21" s="160" t="s">
        <v>100</v>
      </c>
      <c r="R21" s="160" t="s">
        <v>100</v>
      </c>
      <c r="S21" s="160" t="s">
        <v>100</v>
      </c>
      <c r="T21" s="161" t="s">
        <v>100</v>
      </c>
      <c r="U21" s="161" t="s">
        <v>100</v>
      </c>
      <c r="V21" s="161" t="s">
        <v>100</v>
      </c>
      <c r="W21" s="161" t="s">
        <v>100</v>
      </c>
      <c r="X21" s="161" t="s">
        <v>100</v>
      </c>
      <c r="Y21" s="162" t="s">
        <v>100</v>
      </c>
    </row>
    <row r="22" spans="1:25" ht="12" customHeight="1">
      <c r="A22" s="158" t="s">
        <v>72</v>
      </c>
      <c r="B22" s="159" t="s">
        <v>100</v>
      </c>
      <c r="C22" s="160" t="s">
        <v>100</v>
      </c>
      <c r="D22" s="160" t="s">
        <v>100</v>
      </c>
      <c r="E22" s="160" t="s">
        <v>100</v>
      </c>
      <c r="F22" s="160" t="s">
        <v>100</v>
      </c>
      <c r="G22" s="160" t="s">
        <v>100</v>
      </c>
      <c r="H22" s="160" t="s">
        <v>100</v>
      </c>
      <c r="I22" s="160" t="s">
        <v>100</v>
      </c>
      <c r="J22" s="160" t="s">
        <v>100</v>
      </c>
      <c r="K22" s="160" t="s">
        <v>100</v>
      </c>
      <c r="L22" s="160" t="s">
        <v>100</v>
      </c>
      <c r="M22" s="160" t="s">
        <v>100</v>
      </c>
      <c r="N22" s="160" t="s">
        <v>100</v>
      </c>
      <c r="O22" s="160" t="s">
        <v>100</v>
      </c>
      <c r="P22" s="160" t="s">
        <v>100</v>
      </c>
      <c r="Q22" s="160" t="s">
        <v>100</v>
      </c>
      <c r="R22" s="160" t="s">
        <v>100</v>
      </c>
      <c r="S22" s="160" t="s">
        <v>100</v>
      </c>
      <c r="T22" s="161" t="s">
        <v>100</v>
      </c>
      <c r="U22" s="161" t="s">
        <v>100</v>
      </c>
      <c r="V22" s="161" t="s">
        <v>100</v>
      </c>
      <c r="W22" s="161" t="s">
        <v>100</v>
      </c>
      <c r="X22" s="161" t="s">
        <v>100</v>
      </c>
      <c r="Y22" s="162" t="s">
        <v>100</v>
      </c>
    </row>
    <row r="23" spans="1:25" ht="12" customHeight="1">
      <c r="A23" s="158" t="s">
        <v>73</v>
      </c>
      <c r="B23" s="159" t="s">
        <v>100</v>
      </c>
      <c r="C23" s="160" t="s">
        <v>100</v>
      </c>
      <c r="D23" s="160" t="s">
        <v>100</v>
      </c>
      <c r="E23" s="160" t="s">
        <v>100</v>
      </c>
      <c r="F23" s="160" t="s">
        <v>100</v>
      </c>
      <c r="G23" s="160" t="s">
        <v>100</v>
      </c>
      <c r="H23" s="160" t="s">
        <v>100</v>
      </c>
      <c r="I23" s="160" t="s">
        <v>100</v>
      </c>
      <c r="J23" s="160" t="s">
        <v>100</v>
      </c>
      <c r="K23" s="160" t="s">
        <v>100</v>
      </c>
      <c r="L23" s="160" t="s">
        <v>100</v>
      </c>
      <c r="M23" s="160" t="s">
        <v>100</v>
      </c>
      <c r="N23" s="160" t="s">
        <v>100</v>
      </c>
      <c r="O23" s="160" t="s">
        <v>100</v>
      </c>
      <c r="P23" s="160" t="s">
        <v>100</v>
      </c>
      <c r="Q23" s="160" t="s">
        <v>100</v>
      </c>
      <c r="R23" s="160" t="s">
        <v>100</v>
      </c>
      <c r="S23" s="160" t="s">
        <v>100</v>
      </c>
      <c r="T23" s="161" t="s">
        <v>100</v>
      </c>
      <c r="U23" s="161" t="s">
        <v>100</v>
      </c>
      <c r="V23" s="161" t="s">
        <v>100</v>
      </c>
      <c r="W23" s="161" t="s">
        <v>100</v>
      </c>
      <c r="X23" s="161" t="s">
        <v>100</v>
      </c>
      <c r="Y23" s="162" t="s">
        <v>100</v>
      </c>
    </row>
    <row r="24" spans="1:25" ht="12" customHeight="1">
      <c r="A24" s="158" t="s">
        <v>74</v>
      </c>
      <c r="B24" s="159" t="s">
        <v>100</v>
      </c>
      <c r="C24" s="160" t="s">
        <v>100</v>
      </c>
      <c r="D24" s="160" t="s">
        <v>100</v>
      </c>
      <c r="E24" s="160" t="s">
        <v>100</v>
      </c>
      <c r="F24" s="160" t="s">
        <v>100</v>
      </c>
      <c r="G24" s="160" t="s">
        <v>100</v>
      </c>
      <c r="H24" s="160" t="s">
        <v>100</v>
      </c>
      <c r="I24" s="160" t="s">
        <v>100</v>
      </c>
      <c r="J24" s="160" t="s">
        <v>100</v>
      </c>
      <c r="K24" s="160" t="s">
        <v>100</v>
      </c>
      <c r="L24" s="160" t="s">
        <v>100</v>
      </c>
      <c r="M24" s="160" t="s">
        <v>100</v>
      </c>
      <c r="N24" s="160" t="s">
        <v>100</v>
      </c>
      <c r="O24" s="160" t="s">
        <v>100</v>
      </c>
      <c r="P24" s="160" t="s">
        <v>100</v>
      </c>
      <c r="Q24" s="160" t="s">
        <v>100</v>
      </c>
      <c r="R24" s="160" t="s">
        <v>100</v>
      </c>
      <c r="S24" s="160" t="s">
        <v>100</v>
      </c>
      <c r="T24" s="161" t="s">
        <v>100</v>
      </c>
      <c r="U24" s="161" t="s">
        <v>100</v>
      </c>
      <c r="V24" s="161" t="s">
        <v>100</v>
      </c>
      <c r="W24" s="161" t="s">
        <v>100</v>
      </c>
      <c r="X24" s="161" t="s">
        <v>100</v>
      </c>
      <c r="Y24" s="162" t="s">
        <v>100</v>
      </c>
    </row>
    <row r="25" spans="1:25" ht="12" customHeight="1">
      <c r="A25" s="158" t="s">
        <v>75</v>
      </c>
      <c r="B25" s="159" t="s">
        <v>100</v>
      </c>
      <c r="C25" s="160" t="s">
        <v>100</v>
      </c>
      <c r="D25" s="160" t="s">
        <v>100</v>
      </c>
      <c r="E25" s="160" t="s">
        <v>100</v>
      </c>
      <c r="F25" s="160" t="s">
        <v>100</v>
      </c>
      <c r="G25" s="160" t="s">
        <v>100</v>
      </c>
      <c r="H25" s="160" t="s">
        <v>100</v>
      </c>
      <c r="I25" s="160" t="s">
        <v>100</v>
      </c>
      <c r="J25" s="160" t="s">
        <v>100</v>
      </c>
      <c r="K25" s="160" t="s">
        <v>100</v>
      </c>
      <c r="L25" s="160" t="s">
        <v>100</v>
      </c>
      <c r="M25" s="160" t="s">
        <v>100</v>
      </c>
      <c r="N25" s="160" t="s">
        <v>100</v>
      </c>
      <c r="O25" s="160" t="s">
        <v>100</v>
      </c>
      <c r="P25" s="160" t="s">
        <v>100</v>
      </c>
      <c r="Q25" s="160" t="s">
        <v>100</v>
      </c>
      <c r="R25" s="160" t="s">
        <v>100</v>
      </c>
      <c r="S25" s="160" t="s">
        <v>100</v>
      </c>
      <c r="T25" s="161" t="s">
        <v>100</v>
      </c>
      <c r="U25" s="161" t="s">
        <v>100</v>
      </c>
      <c r="V25" s="161" t="s">
        <v>100</v>
      </c>
      <c r="W25" s="161" t="s">
        <v>100</v>
      </c>
      <c r="X25" s="161" t="s">
        <v>100</v>
      </c>
      <c r="Y25" s="162" t="s">
        <v>100</v>
      </c>
    </row>
    <row r="26" spans="1:25" ht="12" customHeight="1">
      <c r="A26" s="158" t="s">
        <v>76</v>
      </c>
      <c r="B26" s="159" t="s">
        <v>100</v>
      </c>
      <c r="C26" s="160" t="s">
        <v>100</v>
      </c>
      <c r="D26" s="160" t="s">
        <v>100</v>
      </c>
      <c r="E26" s="160" t="s">
        <v>100</v>
      </c>
      <c r="F26" s="160" t="s">
        <v>100</v>
      </c>
      <c r="G26" s="160" t="s">
        <v>100</v>
      </c>
      <c r="H26" s="160" t="s">
        <v>100</v>
      </c>
      <c r="I26" s="160" t="s">
        <v>100</v>
      </c>
      <c r="J26" s="160" t="s">
        <v>100</v>
      </c>
      <c r="K26" s="160" t="s">
        <v>100</v>
      </c>
      <c r="L26" s="160" t="s">
        <v>100</v>
      </c>
      <c r="M26" s="160" t="s">
        <v>100</v>
      </c>
      <c r="N26" s="160" t="s">
        <v>100</v>
      </c>
      <c r="O26" s="160" t="s">
        <v>100</v>
      </c>
      <c r="P26" s="160" t="s">
        <v>100</v>
      </c>
      <c r="Q26" s="160" t="s">
        <v>100</v>
      </c>
      <c r="R26" s="160" t="s">
        <v>100</v>
      </c>
      <c r="S26" s="160" t="s">
        <v>100</v>
      </c>
      <c r="T26" s="161" t="s">
        <v>100</v>
      </c>
      <c r="U26" s="161" t="s">
        <v>100</v>
      </c>
      <c r="V26" s="161" t="s">
        <v>100</v>
      </c>
      <c r="W26" s="161" t="s">
        <v>100</v>
      </c>
      <c r="X26" s="161" t="s">
        <v>100</v>
      </c>
      <c r="Y26" s="162" t="s">
        <v>100</v>
      </c>
    </row>
    <row r="27" spans="1:25" ht="12" customHeight="1">
      <c r="A27" s="163" t="s">
        <v>77</v>
      </c>
      <c r="B27" s="164" t="s">
        <v>100</v>
      </c>
      <c r="C27" s="165" t="s">
        <v>100</v>
      </c>
      <c r="D27" s="165" t="s">
        <v>100</v>
      </c>
      <c r="E27" s="165" t="s">
        <v>100</v>
      </c>
      <c r="F27" s="165" t="s">
        <v>100</v>
      </c>
      <c r="G27" s="165" t="s">
        <v>100</v>
      </c>
      <c r="H27" s="165" t="s">
        <v>100</v>
      </c>
      <c r="I27" s="165" t="s">
        <v>100</v>
      </c>
      <c r="J27" s="165" t="s">
        <v>100</v>
      </c>
      <c r="K27" s="165" t="s">
        <v>100</v>
      </c>
      <c r="L27" s="165" t="s">
        <v>100</v>
      </c>
      <c r="M27" s="165" t="s">
        <v>100</v>
      </c>
      <c r="N27" s="165" t="s">
        <v>100</v>
      </c>
      <c r="O27" s="165" t="s">
        <v>100</v>
      </c>
      <c r="P27" s="165" t="s">
        <v>100</v>
      </c>
      <c r="Q27" s="165" t="s">
        <v>100</v>
      </c>
      <c r="R27" s="165" t="s">
        <v>100</v>
      </c>
      <c r="S27" s="165" t="s">
        <v>100</v>
      </c>
      <c r="T27" s="166" t="s">
        <v>100</v>
      </c>
      <c r="U27" s="166" t="s">
        <v>100</v>
      </c>
      <c r="V27" s="166" t="s">
        <v>100</v>
      </c>
      <c r="W27" s="166" t="s">
        <v>100</v>
      </c>
      <c r="X27" s="166" t="s">
        <v>100</v>
      </c>
      <c r="Y27" s="167" t="s">
        <v>100</v>
      </c>
    </row>
    <row r="28" spans="1:25" ht="12" customHeight="1" thickBot="1"/>
    <row r="29" spans="1:25" ht="12" customHeight="1">
      <c r="A29" s="145" t="s">
        <v>68</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102</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69</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70</v>
      </c>
      <c r="B33" s="159" t="s">
        <v>100</v>
      </c>
      <c r="C33" s="160" t="s">
        <v>100</v>
      </c>
      <c r="D33" s="160" t="s">
        <v>100</v>
      </c>
      <c r="E33" s="160" t="s">
        <v>100</v>
      </c>
      <c r="F33" s="160" t="s">
        <v>100</v>
      </c>
      <c r="G33" s="160" t="s">
        <v>100</v>
      </c>
      <c r="H33" s="160" t="s">
        <v>100</v>
      </c>
      <c r="I33" s="160" t="s">
        <v>100</v>
      </c>
      <c r="J33" s="160" t="s">
        <v>100</v>
      </c>
      <c r="K33" s="160" t="s">
        <v>100</v>
      </c>
      <c r="L33" s="160" t="s">
        <v>100</v>
      </c>
      <c r="M33" s="160" t="s">
        <v>100</v>
      </c>
      <c r="N33" s="160" t="s">
        <v>100</v>
      </c>
      <c r="O33" s="160" t="s">
        <v>100</v>
      </c>
      <c r="P33" s="160" t="s">
        <v>100</v>
      </c>
      <c r="Q33" s="160" t="s">
        <v>100</v>
      </c>
      <c r="R33" s="160" t="s">
        <v>100</v>
      </c>
      <c r="S33" s="160" t="s">
        <v>100</v>
      </c>
      <c r="T33" s="161" t="s">
        <v>100</v>
      </c>
      <c r="U33" s="161" t="s">
        <v>100</v>
      </c>
      <c r="V33" s="161" t="s">
        <v>100</v>
      </c>
      <c r="W33" s="161" t="s">
        <v>100</v>
      </c>
      <c r="X33" s="161" t="s">
        <v>100</v>
      </c>
      <c r="Y33" s="162" t="s">
        <v>100</v>
      </c>
    </row>
    <row r="34" spans="1:25" ht="12" customHeight="1">
      <c r="A34" s="158" t="s">
        <v>71</v>
      </c>
      <c r="B34" s="159" t="s">
        <v>100</v>
      </c>
      <c r="C34" s="160" t="s">
        <v>100</v>
      </c>
      <c r="D34" s="160" t="s">
        <v>100</v>
      </c>
      <c r="E34" s="160" t="s">
        <v>100</v>
      </c>
      <c r="F34" s="160" t="s">
        <v>100</v>
      </c>
      <c r="G34" s="160" t="s">
        <v>100</v>
      </c>
      <c r="H34" s="160" t="s">
        <v>100</v>
      </c>
      <c r="I34" s="160" t="s">
        <v>100</v>
      </c>
      <c r="J34" s="160" t="s">
        <v>100</v>
      </c>
      <c r="K34" s="160" t="s">
        <v>100</v>
      </c>
      <c r="L34" s="160" t="s">
        <v>100</v>
      </c>
      <c r="M34" s="160" t="s">
        <v>100</v>
      </c>
      <c r="N34" s="160" t="s">
        <v>100</v>
      </c>
      <c r="O34" s="160" t="s">
        <v>100</v>
      </c>
      <c r="P34" s="160" t="s">
        <v>100</v>
      </c>
      <c r="Q34" s="160" t="s">
        <v>100</v>
      </c>
      <c r="R34" s="160" t="s">
        <v>100</v>
      </c>
      <c r="S34" s="160" t="s">
        <v>100</v>
      </c>
      <c r="T34" s="161" t="s">
        <v>100</v>
      </c>
      <c r="U34" s="161" t="s">
        <v>100</v>
      </c>
      <c r="V34" s="161" t="s">
        <v>100</v>
      </c>
      <c r="W34" s="161" t="s">
        <v>100</v>
      </c>
      <c r="X34" s="161" t="s">
        <v>100</v>
      </c>
      <c r="Y34" s="162" t="s">
        <v>100</v>
      </c>
    </row>
    <row r="35" spans="1:25" ht="12" customHeight="1">
      <c r="A35" s="158" t="s">
        <v>72</v>
      </c>
      <c r="B35" s="159" t="s">
        <v>100</v>
      </c>
      <c r="C35" s="160" t="s">
        <v>100</v>
      </c>
      <c r="D35" s="160" t="s">
        <v>100</v>
      </c>
      <c r="E35" s="160" t="s">
        <v>100</v>
      </c>
      <c r="F35" s="160" t="s">
        <v>100</v>
      </c>
      <c r="G35" s="160" t="s">
        <v>100</v>
      </c>
      <c r="H35" s="160" t="s">
        <v>100</v>
      </c>
      <c r="I35" s="160" t="s">
        <v>100</v>
      </c>
      <c r="J35" s="160" t="s">
        <v>100</v>
      </c>
      <c r="K35" s="160" t="s">
        <v>100</v>
      </c>
      <c r="L35" s="160" t="s">
        <v>100</v>
      </c>
      <c r="M35" s="160" t="s">
        <v>100</v>
      </c>
      <c r="N35" s="160" t="s">
        <v>100</v>
      </c>
      <c r="O35" s="160" t="s">
        <v>100</v>
      </c>
      <c r="P35" s="160" t="s">
        <v>100</v>
      </c>
      <c r="Q35" s="160" t="s">
        <v>100</v>
      </c>
      <c r="R35" s="160" t="s">
        <v>100</v>
      </c>
      <c r="S35" s="160" t="s">
        <v>100</v>
      </c>
      <c r="T35" s="161" t="s">
        <v>100</v>
      </c>
      <c r="U35" s="161" t="s">
        <v>100</v>
      </c>
      <c r="V35" s="161" t="s">
        <v>100</v>
      </c>
      <c r="W35" s="161" t="s">
        <v>100</v>
      </c>
      <c r="X35" s="161" t="s">
        <v>100</v>
      </c>
      <c r="Y35" s="162" t="s">
        <v>100</v>
      </c>
    </row>
    <row r="36" spans="1:25" ht="12" customHeight="1">
      <c r="A36" s="158" t="s">
        <v>73</v>
      </c>
      <c r="B36" s="159" t="s">
        <v>100</v>
      </c>
      <c r="C36" s="160" t="s">
        <v>100</v>
      </c>
      <c r="D36" s="160" t="s">
        <v>100</v>
      </c>
      <c r="E36" s="160" t="s">
        <v>100</v>
      </c>
      <c r="F36" s="160" t="s">
        <v>100</v>
      </c>
      <c r="G36" s="160" t="s">
        <v>100</v>
      </c>
      <c r="H36" s="160" t="s">
        <v>100</v>
      </c>
      <c r="I36" s="160" t="s">
        <v>100</v>
      </c>
      <c r="J36" s="160" t="s">
        <v>100</v>
      </c>
      <c r="K36" s="160" t="s">
        <v>100</v>
      </c>
      <c r="L36" s="160" t="s">
        <v>100</v>
      </c>
      <c r="M36" s="160" t="s">
        <v>100</v>
      </c>
      <c r="N36" s="160" t="s">
        <v>100</v>
      </c>
      <c r="O36" s="160" t="s">
        <v>100</v>
      </c>
      <c r="P36" s="160" t="s">
        <v>100</v>
      </c>
      <c r="Q36" s="160" t="s">
        <v>100</v>
      </c>
      <c r="R36" s="160" t="s">
        <v>100</v>
      </c>
      <c r="S36" s="160" t="s">
        <v>100</v>
      </c>
      <c r="T36" s="161" t="s">
        <v>100</v>
      </c>
      <c r="U36" s="161" t="s">
        <v>100</v>
      </c>
      <c r="V36" s="161" t="s">
        <v>100</v>
      </c>
      <c r="W36" s="161" t="s">
        <v>100</v>
      </c>
      <c r="X36" s="161" t="s">
        <v>100</v>
      </c>
      <c r="Y36" s="162" t="s">
        <v>100</v>
      </c>
    </row>
    <row r="37" spans="1:25" ht="12" customHeight="1">
      <c r="A37" s="158" t="s">
        <v>74</v>
      </c>
      <c r="B37" s="159" t="s">
        <v>100</v>
      </c>
      <c r="C37" s="160" t="s">
        <v>100</v>
      </c>
      <c r="D37" s="160" t="s">
        <v>100</v>
      </c>
      <c r="E37" s="160" t="s">
        <v>100</v>
      </c>
      <c r="F37" s="160" t="s">
        <v>100</v>
      </c>
      <c r="G37" s="160" t="s">
        <v>100</v>
      </c>
      <c r="H37" s="160" t="s">
        <v>100</v>
      </c>
      <c r="I37" s="160" t="s">
        <v>100</v>
      </c>
      <c r="J37" s="160" t="s">
        <v>100</v>
      </c>
      <c r="K37" s="160" t="s">
        <v>100</v>
      </c>
      <c r="L37" s="160" t="s">
        <v>100</v>
      </c>
      <c r="M37" s="160" t="s">
        <v>100</v>
      </c>
      <c r="N37" s="160" t="s">
        <v>100</v>
      </c>
      <c r="O37" s="160" t="s">
        <v>100</v>
      </c>
      <c r="P37" s="160" t="s">
        <v>100</v>
      </c>
      <c r="Q37" s="160" t="s">
        <v>100</v>
      </c>
      <c r="R37" s="160" t="s">
        <v>100</v>
      </c>
      <c r="S37" s="160" t="s">
        <v>100</v>
      </c>
      <c r="T37" s="161" t="s">
        <v>100</v>
      </c>
      <c r="U37" s="161" t="s">
        <v>100</v>
      </c>
      <c r="V37" s="161" t="s">
        <v>100</v>
      </c>
      <c r="W37" s="161" t="s">
        <v>100</v>
      </c>
      <c r="X37" s="161" t="s">
        <v>100</v>
      </c>
      <c r="Y37" s="162" t="s">
        <v>100</v>
      </c>
    </row>
    <row r="38" spans="1:25" ht="12" customHeight="1">
      <c r="A38" s="158" t="s">
        <v>75</v>
      </c>
      <c r="B38" s="159" t="s">
        <v>100</v>
      </c>
      <c r="C38" s="160" t="s">
        <v>100</v>
      </c>
      <c r="D38" s="160" t="s">
        <v>100</v>
      </c>
      <c r="E38" s="160" t="s">
        <v>100</v>
      </c>
      <c r="F38" s="160" t="s">
        <v>100</v>
      </c>
      <c r="G38" s="160" t="s">
        <v>100</v>
      </c>
      <c r="H38" s="160" t="s">
        <v>100</v>
      </c>
      <c r="I38" s="160" t="s">
        <v>100</v>
      </c>
      <c r="J38" s="160" t="s">
        <v>100</v>
      </c>
      <c r="K38" s="160" t="s">
        <v>100</v>
      </c>
      <c r="L38" s="160" t="s">
        <v>100</v>
      </c>
      <c r="M38" s="160" t="s">
        <v>100</v>
      </c>
      <c r="N38" s="160" t="s">
        <v>100</v>
      </c>
      <c r="O38" s="160" t="s">
        <v>100</v>
      </c>
      <c r="P38" s="160" t="s">
        <v>100</v>
      </c>
      <c r="Q38" s="160" t="s">
        <v>100</v>
      </c>
      <c r="R38" s="160" t="s">
        <v>100</v>
      </c>
      <c r="S38" s="160" t="s">
        <v>100</v>
      </c>
      <c r="T38" s="161" t="s">
        <v>100</v>
      </c>
      <c r="U38" s="161" t="s">
        <v>100</v>
      </c>
      <c r="V38" s="161" t="s">
        <v>100</v>
      </c>
      <c r="W38" s="161" t="s">
        <v>100</v>
      </c>
      <c r="X38" s="161" t="s">
        <v>100</v>
      </c>
      <c r="Y38" s="162" t="s">
        <v>100</v>
      </c>
    </row>
    <row r="39" spans="1:25" ht="12" customHeight="1">
      <c r="A39" s="158" t="s">
        <v>76</v>
      </c>
      <c r="B39" s="159" t="s">
        <v>100</v>
      </c>
      <c r="C39" s="160" t="s">
        <v>100</v>
      </c>
      <c r="D39" s="160" t="s">
        <v>100</v>
      </c>
      <c r="E39" s="160" t="s">
        <v>100</v>
      </c>
      <c r="F39" s="160" t="s">
        <v>100</v>
      </c>
      <c r="G39" s="160" t="s">
        <v>100</v>
      </c>
      <c r="H39" s="160" t="s">
        <v>100</v>
      </c>
      <c r="I39" s="160" t="s">
        <v>100</v>
      </c>
      <c r="J39" s="160" t="s">
        <v>100</v>
      </c>
      <c r="K39" s="160" t="s">
        <v>100</v>
      </c>
      <c r="L39" s="160" t="s">
        <v>100</v>
      </c>
      <c r="M39" s="160" t="s">
        <v>100</v>
      </c>
      <c r="N39" s="160" t="s">
        <v>100</v>
      </c>
      <c r="O39" s="160" t="s">
        <v>100</v>
      </c>
      <c r="P39" s="160" t="s">
        <v>100</v>
      </c>
      <c r="Q39" s="160" t="s">
        <v>100</v>
      </c>
      <c r="R39" s="160" t="s">
        <v>100</v>
      </c>
      <c r="S39" s="160" t="s">
        <v>100</v>
      </c>
      <c r="T39" s="161" t="s">
        <v>100</v>
      </c>
      <c r="U39" s="161" t="s">
        <v>100</v>
      </c>
      <c r="V39" s="161" t="s">
        <v>100</v>
      </c>
      <c r="W39" s="161" t="s">
        <v>100</v>
      </c>
      <c r="X39" s="161" t="s">
        <v>100</v>
      </c>
      <c r="Y39" s="162" t="s">
        <v>100</v>
      </c>
    </row>
    <row r="40" spans="1:25" ht="12" customHeight="1">
      <c r="A40" s="163" t="s">
        <v>77</v>
      </c>
      <c r="B40" s="164" t="s">
        <v>100</v>
      </c>
      <c r="C40" s="165" t="s">
        <v>100</v>
      </c>
      <c r="D40" s="165" t="s">
        <v>100</v>
      </c>
      <c r="E40" s="165" t="s">
        <v>100</v>
      </c>
      <c r="F40" s="165" t="s">
        <v>100</v>
      </c>
      <c r="G40" s="165" t="s">
        <v>100</v>
      </c>
      <c r="H40" s="165" t="s">
        <v>100</v>
      </c>
      <c r="I40" s="165" t="s">
        <v>100</v>
      </c>
      <c r="J40" s="165" t="s">
        <v>100</v>
      </c>
      <c r="K40" s="165" t="s">
        <v>100</v>
      </c>
      <c r="L40" s="165" t="s">
        <v>100</v>
      </c>
      <c r="M40" s="165" t="s">
        <v>100</v>
      </c>
      <c r="N40" s="165" t="s">
        <v>100</v>
      </c>
      <c r="O40" s="165" t="s">
        <v>100</v>
      </c>
      <c r="P40" s="165" t="s">
        <v>100</v>
      </c>
      <c r="Q40" s="165" t="s">
        <v>100</v>
      </c>
      <c r="R40" s="165" t="s">
        <v>100</v>
      </c>
      <c r="S40" s="165" t="s">
        <v>100</v>
      </c>
      <c r="T40" s="166" t="s">
        <v>100</v>
      </c>
      <c r="U40" s="166" t="s">
        <v>100</v>
      </c>
      <c r="V40" s="166" t="s">
        <v>100</v>
      </c>
      <c r="W40" s="166" t="s">
        <v>100</v>
      </c>
      <c r="X40" s="166" t="s">
        <v>100</v>
      </c>
      <c r="Y40" s="167" t="s">
        <v>100</v>
      </c>
    </row>
    <row r="42" spans="1:25" ht="12" customHeight="1">
      <c r="A42" s="145" t="s">
        <v>78</v>
      </c>
      <c r="B42" s="145"/>
      <c r="C42" s="145"/>
      <c r="D42" s="145"/>
      <c r="E42" s="145"/>
      <c r="G42" s="145"/>
      <c r="H42" s="145"/>
      <c r="I42" s="145"/>
      <c r="J42" s="145"/>
      <c r="K42" s="145"/>
    </row>
    <row r="43" spans="1:25" ht="15" customHeight="1">
      <c r="A43" s="168" t="s">
        <v>79</v>
      </c>
      <c r="B43" s="169" t="s">
        <v>80</v>
      </c>
      <c r="C43" s="170" t="s">
        <v>81</v>
      </c>
      <c r="D43" s="169" t="s">
        <v>80</v>
      </c>
      <c r="E43" s="170" t="s">
        <v>81</v>
      </c>
      <c r="F43" s="169" t="s">
        <v>80</v>
      </c>
      <c r="G43" s="170" t="s">
        <v>81</v>
      </c>
      <c r="H43" s="169" t="s">
        <v>80</v>
      </c>
      <c r="I43" s="170" t="s">
        <v>81</v>
      </c>
      <c r="J43" s="169" t="s">
        <v>80</v>
      </c>
      <c r="K43" s="170" t="s">
        <v>81</v>
      </c>
      <c r="L43" s="169" t="s">
        <v>80</v>
      </c>
      <c r="M43" s="171" t="s">
        <v>80</v>
      </c>
      <c r="N43" s="169" t="s">
        <v>80</v>
      </c>
      <c r="P43" s="73" t="s">
        <v>51</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87</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88</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89</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90</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91</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92</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103</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104</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7" customWidth="1"/>
    <col min="2" max="2" width="42.7109375" style="207" customWidth="1"/>
    <col min="3" max="5" width="24.7109375" style="207" customWidth="1"/>
    <col min="6" max="16384" width="10.28515625" style="207"/>
  </cols>
  <sheetData>
    <row r="1" spans="1:26" ht="18" customHeight="1">
      <c r="A1" s="204" t="s">
        <v>110</v>
      </c>
      <c r="B1" s="205"/>
      <c r="C1" s="205"/>
      <c r="D1" s="205"/>
      <c r="E1" s="206"/>
    </row>
    <row r="2" spans="1:26" ht="15" customHeight="1">
      <c r="A2" s="208"/>
      <c r="B2" s="209"/>
      <c r="C2" s="209"/>
      <c r="D2" s="209"/>
      <c r="E2" s="210" t="s">
        <v>111</v>
      </c>
    </row>
    <row r="3" spans="1:26" ht="15" customHeight="1">
      <c r="A3" s="211" t="s">
        <v>113</v>
      </c>
      <c r="B3" s="212" t="s">
        <v>114</v>
      </c>
      <c r="C3" s="213" t="s">
        <v>115</v>
      </c>
      <c r="D3" s="213"/>
      <c r="E3" s="214"/>
      <c r="Z3" s="215"/>
    </row>
    <row r="4" spans="1:26" ht="21" customHeight="1">
      <c r="A4" s="216"/>
      <c r="B4" s="217"/>
      <c r="C4" s="218" t="s">
        <v>116</v>
      </c>
      <c r="D4" s="219" t="s">
        <v>117</v>
      </c>
      <c r="E4" s="220" t="s">
        <v>118</v>
      </c>
      <c r="Z4" s="215"/>
    </row>
    <row r="5" spans="1:26" ht="15" customHeight="1">
      <c r="A5" s="221" t="s">
        <v>119</v>
      </c>
      <c r="B5" s="222" t="s">
        <v>120</v>
      </c>
      <c r="C5" s="223" t="s">
        <v>121</v>
      </c>
      <c r="D5" s="223" t="s">
        <v>121</v>
      </c>
      <c r="E5" s="224" t="s">
        <v>121</v>
      </c>
      <c r="F5" s="215"/>
      <c r="G5" s="215"/>
      <c r="H5" s="215"/>
      <c r="I5" s="215"/>
      <c r="J5" s="215"/>
      <c r="K5" s="215"/>
      <c r="L5" s="215"/>
      <c r="M5" s="215"/>
      <c r="N5" s="215"/>
      <c r="O5" s="215"/>
      <c r="P5" s="215"/>
      <c r="Q5" s="215"/>
      <c r="R5" s="215"/>
      <c r="S5" s="215"/>
      <c r="T5" s="215"/>
      <c r="U5" s="215"/>
      <c r="V5" s="215"/>
      <c r="W5" s="215"/>
      <c r="X5" s="215"/>
      <c r="Y5" s="215"/>
      <c r="Z5" s="215"/>
    </row>
    <row r="6" spans="1:26" ht="15" customHeight="1">
      <c r="A6" s="225" t="s">
        <v>122</v>
      </c>
      <c r="B6" s="226" t="s">
        <v>123</v>
      </c>
      <c r="C6" s="227" t="s">
        <v>124</v>
      </c>
      <c r="D6" s="227" t="s">
        <v>124</v>
      </c>
      <c r="E6" s="228" t="s">
        <v>124</v>
      </c>
      <c r="F6" s="215"/>
      <c r="G6" s="215"/>
      <c r="H6" s="215"/>
      <c r="I6" s="215"/>
      <c r="J6" s="215"/>
      <c r="K6" s="215"/>
      <c r="L6" s="215"/>
      <c r="M6" s="215"/>
      <c r="N6" s="215"/>
      <c r="O6" s="215"/>
      <c r="P6" s="215"/>
      <c r="Q6" s="215"/>
      <c r="R6" s="215"/>
      <c r="S6" s="215"/>
      <c r="T6" s="215"/>
      <c r="U6" s="215"/>
      <c r="V6" s="215"/>
      <c r="W6" s="215"/>
      <c r="X6" s="215"/>
      <c r="Y6" s="215"/>
      <c r="Z6" s="215"/>
    </row>
    <row r="7" spans="1:26" ht="15" customHeight="1">
      <c r="A7" s="225" t="s">
        <v>125</v>
      </c>
      <c r="B7" s="226" t="s">
        <v>126</v>
      </c>
      <c r="C7" s="227" t="s">
        <v>124</v>
      </c>
      <c r="D7" s="227" t="s">
        <v>124</v>
      </c>
      <c r="E7" s="228" t="s">
        <v>124</v>
      </c>
      <c r="F7" s="215"/>
      <c r="G7" s="215"/>
      <c r="H7" s="215"/>
      <c r="I7" s="215"/>
      <c r="J7" s="215"/>
      <c r="K7" s="215"/>
      <c r="L7" s="215"/>
      <c r="M7" s="215"/>
      <c r="N7" s="215"/>
      <c r="O7" s="215"/>
      <c r="P7" s="215"/>
      <c r="Q7" s="215"/>
      <c r="R7" s="215"/>
      <c r="S7" s="215"/>
      <c r="T7" s="215"/>
      <c r="U7" s="215"/>
      <c r="V7" s="215"/>
      <c r="W7" s="215"/>
      <c r="X7" s="215"/>
      <c r="Y7" s="215"/>
      <c r="Z7" s="215"/>
    </row>
    <row r="8" spans="1:26" ht="15" customHeight="1">
      <c r="A8" s="225" t="s">
        <v>127</v>
      </c>
      <c r="B8" s="226" t="s">
        <v>128</v>
      </c>
      <c r="C8" s="227" t="s">
        <v>129</v>
      </c>
      <c r="D8" s="227" t="s">
        <v>129</v>
      </c>
      <c r="E8" s="228" t="s">
        <v>129</v>
      </c>
      <c r="F8" s="215"/>
      <c r="G8" s="215"/>
      <c r="H8" s="215"/>
      <c r="I8" s="215"/>
      <c r="J8" s="215"/>
      <c r="K8" s="215"/>
      <c r="L8" s="215"/>
      <c r="M8" s="215"/>
      <c r="N8" s="215"/>
      <c r="O8" s="215"/>
      <c r="P8" s="215"/>
      <c r="Q8" s="215"/>
      <c r="R8" s="215"/>
      <c r="S8" s="215"/>
      <c r="T8" s="215"/>
      <c r="U8" s="215"/>
      <c r="V8" s="215"/>
      <c r="W8" s="215"/>
      <c r="X8" s="215"/>
      <c r="Y8" s="215"/>
      <c r="Z8" s="215"/>
    </row>
    <row r="9" spans="1:26" ht="15" customHeight="1">
      <c r="A9" s="225" t="s">
        <v>130</v>
      </c>
      <c r="B9" s="226" t="s">
        <v>131</v>
      </c>
      <c r="C9" s="227" t="s">
        <v>121</v>
      </c>
      <c r="D9" s="227" t="s">
        <v>121</v>
      </c>
      <c r="E9" s="228" t="s">
        <v>121</v>
      </c>
      <c r="F9" s="215"/>
      <c r="G9" s="215"/>
      <c r="H9" s="215"/>
      <c r="I9" s="215"/>
      <c r="J9" s="215"/>
      <c r="K9" s="215"/>
      <c r="L9" s="215"/>
      <c r="M9" s="215"/>
      <c r="N9" s="215"/>
      <c r="O9" s="215"/>
      <c r="P9" s="215"/>
      <c r="Q9" s="215"/>
      <c r="R9" s="215"/>
      <c r="S9" s="215"/>
      <c r="T9" s="215"/>
      <c r="U9" s="215"/>
      <c r="V9" s="215"/>
      <c r="W9" s="215"/>
      <c r="X9" s="215"/>
      <c r="Y9" s="215"/>
      <c r="Z9" s="215"/>
    </row>
    <row r="10" spans="1:26" ht="15" customHeight="1">
      <c r="A10" s="225" t="s">
        <v>132</v>
      </c>
      <c r="B10" s="226" t="s">
        <v>133</v>
      </c>
      <c r="C10" s="227" t="s">
        <v>134</v>
      </c>
      <c r="D10" s="227" t="s">
        <v>121</v>
      </c>
      <c r="E10" s="228" t="s">
        <v>134</v>
      </c>
      <c r="F10" s="215"/>
      <c r="G10" s="215"/>
      <c r="H10" s="215"/>
      <c r="I10" s="215"/>
      <c r="J10" s="215"/>
      <c r="K10" s="215"/>
      <c r="L10" s="215"/>
      <c r="M10" s="215"/>
      <c r="N10" s="215"/>
      <c r="O10" s="215"/>
      <c r="P10" s="215"/>
      <c r="Q10" s="215"/>
      <c r="R10" s="215"/>
      <c r="S10" s="215"/>
      <c r="T10" s="215"/>
      <c r="U10" s="215"/>
      <c r="V10" s="215"/>
      <c r="W10" s="215"/>
      <c r="X10" s="215"/>
      <c r="Y10" s="215"/>
      <c r="Z10" s="215"/>
    </row>
    <row r="11" spans="1:26" ht="15" customHeight="1">
      <c r="A11" s="229" t="s">
        <v>135</v>
      </c>
      <c r="B11" s="226" t="s">
        <v>136</v>
      </c>
      <c r="C11" s="227" t="s">
        <v>137</v>
      </c>
      <c r="D11" s="227" t="s">
        <v>138</v>
      </c>
      <c r="E11" s="228" t="s">
        <v>138</v>
      </c>
      <c r="F11" s="215"/>
      <c r="G11" s="215"/>
      <c r="H11" s="215"/>
      <c r="I11" s="215"/>
      <c r="J11" s="215"/>
      <c r="K11" s="215"/>
      <c r="L11" s="215"/>
      <c r="M11" s="215"/>
      <c r="N11" s="215"/>
      <c r="O11" s="215"/>
      <c r="P11" s="215"/>
      <c r="Q11" s="215"/>
      <c r="R11" s="215"/>
      <c r="S11" s="215"/>
      <c r="T11" s="215"/>
      <c r="U11" s="215"/>
      <c r="V11" s="215"/>
      <c r="W11" s="215"/>
      <c r="X11" s="215"/>
      <c r="Y11" s="215"/>
      <c r="Z11" s="215"/>
    </row>
    <row r="12" spans="1:26" ht="15" customHeight="1">
      <c r="A12" s="229" t="s">
        <v>139</v>
      </c>
      <c r="B12" s="226" t="s">
        <v>139</v>
      </c>
      <c r="C12" s="227" t="s">
        <v>138</v>
      </c>
      <c r="D12" s="227" t="s">
        <v>138</v>
      </c>
      <c r="E12" s="228" t="s">
        <v>138</v>
      </c>
      <c r="F12" s="215"/>
      <c r="G12" s="215"/>
      <c r="H12" s="215"/>
      <c r="I12" s="215"/>
      <c r="J12" s="215"/>
      <c r="K12" s="215"/>
      <c r="L12" s="215"/>
      <c r="M12" s="215"/>
      <c r="N12" s="215"/>
      <c r="O12" s="215"/>
      <c r="P12" s="215"/>
      <c r="Q12" s="215"/>
      <c r="R12" s="215"/>
      <c r="S12" s="215"/>
      <c r="T12" s="215"/>
      <c r="U12" s="215"/>
      <c r="V12" s="215"/>
      <c r="W12" s="215"/>
      <c r="X12" s="215"/>
      <c r="Y12" s="215"/>
      <c r="Z12" s="215"/>
    </row>
    <row r="13" spans="1:26" ht="15" customHeight="1">
      <c r="A13" s="229" t="s">
        <v>140</v>
      </c>
      <c r="B13" s="226" t="s">
        <v>141</v>
      </c>
      <c r="C13" s="227" t="s">
        <v>137</v>
      </c>
      <c r="D13" s="227" t="s">
        <v>138</v>
      </c>
      <c r="E13" s="228" t="s">
        <v>138</v>
      </c>
      <c r="F13" s="215"/>
      <c r="G13" s="215"/>
      <c r="H13" s="215"/>
      <c r="I13" s="215"/>
      <c r="J13" s="215"/>
      <c r="K13" s="215"/>
      <c r="L13" s="215"/>
      <c r="M13" s="215"/>
      <c r="N13" s="215"/>
      <c r="O13" s="215"/>
      <c r="P13" s="215"/>
      <c r="Q13" s="215"/>
      <c r="R13" s="215"/>
      <c r="S13" s="215"/>
      <c r="T13" s="215"/>
      <c r="U13" s="215"/>
      <c r="V13" s="215"/>
      <c r="W13" s="215"/>
      <c r="X13" s="215"/>
      <c r="Y13" s="215"/>
      <c r="Z13" s="215"/>
    </row>
    <row r="14" spans="1:26" ht="15" customHeight="1">
      <c r="A14" s="225" t="s">
        <v>142</v>
      </c>
      <c r="B14" s="226" t="s">
        <v>143</v>
      </c>
      <c r="C14" s="227" t="s">
        <v>137</v>
      </c>
      <c r="D14" s="227" t="s">
        <v>138</v>
      </c>
      <c r="E14" s="228" t="s">
        <v>138</v>
      </c>
      <c r="F14" s="215"/>
      <c r="G14" s="215"/>
      <c r="H14" s="215"/>
      <c r="I14" s="215"/>
      <c r="J14" s="215"/>
      <c r="K14" s="215"/>
      <c r="L14" s="215"/>
      <c r="M14" s="215"/>
      <c r="N14" s="215"/>
      <c r="O14" s="215"/>
      <c r="P14" s="215"/>
      <c r="Q14" s="215"/>
      <c r="R14" s="215"/>
      <c r="S14" s="215"/>
      <c r="T14" s="215"/>
      <c r="U14" s="215"/>
      <c r="V14" s="215"/>
      <c r="W14" s="215"/>
      <c r="X14" s="215"/>
      <c r="Y14" s="215"/>
      <c r="Z14" s="215"/>
    </row>
    <row r="15" spans="1:26" ht="15" customHeight="1">
      <c r="A15" s="225" t="s">
        <v>144</v>
      </c>
      <c r="B15" s="226" t="s">
        <v>145</v>
      </c>
      <c r="C15" s="227" t="s">
        <v>146</v>
      </c>
      <c r="D15" s="227" t="s">
        <v>146</v>
      </c>
      <c r="E15" s="228" t="s">
        <v>146</v>
      </c>
      <c r="F15" s="215"/>
      <c r="G15" s="215"/>
      <c r="H15" s="215"/>
      <c r="I15" s="215"/>
      <c r="J15" s="215"/>
      <c r="K15" s="215"/>
      <c r="L15" s="215"/>
      <c r="M15" s="215"/>
      <c r="N15" s="215"/>
      <c r="O15" s="215"/>
      <c r="P15" s="215"/>
      <c r="Q15" s="215"/>
      <c r="R15" s="215"/>
      <c r="S15" s="215"/>
      <c r="T15" s="215"/>
      <c r="U15" s="215"/>
      <c r="V15" s="215"/>
      <c r="W15" s="215"/>
      <c r="X15" s="215"/>
      <c r="Y15" s="215"/>
      <c r="Z15" s="215"/>
    </row>
    <row r="16" spans="1:26" ht="15" customHeight="1">
      <c r="A16" s="225" t="s">
        <v>147</v>
      </c>
      <c r="B16" s="226" t="s">
        <v>148</v>
      </c>
      <c r="C16" s="227" t="s">
        <v>137</v>
      </c>
      <c r="D16" s="227" t="s">
        <v>146</v>
      </c>
      <c r="E16" s="228" t="s">
        <v>146</v>
      </c>
      <c r="F16" s="215"/>
      <c r="G16" s="215"/>
      <c r="H16" s="215"/>
      <c r="I16" s="215"/>
      <c r="J16" s="215"/>
      <c r="K16" s="215"/>
      <c r="L16" s="215"/>
      <c r="M16" s="215"/>
      <c r="N16" s="215"/>
      <c r="O16" s="215"/>
      <c r="P16" s="215"/>
      <c r="Q16" s="215"/>
      <c r="R16" s="215"/>
      <c r="S16" s="215"/>
      <c r="T16" s="215"/>
      <c r="U16" s="215"/>
      <c r="V16" s="215"/>
      <c r="W16" s="215"/>
      <c r="X16" s="215"/>
      <c r="Y16" s="215"/>
      <c r="Z16" s="215"/>
    </row>
    <row r="17" spans="1:26" ht="15" customHeight="1">
      <c r="A17" s="225" t="s">
        <v>149</v>
      </c>
      <c r="B17" s="226" t="s">
        <v>150</v>
      </c>
      <c r="C17" s="227" t="s">
        <v>151</v>
      </c>
      <c r="D17" s="227" t="s">
        <v>151</v>
      </c>
      <c r="E17" s="228" t="s">
        <v>151</v>
      </c>
      <c r="F17" s="215"/>
      <c r="G17" s="215"/>
      <c r="H17" s="215"/>
      <c r="I17" s="215"/>
      <c r="J17" s="215"/>
      <c r="K17" s="215"/>
      <c r="L17" s="215"/>
      <c r="M17" s="215"/>
      <c r="N17" s="215"/>
      <c r="O17" s="215"/>
      <c r="P17" s="215"/>
      <c r="Q17" s="215"/>
      <c r="R17" s="215"/>
      <c r="S17" s="215"/>
      <c r="T17" s="215"/>
      <c r="U17" s="215"/>
      <c r="V17" s="215"/>
      <c r="W17" s="215"/>
      <c r="X17" s="215"/>
      <c r="Y17" s="215"/>
      <c r="Z17" s="215"/>
    </row>
    <row r="18" spans="1:26" ht="15" customHeight="1">
      <c r="A18" s="229" t="s">
        <v>152</v>
      </c>
      <c r="B18" s="226" t="s">
        <v>153</v>
      </c>
      <c r="C18" s="227" t="s">
        <v>154</v>
      </c>
      <c r="D18" s="227" t="s">
        <v>154</v>
      </c>
      <c r="E18" s="228" t="s">
        <v>154</v>
      </c>
      <c r="F18" s="215"/>
      <c r="G18" s="215"/>
      <c r="H18" s="215"/>
      <c r="I18" s="215"/>
      <c r="J18" s="215"/>
      <c r="K18" s="215"/>
      <c r="L18" s="215"/>
      <c r="M18" s="215"/>
      <c r="N18" s="215"/>
      <c r="O18" s="215"/>
      <c r="P18" s="215"/>
      <c r="Q18" s="215"/>
      <c r="R18" s="215"/>
      <c r="S18" s="215"/>
      <c r="T18" s="215"/>
      <c r="U18" s="215"/>
      <c r="V18" s="215"/>
      <c r="W18" s="215"/>
      <c r="X18" s="215"/>
      <c r="Y18" s="215"/>
      <c r="Z18" s="215"/>
    </row>
    <row r="19" spans="1:26" ht="15" customHeight="1">
      <c r="A19" s="229"/>
      <c r="B19" s="226"/>
      <c r="C19" s="227"/>
      <c r="D19" s="227"/>
      <c r="E19" s="228"/>
      <c r="F19" s="215"/>
      <c r="G19" s="215"/>
      <c r="H19" s="215"/>
      <c r="I19" s="215"/>
      <c r="J19" s="215"/>
      <c r="K19" s="215"/>
      <c r="L19" s="215"/>
      <c r="M19" s="215"/>
      <c r="N19" s="215"/>
      <c r="O19" s="215"/>
      <c r="P19" s="215"/>
      <c r="Q19" s="215"/>
      <c r="R19" s="215"/>
      <c r="S19" s="215"/>
      <c r="T19" s="215"/>
      <c r="U19" s="215"/>
      <c r="V19" s="215"/>
      <c r="W19" s="215"/>
      <c r="X19" s="215"/>
      <c r="Y19" s="215"/>
      <c r="Z19" s="215"/>
    </row>
    <row r="20" spans="1:26" ht="15" customHeight="1">
      <c r="A20" s="229"/>
      <c r="B20" s="226"/>
      <c r="C20" s="227"/>
      <c r="D20" s="227"/>
      <c r="E20" s="228"/>
      <c r="F20" s="215"/>
      <c r="G20" s="215"/>
      <c r="H20" s="215"/>
      <c r="I20" s="215"/>
      <c r="J20" s="215"/>
      <c r="K20" s="215"/>
      <c r="L20" s="215"/>
      <c r="M20" s="215"/>
      <c r="N20" s="215"/>
      <c r="O20" s="215"/>
      <c r="P20" s="215"/>
      <c r="Q20" s="215"/>
      <c r="R20" s="215"/>
      <c r="S20" s="215"/>
      <c r="T20" s="215"/>
      <c r="U20" s="215"/>
      <c r="V20" s="215"/>
      <c r="W20" s="215"/>
      <c r="X20" s="215"/>
      <c r="Y20" s="215"/>
      <c r="Z20" s="215"/>
    </row>
    <row r="21" spans="1:26" ht="15" customHeight="1">
      <c r="A21" s="229"/>
      <c r="B21" s="226"/>
      <c r="C21" s="227"/>
      <c r="D21" s="227"/>
      <c r="E21" s="228"/>
      <c r="F21" s="215"/>
      <c r="G21" s="215"/>
      <c r="H21" s="215"/>
      <c r="I21" s="215"/>
      <c r="J21" s="215"/>
      <c r="K21" s="215"/>
      <c r="L21" s="215"/>
      <c r="M21" s="215"/>
      <c r="N21" s="215"/>
      <c r="O21" s="215"/>
      <c r="P21" s="215"/>
      <c r="Q21" s="215"/>
      <c r="R21" s="215"/>
      <c r="S21" s="215"/>
      <c r="T21" s="215"/>
      <c r="U21" s="215"/>
      <c r="V21" s="215"/>
      <c r="W21" s="215"/>
      <c r="X21" s="215"/>
      <c r="Y21" s="215"/>
      <c r="Z21" s="215"/>
    </row>
    <row r="22" spans="1:26" ht="15" customHeight="1">
      <c r="A22" s="225"/>
      <c r="B22" s="226"/>
      <c r="C22" s="227"/>
      <c r="D22" s="227"/>
      <c r="E22" s="228"/>
      <c r="F22" s="215"/>
      <c r="G22" s="215"/>
      <c r="H22" s="215"/>
      <c r="I22" s="215"/>
      <c r="J22" s="215"/>
      <c r="K22" s="215"/>
      <c r="L22" s="215"/>
      <c r="M22" s="215"/>
      <c r="N22" s="215"/>
      <c r="O22" s="215"/>
      <c r="P22" s="215"/>
      <c r="Q22" s="215"/>
      <c r="R22" s="215"/>
      <c r="S22" s="215"/>
      <c r="T22" s="215"/>
      <c r="U22" s="215"/>
      <c r="V22" s="215"/>
      <c r="W22" s="215"/>
      <c r="X22" s="215"/>
      <c r="Y22" s="215"/>
      <c r="Z22" s="215"/>
    </row>
    <row r="23" spans="1:26" ht="15" customHeight="1">
      <c r="A23" s="225"/>
      <c r="B23" s="226"/>
      <c r="C23" s="227"/>
      <c r="D23" s="227"/>
      <c r="E23" s="228"/>
      <c r="F23" s="215"/>
      <c r="G23" s="215"/>
      <c r="H23" s="215"/>
      <c r="I23" s="215"/>
      <c r="J23" s="215"/>
      <c r="K23" s="215"/>
      <c r="L23" s="215"/>
      <c r="M23" s="215"/>
      <c r="N23" s="215"/>
      <c r="O23" s="215"/>
      <c r="P23" s="215"/>
      <c r="Q23" s="215"/>
      <c r="R23" s="215"/>
      <c r="S23" s="215"/>
      <c r="T23" s="215"/>
      <c r="U23" s="215"/>
      <c r="V23" s="215"/>
      <c r="W23" s="215"/>
      <c r="X23" s="215"/>
      <c r="Y23" s="215"/>
      <c r="Z23" s="215"/>
    </row>
    <row r="24" spans="1:26" ht="15" customHeight="1">
      <c r="A24" s="229"/>
      <c r="B24" s="226"/>
      <c r="C24" s="227"/>
      <c r="D24" s="227"/>
      <c r="E24" s="228"/>
      <c r="F24" s="215"/>
      <c r="G24" s="215"/>
      <c r="H24" s="215"/>
      <c r="I24" s="215"/>
      <c r="J24" s="215"/>
      <c r="K24" s="215"/>
      <c r="L24" s="215"/>
      <c r="M24" s="215"/>
      <c r="N24" s="215"/>
      <c r="O24" s="215"/>
      <c r="P24" s="215"/>
      <c r="Q24" s="215"/>
      <c r="R24" s="215"/>
      <c r="S24" s="215"/>
      <c r="T24" s="215"/>
      <c r="U24" s="215"/>
      <c r="V24" s="215"/>
      <c r="W24" s="215"/>
      <c r="X24" s="215"/>
      <c r="Y24" s="215"/>
      <c r="Z24" s="215"/>
    </row>
    <row r="25" spans="1:26" ht="15" customHeight="1">
      <c r="A25" s="229"/>
      <c r="B25" s="226"/>
      <c r="C25" s="227"/>
      <c r="D25" s="227"/>
      <c r="E25" s="228"/>
      <c r="F25" s="215"/>
      <c r="G25" s="215"/>
      <c r="H25" s="215"/>
      <c r="I25" s="215"/>
      <c r="J25" s="215"/>
      <c r="K25" s="215"/>
      <c r="L25" s="215"/>
      <c r="M25" s="215"/>
      <c r="N25" s="215"/>
      <c r="O25" s="215"/>
      <c r="P25" s="215"/>
      <c r="Q25" s="215"/>
      <c r="R25" s="215"/>
      <c r="S25" s="215"/>
      <c r="T25" s="215"/>
      <c r="U25" s="215"/>
      <c r="V25" s="215"/>
      <c r="W25" s="215"/>
      <c r="X25" s="215"/>
      <c r="Y25" s="215"/>
      <c r="Z25" s="215"/>
    </row>
    <row r="26" spans="1:26" s="215" customFormat="1" ht="15" customHeight="1">
      <c r="A26" s="229"/>
      <c r="B26" s="226"/>
      <c r="C26" s="227"/>
      <c r="D26" s="227"/>
      <c r="E26" s="228"/>
    </row>
    <row r="27" spans="1:26" ht="15" customHeight="1">
      <c r="A27" s="229"/>
      <c r="B27" s="226"/>
      <c r="C27" s="227"/>
      <c r="D27" s="227"/>
      <c r="E27" s="228"/>
      <c r="Z27" s="215"/>
    </row>
    <row r="28" spans="1:26" ht="15" customHeight="1">
      <c r="A28" s="229"/>
      <c r="B28" s="226"/>
      <c r="C28" s="227"/>
      <c r="D28" s="227"/>
      <c r="E28" s="228"/>
      <c r="Z28" s="215"/>
    </row>
    <row r="29" spans="1:26" ht="15" customHeight="1">
      <c r="A29" s="229"/>
      <c r="B29" s="226"/>
      <c r="C29" s="227"/>
      <c r="D29" s="227"/>
      <c r="E29" s="228"/>
      <c r="Z29" s="215"/>
    </row>
    <row r="30" spans="1:26" ht="15" customHeight="1">
      <c r="A30" s="23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5" customHeight="1">
      <c r="A31" s="230"/>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5" customHeight="1">
      <c r="A32" s="23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c r="A33" s="230"/>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 customHeight="1">
      <c r="A34" s="230"/>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 customHeight="1">
      <c r="A35" s="230"/>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 customHeight="1">
      <c r="A36" s="23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 customHeight="1">
      <c r="A37" s="23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 customHeight="1">
      <c r="A38" s="230"/>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c r="A39" s="230"/>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 customHeight="1">
      <c r="A40" s="230"/>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 customHeight="1">
      <c r="A41" s="230"/>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 customHeight="1">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 customHeight="1">
      <c r="A43" s="230"/>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 customHeight="1">
      <c r="A44" s="230"/>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 customHeight="1">
      <c r="A45" s="230"/>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 customHeight="1">
      <c r="A46" s="230"/>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15"/>
    </row>
    <row r="48" spans="1:26" ht="15" customHeight="1">
      <c r="Z48" s="215"/>
    </row>
    <row r="49" spans="1:26" ht="15" customHeight="1">
      <c r="Z49" s="215"/>
    </row>
    <row r="50" spans="1:26" ht="15" customHeight="1">
      <c r="Z50" s="215"/>
    </row>
    <row r="51" spans="1:26" ht="15" customHeight="1">
      <c r="A51" s="230"/>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 customHeight="1">
      <c r="A52" s="230"/>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 customHeight="1">
      <c r="A53" s="230"/>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 customHeight="1">
      <c r="A54" s="230"/>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 customHeight="1">
      <c r="A55" s="230"/>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 customHeight="1">
      <c r="A56" s="230"/>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 customHeight="1">
      <c r="A57" s="230"/>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 customHeight="1">
      <c r="A58" s="230"/>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 customHeight="1">
      <c r="A59" s="230"/>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 customHeight="1">
      <c r="A60" s="230"/>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 customHeight="1">
      <c r="A61" s="230"/>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 customHeight="1">
      <c r="A62" s="230"/>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c r="A63" s="230"/>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 customHeight="1">
      <c r="A64" s="230"/>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 customHeight="1">
      <c r="A65" s="230"/>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 customHeight="1">
      <c r="A66" s="230"/>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 customHeight="1">
      <c r="A67" s="230"/>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 customHeight="1">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15"/>
    </row>
  </sheetData>
  <mergeCells count="3">
    <mergeCell ref="A3:A4"/>
    <mergeCell ref="B3:B4"/>
    <mergeCell ref="C3:E3"/>
  </mergeCells>
  <phoneticPr fontId="3"/>
  <printOptions horizontalCentered="1"/>
  <pageMargins left="0.74803149606299213" right="0.74803149606299213" top="0.98425196850393704" bottom="0.98425196850393704" header="0.51181102362204722" footer="0.51181102362204722"/>
  <pageSetup paperSize="9" fitToHeight="0" orientation="landscape" horizontalDpi="400" verticalDpi="400" r:id="rId1"/>
  <headerFooter scaleWithDoc="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51</vt:i4>
      </vt:variant>
    </vt:vector>
  </HeadingPairs>
  <TitlesOfParts>
    <vt:vector size="78" baseType="lpstr">
      <vt:lpstr>表紙</vt:lpstr>
      <vt:lpstr>外界条件</vt:lpstr>
      <vt:lpstr>位置情報</vt:lpstr>
      <vt:lpstr>外気温度等</vt:lpstr>
      <vt:lpstr>ETD(OW1)</vt:lpstr>
      <vt:lpstr>ETD(OW2)</vt:lpstr>
      <vt:lpstr>ETD(OR1)</vt:lpstr>
      <vt:lpstr>ETD(OR2)</vt:lpstr>
      <vt:lpstr>非空調室温度</vt:lpstr>
      <vt:lpstr>ガラス日射（標準）</vt:lpstr>
      <vt:lpstr>ガラス日射（2F-E）</vt:lpstr>
      <vt:lpstr>熱貫流率</vt:lpstr>
      <vt:lpstr>熱貫流率表</vt:lpstr>
      <vt:lpstr>各室熱負荷</vt:lpstr>
      <vt:lpstr>201</vt:lpstr>
      <vt:lpstr>204</vt:lpstr>
      <vt:lpstr>205</vt:lpstr>
      <vt:lpstr>208</vt:lpstr>
      <vt:lpstr>系統別集計</vt:lpstr>
      <vt:lpstr>AC-2系統集計表</vt:lpstr>
      <vt:lpstr>AC-2系統空気線図</vt:lpstr>
      <vt:lpstr>AC-2系統 TH</vt:lpstr>
      <vt:lpstr>熱源集計</vt:lpstr>
      <vt:lpstr>R-1系統冷熱源</vt:lpstr>
      <vt:lpstr>R-1系統再熱・再生熱源</vt:lpstr>
      <vt:lpstr>R-1系統温熱源</vt:lpstr>
      <vt:lpstr>市水系統加湿源</vt:lpstr>
      <vt:lpstr>'201'!ID</vt:lpstr>
      <vt:lpstr>'204'!ID</vt:lpstr>
      <vt:lpstr>'205'!ID</vt:lpstr>
      <vt:lpstr>'208'!ID</vt:lpstr>
      <vt:lpstr>外界条件!ID</vt:lpstr>
      <vt:lpstr>各室熱負荷!ID</vt:lpstr>
      <vt:lpstr>系統別集計!ID</vt:lpstr>
      <vt:lpstr>熱貫流率!ID</vt:lpstr>
      <vt:lpstr>熱源集計!ID</vt:lpstr>
      <vt:lpstr>表紙!ID</vt:lpstr>
      <vt:lpstr>'201'!Print_Area</vt:lpstr>
      <vt:lpstr>'204'!Print_Area</vt:lpstr>
      <vt:lpstr>'205'!Print_Area</vt:lpstr>
      <vt:lpstr>'208'!Print_Area</vt:lpstr>
      <vt:lpstr>'AC-2系統 TH'!Print_Area</vt:lpstr>
      <vt:lpstr>'AC-2系統集計表'!Print_Area</vt:lpstr>
      <vt:lpstr>'R-1系統温熱源'!Print_Area</vt:lpstr>
      <vt:lpstr>'R-1系統再熱・再生熱源'!Print_Area</vt:lpstr>
      <vt:lpstr>'R-1系統冷熱源'!Print_Area</vt:lpstr>
      <vt:lpstr>'ガラス日射（2F-E）'!Print_Area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'AC-2系統 TH'!Print_Titles</vt:lpstr>
      <vt:lpstr>'AC-2系統集計表'!Print_Titles</vt:lpstr>
      <vt:lpstr>'R-1系統温熱源'!Print_Titles</vt:lpstr>
      <vt:lpstr>'R-1系統再熱・再生熱源'!Print_Titles</vt:lpstr>
      <vt:lpstr>'R-1系統冷熱源'!Print_Titles</vt:lpstr>
      <vt:lpstr>'ガラス日射（2F-E）'!Print_Titles</vt:lpstr>
      <vt:lpstr>'ガラス日射（標準）'!Print_Titles</vt:lpstr>
      <vt:lpstr>市水系統加湿源!Print_Titles</vt:lpstr>
      <vt:lpstr>熱貫流率表!Print_Titles</vt:lpstr>
      <vt:lpstr>表紙!会社名</vt:lpstr>
      <vt:lpstr>表紙!顧客名</vt:lpstr>
      <vt:lpstr>'201'!室NO</vt:lpstr>
      <vt:lpstr>'204'!室NO</vt:lpstr>
      <vt:lpstr>'205'!室NO</vt:lpstr>
      <vt:lpstr>'208'!室NO</vt:lpstr>
      <vt:lpstr>表紙!日付</vt:lpstr>
      <vt:lpstr>'201'!面積</vt:lpstr>
      <vt:lpstr>'204'!面積</vt:lpstr>
      <vt:lpstr>'205'!面積</vt:lpstr>
      <vt:lpstr>'208'!面積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2017-05-28T03:31:20Z</dcterms:created>
  <dcterms:modified xsi:type="dcterms:W3CDTF">2017-05-28T03:32:18Z</dcterms:modified>
</cp:coreProperties>
</file>